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MAYCHUDELL\PKT - Copy 2\01 KTT\CHAM CONG\"/>
    </mc:Choice>
  </mc:AlternateContent>
  <xr:revisionPtr revIDLastSave="0" documentId="13_ncr:1_{D3C5F7AC-C505-4F53-A019-878BAFBFE093}" xr6:coauthVersionLast="47" xr6:coauthVersionMax="47" xr10:uidLastSave="{00000000-0000-0000-0000-000000000000}"/>
  <bookViews>
    <workbookView xWindow="-120" yWindow="-120" windowWidth="29040" windowHeight="15720" xr2:uid="{7D0D8955-9970-4CC8-A9C3-9E0BDCE4E355}"/>
  </bookViews>
  <sheets>
    <sheet name="BANG_CHAM_CONG" sheetId="4" r:id="rId1"/>
    <sheet name="Data_Cong" sheetId="1" r:id="rId2"/>
    <sheet name="TK Ngân Hàng Mới" sheetId="5" r:id="rId3"/>
    <sheet name="Data_NV" sheetId="2" r:id="rId4"/>
    <sheet name="NQ" sheetId="3" r:id="rId5"/>
  </sheets>
  <definedNames>
    <definedName name="_xlnm._FilterDatabase" localSheetId="1" hidden="1">Data_Cong!$A$2:$S$842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" i="2" l="1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AH35" i="4" l="1"/>
  <c r="AE35" i="4"/>
  <c r="X35" i="4"/>
  <c r="Q35" i="4"/>
  <c r="J35" i="4"/>
  <c r="AH34" i="4"/>
  <c r="AE34" i="4"/>
  <c r="X34" i="4"/>
  <c r="Q34" i="4"/>
  <c r="J34" i="4"/>
  <c r="AH33" i="4"/>
  <c r="AE33" i="4"/>
  <c r="X33" i="4"/>
  <c r="Q33" i="4"/>
  <c r="J33" i="4"/>
  <c r="AH32" i="4"/>
  <c r="AE32" i="4"/>
  <c r="X32" i="4"/>
  <c r="Q32" i="4"/>
  <c r="J32" i="4"/>
  <c r="AH31" i="4"/>
  <c r="AE31" i="4"/>
  <c r="X31" i="4"/>
  <c r="Q31" i="4"/>
  <c r="J31" i="4"/>
  <c r="AH30" i="4"/>
  <c r="AE30" i="4"/>
  <c r="X30" i="4"/>
  <c r="Q30" i="4"/>
  <c r="J30" i="4"/>
  <c r="AH29" i="4"/>
  <c r="AE29" i="4"/>
  <c r="X29" i="4"/>
  <c r="Q29" i="4"/>
  <c r="J29" i="4"/>
  <c r="AH28" i="4"/>
  <c r="AE28" i="4"/>
  <c r="X28" i="4"/>
  <c r="Q28" i="4"/>
  <c r="J28" i="4"/>
  <c r="AH26" i="4"/>
  <c r="AE26" i="4"/>
  <c r="X26" i="4"/>
  <c r="Q26" i="4"/>
  <c r="J26" i="4"/>
  <c r="AH25" i="4"/>
  <c r="AE25" i="4"/>
  <c r="X25" i="4"/>
  <c r="Q25" i="4"/>
  <c r="J25" i="4"/>
  <c r="AH24" i="4"/>
  <c r="AE24" i="4"/>
  <c r="X24" i="4"/>
  <c r="Q24" i="4"/>
  <c r="J24" i="4"/>
  <c r="AH23" i="4"/>
  <c r="AE23" i="4"/>
  <c r="X23" i="4"/>
  <c r="Q23" i="4"/>
  <c r="J23" i="4"/>
  <c r="AH22" i="4"/>
  <c r="AE22" i="4"/>
  <c r="X22" i="4"/>
  <c r="Q22" i="4"/>
  <c r="J22" i="4"/>
  <c r="AH21" i="4"/>
  <c r="AE21" i="4"/>
  <c r="X21" i="4"/>
  <c r="Q21" i="4"/>
  <c r="J21" i="4"/>
  <c r="AH20" i="4"/>
  <c r="AE20" i="4"/>
  <c r="X20" i="4"/>
  <c r="Q20" i="4"/>
  <c r="J20" i="4"/>
  <c r="AH19" i="4"/>
  <c r="AE19" i="4"/>
  <c r="X19" i="4"/>
  <c r="Q19" i="4"/>
  <c r="J19" i="4"/>
  <c r="AH18" i="4"/>
  <c r="AE18" i="4"/>
  <c r="X18" i="4"/>
  <c r="Q18" i="4"/>
  <c r="J18" i="4"/>
  <c r="AH17" i="4"/>
  <c r="AE17" i="4"/>
  <c r="X17" i="4"/>
  <c r="Q17" i="4"/>
  <c r="J17" i="4"/>
  <c r="AH16" i="4"/>
  <c r="AE16" i="4"/>
  <c r="X16" i="4"/>
  <c r="Q16" i="4"/>
  <c r="J16" i="4"/>
  <c r="AH15" i="4"/>
  <c r="AE15" i="4"/>
  <c r="X15" i="4"/>
  <c r="Q15" i="4"/>
  <c r="J15" i="4"/>
  <c r="AH13" i="4"/>
  <c r="AE13" i="4"/>
  <c r="X13" i="4"/>
  <c r="Q13" i="4"/>
  <c r="J13" i="4"/>
  <c r="AH12" i="4"/>
  <c r="AE12" i="4"/>
  <c r="X12" i="4"/>
  <c r="Q12" i="4"/>
  <c r="J12" i="4"/>
  <c r="AH11" i="4"/>
  <c r="AE11" i="4"/>
  <c r="X11" i="4"/>
  <c r="Q11" i="4"/>
  <c r="J11" i="4"/>
  <c r="AH10" i="4"/>
  <c r="AE10" i="4"/>
  <c r="X10" i="4"/>
  <c r="Q10" i="4"/>
  <c r="J10" i="4"/>
  <c r="AH9" i="4"/>
  <c r="AE9" i="4"/>
  <c r="X9" i="4"/>
  <c r="Q9" i="4"/>
  <c r="J9" i="4"/>
  <c r="AH8" i="4"/>
  <c r="AE8" i="4"/>
  <c r="X8" i="4"/>
  <c r="Q8" i="4"/>
  <c r="J8" i="4"/>
  <c r="AH7" i="4"/>
  <c r="AE7" i="4"/>
  <c r="X7" i="4"/>
  <c r="Q7" i="4"/>
  <c r="J7" i="4"/>
  <c r="J6" i="4"/>
  <c r="Q6" i="4"/>
  <c r="X6" i="4"/>
  <c r="AE6" i="4"/>
  <c r="AH6" i="4"/>
  <c r="AL35" i="4"/>
  <c r="AL34" i="4"/>
  <c r="AL33" i="4"/>
  <c r="AL32" i="4"/>
  <c r="AL31" i="4"/>
  <c r="AL30" i="4"/>
  <c r="AL29" i="4"/>
  <c r="AL28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7" i="4"/>
  <c r="AL8" i="4"/>
  <c r="AL9" i="4"/>
  <c r="AL10" i="4"/>
  <c r="AL11" i="4"/>
  <c r="AL12" i="4"/>
  <c r="AL13" i="4"/>
  <c r="AL6" i="4"/>
  <c r="U3" i="1" l="1"/>
  <c r="U4" i="1"/>
  <c r="U5" i="1"/>
  <c r="U6" i="1"/>
  <c r="U7" i="1"/>
  <c r="U8" i="1"/>
  <c r="U9" i="1"/>
  <c r="AA9" i="1" s="1"/>
  <c r="U10" i="1"/>
  <c r="U11" i="1"/>
  <c r="U12" i="1"/>
  <c r="U13" i="1"/>
  <c r="U14" i="1"/>
  <c r="U15" i="1"/>
  <c r="U16" i="1"/>
  <c r="AA16" i="1" s="1"/>
  <c r="U17" i="1"/>
  <c r="U18" i="1"/>
  <c r="U19" i="1"/>
  <c r="U20" i="1"/>
  <c r="U21" i="1"/>
  <c r="U22" i="1"/>
  <c r="U23" i="1"/>
  <c r="AA23" i="1" s="1"/>
  <c r="U24" i="1"/>
  <c r="U25" i="1"/>
  <c r="U26" i="1"/>
  <c r="U27" i="1"/>
  <c r="U28" i="1"/>
  <c r="U29" i="1"/>
  <c r="U30" i="1"/>
  <c r="AA30" i="1" s="1"/>
  <c r="U31" i="1"/>
  <c r="U32" i="1"/>
  <c r="U33" i="1"/>
  <c r="U34" i="1"/>
  <c r="U35" i="1"/>
  <c r="U36" i="1"/>
  <c r="U37" i="1"/>
  <c r="U38" i="1"/>
  <c r="U39" i="1"/>
  <c r="AA39" i="1" s="1"/>
  <c r="U40" i="1"/>
  <c r="U41" i="1"/>
  <c r="U42" i="1"/>
  <c r="U43" i="1"/>
  <c r="U44" i="1"/>
  <c r="U45" i="1"/>
  <c r="U46" i="1"/>
  <c r="AA46" i="1" s="1"/>
  <c r="U47" i="1"/>
  <c r="U48" i="1"/>
  <c r="U49" i="1"/>
  <c r="U50" i="1"/>
  <c r="U51" i="1"/>
  <c r="U52" i="1"/>
  <c r="U53" i="1"/>
  <c r="AA53" i="1" s="1"/>
  <c r="U54" i="1"/>
  <c r="U55" i="1"/>
  <c r="U56" i="1"/>
  <c r="U57" i="1"/>
  <c r="U58" i="1"/>
  <c r="U59" i="1"/>
  <c r="U60" i="1"/>
  <c r="AA60" i="1" s="1"/>
  <c r="U61" i="1"/>
  <c r="U62" i="1"/>
  <c r="U63" i="1"/>
  <c r="U64" i="1"/>
  <c r="U65" i="1"/>
  <c r="U66" i="1"/>
  <c r="U67" i="1"/>
  <c r="U68" i="1"/>
  <c r="U69" i="1"/>
  <c r="AA69" i="1" s="1"/>
  <c r="U70" i="1"/>
  <c r="U71" i="1"/>
  <c r="U72" i="1"/>
  <c r="U73" i="1"/>
  <c r="U74" i="1"/>
  <c r="U75" i="1"/>
  <c r="U76" i="1"/>
  <c r="AA76" i="1" s="1"/>
  <c r="U77" i="1"/>
  <c r="U78" i="1"/>
  <c r="U79" i="1"/>
  <c r="U80" i="1"/>
  <c r="U81" i="1"/>
  <c r="U82" i="1"/>
  <c r="U83" i="1"/>
  <c r="AA83" i="1" s="1"/>
  <c r="U84" i="1"/>
  <c r="U85" i="1"/>
  <c r="U86" i="1"/>
  <c r="U87" i="1"/>
  <c r="U88" i="1"/>
  <c r="U89" i="1"/>
  <c r="U90" i="1"/>
  <c r="AA90" i="1" s="1"/>
  <c r="U91" i="1"/>
  <c r="U92" i="1"/>
  <c r="U93" i="1"/>
  <c r="U94" i="1"/>
  <c r="U95" i="1"/>
  <c r="U96" i="1"/>
  <c r="U97" i="1"/>
  <c r="U98" i="1"/>
  <c r="U99" i="1"/>
  <c r="AA99" i="1" s="1"/>
  <c r="U100" i="1"/>
  <c r="U101" i="1"/>
  <c r="U102" i="1"/>
  <c r="U103" i="1"/>
  <c r="U104" i="1"/>
  <c r="U105" i="1"/>
  <c r="U106" i="1"/>
  <c r="AA106" i="1" s="1"/>
  <c r="U107" i="1"/>
  <c r="U108" i="1"/>
  <c r="U109" i="1"/>
  <c r="U110" i="1"/>
  <c r="U111" i="1"/>
  <c r="U112" i="1"/>
  <c r="U113" i="1"/>
  <c r="AA113" i="1" s="1"/>
  <c r="U114" i="1"/>
  <c r="U115" i="1"/>
  <c r="U116" i="1"/>
  <c r="U117" i="1"/>
  <c r="U118" i="1"/>
  <c r="U119" i="1"/>
  <c r="U120" i="1"/>
  <c r="AA120" i="1" s="1"/>
  <c r="U121" i="1"/>
  <c r="U122" i="1"/>
  <c r="U123" i="1"/>
  <c r="U124" i="1"/>
  <c r="U125" i="1"/>
  <c r="U126" i="1"/>
  <c r="U127" i="1"/>
  <c r="U128" i="1"/>
  <c r="U129" i="1"/>
  <c r="AA129" i="1" s="1"/>
  <c r="U130" i="1"/>
  <c r="U131" i="1"/>
  <c r="U132" i="1"/>
  <c r="U133" i="1"/>
  <c r="U134" i="1"/>
  <c r="U135" i="1"/>
  <c r="U136" i="1"/>
  <c r="AA136" i="1" s="1"/>
  <c r="U137" i="1"/>
  <c r="U138" i="1"/>
  <c r="U139" i="1"/>
  <c r="U140" i="1"/>
  <c r="U141" i="1"/>
  <c r="U142" i="1"/>
  <c r="U143" i="1"/>
  <c r="AA143" i="1" s="1"/>
  <c r="U144" i="1"/>
  <c r="U145" i="1"/>
  <c r="U146" i="1"/>
  <c r="U147" i="1"/>
  <c r="U148" i="1"/>
  <c r="U149" i="1"/>
  <c r="U150" i="1"/>
  <c r="AA150" i="1" s="1"/>
  <c r="U151" i="1"/>
  <c r="U152" i="1"/>
  <c r="U153" i="1"/>
  <c r="U154" i="1"/>
  <c r="U155" i="1"/>
  <c r="U156" i="1"/>
  <c r="U157" i="1"/>
  <c r="U158" i="1"/>
  <c r="U159" i="1"/>
  <c r="AA159" i="1" s="1"/>
  <c r="U160" i="1"/>
  <c r="U161" i="1"/>
  <c r="U162" i="1"/>
  <c r="U163" i="1"/>
  <c r="U164" i="1"/>
  <c r="U165" i="1"/>
  <c r="U166" i="1"/>
  <c r="AA166" i="1" s="1"/>
  <c r="U167" i="1"/>
  <c r="U168" i="1"/>
  <c r="U169" i="1"/>
  <c r="U170" i="1"/>
  <c r="U171" i="1"/>
  <c r="U172" i="1"/>
  <c r="U173" i="1"/>
  <c r="AA173" i="1" s="1"/>
  <c r="U174" i="1"/>
  <c r="U175" i="1"/>
  <c r="U176" i="1"/>
  <c r="U177" i="1"/>
  <c r="U178" i="1"/>
  <c r="U179" i="1"/>
  <c r="U180" i="1"/>
  <c r="AA180" i="1" s="1"/>
  <c r="U181" i="1"/>
  <c r="U182" i="1"/>
  <c r="U183" i="1"/>
  <c r="U184" i="1"/>
  <c r="U185" i="1"/>
  <c r="U186" i="1"/>
  <c r="U187" i="1"/>
  <c r="U188" i="1"/>
  <c r="U189" i="1"/>
  <c r="AA189" i="1" s="1"/>
  <c r="U190" i="1"/>
  <c r="U191" i="1"/>
  <c r="U192" i="1"/>
  <c r="U193" i="1"/>
  <c r="U194" i="1"/>
  <c r="U195" i="1"/>
  <c r="U196" i="1"/>
  <c r="AA196" i="1" s="1"/>
  <c r="U197" i="1"/>
  <c r="U198" i="1"/>
  <c r="U199" i="1"/>
  <c r="U200" i="1"/>
  <c r="U201" i="1"/>
  <c r="U202" i="1"/>
  <c r="U203" i="1"/>
  <c r="AA203" i="1" s="1"/>
  <c r="U204" i="1"/>
  <c r="U205" i="1"/>
  <c r="U206" i="1"/>
  <c r="U207" i="1"/>
  <c r="U208" i="1"/>
  <c r="U209" i="1"/>
  <c r="U210" i="1"/>
  <c r="AA210" i="1" s="1"/>
  <c r="U211" i="1"/>
  <c r="U212" i="1"/>
  <c r="U213" i="1"/>
  <c r="U214" i="1"/>
  <c r="U215" i="1"/>
  <c r="U216" i="1"/>
  <c r="U217" i="1"/>
  <c r="U218" i="1"/>
  <c r="U219" i="1"/>
  <c r="AA219" i="1" s="1"/>
  <c r="U220" i="1"/>
  <c r="U221" i="1"/>
  <c r="U222" i="1"/>
  <c r="U223" i="1"/>
  <c r="U224" i="1"/>
  <c r="U225" i="1"/>
  <c r="U226" i="1"/>
  <c r="AA226" i="1" s="1"/>
  <c r="U227" i="1"/>
  <c r="U228" i="1"/>
  <c r="U229" i="1"/>
  <c r="U230" i="1"/>
  <c r="U231" i="1"/>
  <c r="U232" i="1"/>
  <c r="U233" i="1"/>
  <c r="AA233" i="1" s="1"/>
  <c r="U234" i="1"/>
  <c r="U235" i="1"/>
  <c r="U236" i="1"/>
  <c r="U237" i="1"/>
  <c r="U238" i="1"/>
  <c r="U239" i="1"/>
  <c r="U240" i="1"/>
  <c r="AA240" i="1" s="1"/>
  <c r="U241" i="1"/>
  <c r="U242" i="1"/>
  <c r="U243" i="1"/>
  <c r="U244" i="1"/>
  <c r="U245" i="1"/>
  <c r="U246" i="1"/>
  <c r="U247" i="1"/>
  <c r="U248" i="1"/>
  <c r="U249" i="1"/>
  <c r="AA249" i="1" s="1"/>
  <c r="U250" i="1"/>
  <c r="U251" i="1"/>
  <c r="U252" i="1"/>
  <c r="U253" i="1"/>
  <c r="U254" i="1"/>
  <c r="U255" i="1"/>
  <c r="U256" i="1"/>
  <c r="AA256" i="1" s="1"/>
  <c r="U257" i="1"/>
  <c r="U258" i="1"/>
  <c r="U259" i="1"/>
  <c r="U260" i="1"/>
  <c r="U261" i="1"/>
  <c r="U262" i="1"/>
  <c r="U263" i="1"/>
  <c r="AA263" i="1" s="1"/>
  <c r="U264" i="1"/>
  <c r="U265" i="1"/>
  <c r="U266" i="1"/>
  <c r="U267" i="1"/>
  <c r="U268" i="1"/>
  <c r="U269" i="1"/>
  <c r="U270" i="1"/>
  <c r="AA270" i="1" s="1"/>
  <c r="U271" i="1"/>
  <c r="U272" i="1"/>
  <c r="U273" i="1"/>
  <c r="U274" i="1"/>
  <c r="U275" i="1"/>
  <c r="U276" i="1"/>
  <c r="U277" i="1"/>
  <c r="U278" i="1"/>
  <c r="U279" i="1"/>
  <c r="AA279" i="1" s="1"/>
  <c r="U280" i="1"/>
  <c r="U281" i="1"/>
  <c r="U282" i="1"/>
  <c r="U283" i="1"/>
  <c r="U284" i="1"/>
  <c r="U285" i="1"/>
  <c r="U286" i="1"/>
  <c r="AA286" i="1" s="1"/>
  <c r="U287" i="1"/>
  <c r="U288" i="1"/>
  <c r="U289" i="1"/>
  <c r="U290" i="1"/>
  <c r="U291" i="1"/>
  <c r="U292" i="1"/>
  <c r="U293" i="1"/>
  <c r="AA293" i="1" s="1"/>
  <c r="U294" i="1"/>
  <c r="U295" i="1"/>
  <c r="U296" i="1"/>
  <c r="U297" i="1"/>
  <c r="U298" i="1"/>
  <c r="U299" i="1"/>
  <c r="U300" i="1"/>
  <c r="AA300" i="1" s="1"/>
  <c r="U301" i="1"/>
  <c r="U302" i="1"/>
  <c r="U303" i="1"/>
  <c r="U304" i="1"/>
  <c r="U305" i="1"/>
  <c r="U306" i="1"/>
  <c r="U307" i="1"/>
  <c r="U308" i="1"/>
  <c r="U309" i="1"/>
  <c r="AA309" i="1" s="1"/>
  <c r="U310" i="1"/>
  <c r="U311" i="1"/>
  <c r="U312" i="1"/>
  <c r="U313" i="1"/>
  <c r="U314" i="1"/>
  <c r="U315" i="1"/>
  <c r="U316" i="1"/>
  <c r="AA316" i="1" s="1"/>
  <c r="U317" i="1"/>
  <c r="U318" i="1"/>
  <c r="U319" i="1"/>
  <c r="U320" i="1"/>
  <c r="U321" i="1"/>
  <c r="U322" i="1"/>
  <c r="U323" i="1"/>
  <c r="AA323" i="1" s="1"/>
  <c r="U324" i="1"/>
  <c r="U325" i="1"/>
  <c r="U326" i="1"/>
  <c r="U327" i="1"/>
  <c r="U328" i="1"/>
  <c r="U329" i="1"/>
  <c r="U330" i="1"/>
  <c r="AA330" i="1" s="1"/>
  <c r="U331" i="1"/>
  <c r="U332" i="1"/>
  <c r="U333" i="1"/>
  <c r="U334" i="1"/>
  <c r="U335" i="1"/>
  <c r="U336" i="1"/>
  <c r="U337" i="1"/>
  <c r="U338" i="1"/>
  <c r="U339" i="1"/>
  <c r="AA339" i="1" s="1"/>
  <c r="U340" i="1"/>
  <c r="U341" i="1"/>
  <c r="U342" i="1"/>
  <c r="U343" i="1"/>
  <c r="U344" i="1"/>
  <c r="U345" i="1"/>
  <c r="U346" i="1"/>
  <c r="AA346" i="1" s="1"/>
  <c r="U347" i="1"/>
  <c r="U348" i="1"/>
  <c r="U349" i="1"/>
  <c r="U350" i="1"/>
  <c r="U351" i="1"/>
  <c r="U352" i="1"/>
  <c r="U353" i="1"/>
  <c r="AA353" i="1" s="1"/>
  <c r="U354" i="1"/>
  <c r="U355" i="1"/>
  <c r="U356" i="1"/>
  <c r="U357" i="1"/>
  <c r="U358" i="1"/>
  <c r="U359" i="1"/>
  <c r="U360" i="1"/>
  <c r="AA360" i="1" s="1"/>
  <c r="U361" i="1"/>
  <c r="U362" i="1"/>
  <c r="U363" i="1"/>
  <c r="U364" i="1"/>
  <c r="U365" i="1"/>
  <c r="U366" i="1"/>
  <c r="U367" i="1"/>
  <c r="U368" i="1"/>
  <c r="U369" i="1"/>
  <c r="AA369" i="1" s="1"/>
  <c r="U370" i="1"/>
  <c r="U371" i="1"/>
  <c r="U372" i="1"/>
  <c r="U373" i="1"/>
  <c r="U374" i="1"/>
  <c r="U375" i="1"/>
  <c r="U376" i="1"/>
  <c r="AA376" i="1" s="1"/>
  <c r="U377" i="1"/>
  <c r="U378" i="1"/>
  <c r="U379" i="1"/>
  <c r="U380" i="1"/>
  <c r="U381" i="1"/>
  <c r="U382" i="1"/>
  <c r="U383" i="1"/>
  <c r="AA383" i="1" s="1"/>
  <c r="U384" i="1"/>
  <c r="U385" i="1"/>
  <c r="U386" i="1"/>
  <c r="U387" i="1"/>
  <c r="U388" i="1"/>
  <c r="U389" i="1"/>
  <c r="U390" i="1"/>
  <c r="AA390" i="1" s="1"/>
  <c r="U391" i="1"/>
  <c r="U392" i="1"/>
  <c r="U393" i="1"/>
  <c r="U394" i="1"/>
  <c r="U395" i="1"/>
  <c r="U396" i="1"/>
  <c r="U397" i="1"/>
  <c r="U398" i="1"/>
  <c r="U399" i="1"/>
  <c r="AA399" i="1" s="1"/>
  <c r="U400" i="1"/>
  <c r="U401" i="1"/>
  <c r="U402" i="1"/>
  <c r="U403" i="1"/>
  <c r="U404" i="1"/>
  <c r="U405" i="1"/>
  <c r="U406" i="1"/>
  <c r="AA406" i="1" s="1"/>
  <c r="U407" i="1"/>
  <c r="U408" i="1"/>
  <c r="U409" i="1"/>
  <c r="U410" i="1"/>
  <c r="U411" i="1"/>
  <c r="U412" i="1"/>
  <c r="U413" i="1"/>
  <c r="AA413" i="1" s="1"/>
  <c r="U414" i="1"/>
  <c r="U415" i="1"/>
  <c r="U416" i="1"/>
  <c r="U417" i="1"/>
  <c r="U418" i="1"/>
  <c r="U419" i="1"/>
  <c r="U420" i="1"/>
  <c r="AA420" i="1" s="1"/>
  <c r="U421" i="1"/>
  <c r="U422" i="1"/>
  <c r="U423" i="1"/>
  <c r="U424" i="1"/>
  <c r="U425" i="1"/>
  <c r="U426" i="1"/>
  <c r="U427" i="1"/>
  <c r="U428" i="1"/>
  <c r="U429" i="1"/>
  <c r="AA429" i="1" s="1"/>
  <c r="U430" i="1"/>
  <c r="U431" i="1"/>
  <c r="U432" i="1"/>
  <c r="U433" i="1"/>
  <c r="U434" i="1"/>
  <c r="U435" i="1"/>
  <c r="U436" i="1"/>
  <c r="AA436" i="1" s="1"/>
  <c r="U437" i="1"/>
  <c r="U438" i="1"/>
  <c r="U439" i="1"/>
  <c r="U440" i="1"/>
  <c r="U441" i="1"/>
  <c r="U442" i="1"/>
  <c r="U443" i="1"/>
  <c r="AA443" i="1" s="1"/>
  <c r="U444" i="1"/>
  <c r="U445" i="1"/>
  <c r="U446" i="1"/>
  <c r="U447" i="1"/>
  <c r="U448" i="1"/>
  <c r="U449" i="1"/>
  <c r="U450" i="1"/>
  <c r="AA450" i="1" s="1"/>
  <c r="U451" i="1"/>
  <c r="U452" i="1"/>
  <c r="U453" i="1"/>
  <c r="U454" i="1"/>
  <c r="U455" i="1"/>
  <c r="U456" i="1"/>
  <c r="U457" i="1"/>
  <c r="U458" i="1"/>
  <c r="U459" i="1"/>
  <c r="AA459" i="1" s="1"/>
  <c r="U460" i="1"/>
  <c r="U461" i="1"/>
  <c r="U462" i="1"/>
  <c r="U463" i="1"/>
  <c r="U464" i="1"/>
  <c r="U465" i="1"/>
  <c r="U466" i="1"/>
  <c r="AA466" i="1" s="1"/>
  <c r="U467" i="1"/>
  <c r="U468" i="1"/>
  <c r="U469" i="1"/>
  <c r="U470" i="1"/>
  <c r="U471" i="1"/>
  <c r="U472" i="1"/>
  <c r="U473" i="1"/>
  <c r="AA473" i="1" s="1"/>
  <c r="U474" i="1"/>
  <c r="U475" i="1"/>
  <c r="U476" i="1"/>
  <c r="U477" i="1"/>
  <c r="U478" i="1"/>
  <c r="U479" i="1"/>
  <c r="U480" i="1"/>
  <c r="AA480" i="1" s="1"/>
  <c r="U481" i="1"/>
  <c r="U482" i="1"/>
  <c r="U483" i="1"/>
  <c r="U484" i="1"/>
  <c r="U485" i="1"/>
  <c r="U486" i="1"/>
  <c r="U487" i="1"/>
  <c r="U488" i="1"/>
  <c r="U489" i="1"/>
  <c r="AA489" i="1" s="1"/>
  <c r="U490" i="1"/>
  <c r="U491" i="1"/>
  <c r="U492" i="1"/>
  <c r="U493" i="1"/>
  <c r="U494" i="1"/>
  <c r="U495" i="1"/>
  <c r="U496" i="1"/>
  <c r="AA496" i="1" s="1"/>
  <c r="U497" i="1"/>
  <c r="U498" i="1"/>
  <c r="U499" i="1"/>
  <c r="U500" i="1"/>
  <c r="U501" i="1"/>
  <c r="U502" i="1"/>
  <c r="U503" i="1"/>
  <c r="AA503" i="1" s="1"/>
  <c r="U504" i="1"/>
  <c r="U505" i="1"/>
  <c r="U506" i="1"/>
  <c r="U507" i="1"/>
  <c r="U508" i="1"/>
  <c r="U509" i="1"/>
  <c r="U510" i="1"/>
  <c r="AA510" i="1" s="1"/>
  <c r="U511" i="1"/>
  <c r="U512" i="1"/>
  <c r="U513" i="1"/>
  <c r="U514" i="1"/>
  <c r="U515" i="1"/>
  <c r="U516" i="1"/>
  <c r="U517" i="1"/>
  <c r="U518" i="1"/>
  <c r="U519" i="1"/>
  <c r="AA519" i="1" s="1"/>
  <c r="U520" i="1"/>
  <c r="U521" i="1"/>
  <c r="U522" i="1"/>
  <c r="U523" i="1"/>
  <c r="U524" i="1"/>
  <c r="U525" i="1"/>
  <c r="U526" i="1"/>
  <c r="AA526" i="1" s="1"/>
  <c r="U527" i="1"/>
  <c r="U528" i="1"/>
  <c r="U529" i="1"/>
  <c r="U530" i="1"/>
  <c r="U531" i="1"/>
  <c r="U532" i="1"/>
  <c r="U533" i="1"/>
  <c r="AA533" i="1" s="1"/>
  <c r="U534" i="1"/>
  <c r="U535" i="1"/>
  <c r="U536" i="1"/>
  <c r="U537" i="1"/>
  <c r="U538" i="1"/>
  <c r="U539" i="1"/>
  <c r="U540" i="1"/>
  <c r="AA540" i="1" s="1"/>
  <c r="U541" i="1"/>
  <c r="U542" i="1"/>
  <c r="U543" i="1"/>
  <c r="U544" i="1"/>
  <c r="U545" i="1"/>
  <c r="U546" i="1"/>
  <c r="U547" i="1"/>
  <c r="U548" i="1"/>
  <c r="U549" i="1"/>
  <c r="AA549" i="1" s="1"/>
  <c r="U550" i="1"/>
  <c r="U551" i="1"/>
  <c r="U552" i="1"/>
  <c r="U553" i="1"/>
  <c r="U554" i="1"/>
  <c r="U555" i="1"/>
  <c r="U556" i="1"/>
  <c r="AA556" i="1" s="1"/>
  <c r="U557" i="1"/>
  <c r="U558" i="1"/>
  <c r="U559" i="1"/>
  <c r="U560" i="1"/>
  <c r="U561" i="1"/>
  <c r="U562" i="1"/>
  <c r="U563" i="1"/>
  <c r="AA563" i="1" s="1"/>
  <c r="U564" i="1"/>
  <c r="U565" i="1"/>
  <c r="U566" i="1"/>
  <c r="U567" i="1"/>
  <c r="U568" i="1"/>
  <c r="U569" i="1"/>
  <c r="U570" i="1"/>
  <c r="AA570" i="1" s="1"/>
  <c r="U571" i="1"/>
  <c r="U572" i="1"/>
  <c r="U573" i="1"/>
  <c r="U574" i="1"/>
  <c r="U575" i="1"/>
  <c r="U576" i="1"/>
  <c r="U577" i="1"/>
  <c r="U578" i="1"/>
  <c r="U579" i="1"/>
  <c r="AA579" i="1" s="1"/>
  <c r="U580" i="1"/>
  <c r="U581" i="1"/>
  <c r="U582" i="1"/>
  <c r="U583" i="1"/>
  <c r="U584" i="1"/>
  <c r="U585" i="1"/>
  <c r="U586" i="1"/>
  <c r="AA586" i="1" s="1"/>
  <c r="U587" i="1"/>
  <c r="U588" i="1"/>
  <c r="U589" i="1"/>
  <c r="U590" i="1"/>
  <c r="U591" i="1"/>
  <c r="U592" i="1"/>
  <c r="U593" i="1"/>
  <c r="AA593" i="1" s="1"/>
  <c r="U594" i="1"/>
  <c r="U595" i="1"/>
  <c r="U596" i="1"/>
  <c r="U597" i="1"/>
  <c r="U598" i="1"/>
  <c r="U599" i="1"/>
  <c r="U600" i="1"/>
  <c r="AA600" i="1" s="1"/>
  <c r="U601" i="1"/>
  <c r="U602" i="1"/>
  <c r="U603" i="1"/>
  <c r="U604" i="1"/>
  <c r="U605" i="1"/>
  <c r="U606" i="1"/>
  <c r="U607" i="1"/>
  <c r="U608" i="1"/>
  <c r="U609" i="1"/>
  <c r="AA609" i="1" s="1"/>
  <c r="U610" i="1"/>
  <c r="U611" i="1"/>
  <c r="U612" i="1"/>
  <c r="U613" i="1"/>
  <c r="U614" i="1"/>
  <c r="U615" i="1"/>
  <c r="U616" i="1"/>
  <c r="AA616" i="1" s="1"/>
  <c r="U617" i="1"/>
  <c r="U618" i="1"/>
  <c r="U619" i="1"/>
  <c r="U620" i="1"/>
  <c r="U621" i="1"/>
  <c r="U622" i="1"/>
  <c r="U623" i="1"/>
  <c r="AA623" i="1" s="1"/>
  <c r="U624" i="1"/>
  <c r="U625" i="1"/>
  <c r="U626" i="1"/>
  <c r="U627" i="1"/>
  <c r="U628" i="1"/>
  <c r="U629" i="1"/>
  <c r="U630" i="1"/>
  <c r="AA630" i="1" s="1"/>
  <c r="U631" i="1"/>
  <c r="U632" i="1"/>
  <c r="U633" i="1"/>
  <c r="U634" i="1"/>
  <c r="U635" i="1"/>
  <c r="U636" i="1"/>
  <c r="U637" i="1"/>
  <c r="U638" i="1"/>
  <c r="U639" i="1"/>
  <c r="AA639" i="1" s="1"/>
  <c r="U640" i="1"/>
  <c r="U641" i="1"/>
  <c r="U642" i="1"/>
  <c r="U643" i="1"/>
  <c r="U644" i="1"/>
  <c r="U645" i="1"/>
  <c r="U646" i="1"/>
  <c r="AA646" i="1" s="1"/>
  <c r="U647" i="1"/>
  <c r="U648" i="1"/>
  <c r="U649" i="1"/>
  <c r="U650" i="1"/>
  <c r="U651" i="1"/>
  <c r="U652" i="1"/>
  <c r="U653" i="1"/>
  <c r="AA653" i="1" s="1"/>
  <c r="U654" i="1"/>
  <c r="U655" i="1"/>
  <c r="U656" i="1"/>
  <c r="U657" i="1"/>
  <c r="U658" i="1"/>
  <c r="U659" i="1"/>
  <c r="U660" i="1"/>
  <c r="AA660" i="1" s="1"/>
  <c r="U661" i="1"/>
  <c r="U662" i="1"/>
  <c r="U663" i="1"/>
  <c r="U664" i="1"/>
  <c r="U665" i="1"/>
  <c r="U666" i="1"/>
  <c r="U667" i="1"/>
  <c r="U668" i="1"/>
  <c r="U669" i="1"/>
  <c r="AA669" i="1" s="1"/>
  <c r="U670" i="1"/>
  <c r="U671" i="1"/>
  <c r="U672" i="1"/>
  <c r="U673" i="1"/>
  <c r="U674" i="1"/>
  <c r="U675" i="1"/>
  <c r="U676" i="1"/>
  <c r="AA676" i="1" s="1"/>
  <c r="U677" i="1"/>
  <c r="U678" i="1"/>
  <c r="U679" i="1"/>
  <c r="U680" i="1"/>
  <c r="U681" i="1"/>
  <c r="U682" i="1"/>
  <c r="U683" i="1"/>
  <c r="AA683" i="1" s="1"/>
  <c r="U684" i="1"/>
  <c r="U685" i="1"/>
  <c r="U686" i="1"/>
  <c r="U687" i="1"/>
  <c r="U688" i="1"/>
  <c r="U689" i="1"/>
  <c r="U690" i="1"/>
  <c r="AA690" i="1" s="1"/>
  <c r="U691" i="1"/>
  <c r="U692" i="1"/>
  <c r="U693" i="1"/>
  <c r="U694" i="1"/>
  <c r="U695" i="1"/>
  <c r="U696" i="1"/>
  <c r="U697" i="1"/>
  <c r="U698" i="1"/>
  <c r="U699" i="1"/>
  <c r="AA699" i="1" s="1"/>
  <c r="U700" i="1"/>
  <c r="U701" i="1"/>
  <c r="U702" i="1"/>
  <c r="U703" i="1"/>
  <c r="U704" i="1"/>
  <c r="U705" i="1"/>
  <c r="U706" i="1"/>
  <c r="AA706" i="1" s="1"/>
  <c r="U707" i="1"/>
  <c r="U708" i="1"/>
  <c r="U709" i="1"/>
  <c r="U710" i="1"/>
  <c r="U711" i="1"/>
  <c r="U712" i="1"/>
  <c r="U713" i="1"/>
  <c r="AA713" i="1" s="1"/>
  <c r="U714" i="1"/>
  <c r="U715" i="1"/>
  <c r="U716" i="1"/>
  <c r="U717" i="1"/>
  <c r="U718" i="1"/>
  <c r="U719" i="1"/>
  <c r="U720" i="1"/>
  <c r="AA720" i="1" s="1"/>
  <c r="U721" i="1"/>
  <c r="U722" i="1"/>
  <c r="U723" i="1"/>
  <c r="U724" i="1"/>
  <c r="U725" i="1"/>
  <c r="U726" i="1"/>
  <c r="U727" i="1"/>
  <c r="U728" i="1"/>
  <c r="U729" i="1"/>
  <c r="AA729" i="1" s="1"/>
  <c r="U730" i="1"/>
  <c r="U731" i="1"/>
  <c r="U732" i="1"/>
  <c r="U733" i="1"/>
  <c r="U734" i="1"/>
  <c r="U735" i="1"/>
  <c r="U736" i="1"/>
  <c r="AA736" i="1" s="1"/>
  <c r="U737" i="1"/>
  <c r="U738" i="1"/>
  <c r="U739" i="1"/>
  <c r="U740" i="1"/>
  <c r="U741" i="1"/>
  <c r="U742" i="1"/>
  <c r="U743" i="1"/>
  <c r="AA743" i="1" s="1"/>
  <c r="U744" i="1"/>
  <c r="U745" i="1"/>
  <c r="U746" i="1"/>
  <c r="U747" i="1"/>
  <c r="U748" i="1"/>
  <c r="U749" i="1"/>
  <c r="U750" i="1"/>
  <c r="AA750" i="1" s="1"/>
  <c r="U751" i="1"/>
  <c r="U752" i="1"/>
  <c r="U753" i="1"/>
  <c r="U754" i="1"/>
  <c r="U755" i="1"/>
  <c r="U756" i="1"/>
  <c r="U757" i="1"/>
  <c r="U758" i="1"/>
  <c r="U759" i="1"/>
  <c r="AA759" i="1" s="1"/>
  <c r="U760" i="1"/>
  <c r="U761" i="1"/>
  <c r="U762" i="1"/>
  <c r="U763" i="1"/>
  <c r="U764" i="1"/>
  <c r="U765" i="1"/>
  <c r="U766" i="1"/>
  <c r="AA766" i="1" s="1"/>
  <c r="U767" i="1"/>
  <c r="U768" i="1"/>
  <c r="U769" i="1"/>
  <c r="U770" i="1"/>
  <c r="U771" i="1"/>
  <c r="U772" i="1"/>
  <c r="U773" i="1"/>
  <c r="AA773" i="1" s="1"/>
  <c r="U774" i="1"/>
  <c r="U775" i="1"/>
  <c r="U776" i="1"/>
  <c r="U777" i="1"/>
  <c r="U778" i="1"/>
  <c r="U779" i="1"/>
  <c r="U780" i="1"/>
  <c r="AA780" i="1" s="1"/>
  <c r="U781" i="1"/>
  <c r="U782" i="1"/>
  <c r="U783" i="1"/>
  <c r="U784" i="1"/>
  <c r="U785" i="1"/>
  <c r="U786" i="1"/>
  <c r="U787" i="1"/>
  <c r="U788" i="1"/>
  <c r="U789" i="1"/>
  <c r="AA789" i="1" s="1"/>
  <c r="U790" i="1"/>
  <c r="U791" i="1"/>
  <c r="U792" i="1"/>
  <c r="U793" i="1"/>
  <c r="U794" i="1"/>
  <c r="U795" i="1"/>
  <c r="U796" i="1"/>
  <c r="AA796" i="1" s="1"/>
  <c r="U797" i="1"/>
  <c r="U798" i="1"/>
  <c r="U799" i="1"/>
  <c r="U800" i="1"/>
  <c r="U801" i="1"/>
  <c r="U802" i="1"/>
  <c r="U803" i="1"/>
  <c r="AA803" i="1" s="1"/>
  <c r="U804" i="1"/>
  <c r="U805" i="1"/>
  <c r="U806" i="1"/>
  <c r="U807" i="1"/>
  <c r="U808" i="1"/>
  <c r="U809" i="1"/>
  <c r="U810" i="1"/>
  <c r="AA810" i="1" s="1"/>
  <c r="U811" i="1"/>
  <c r="U812" i="1"/>
  <c r="U813" i="1"/>
  <c r="U814" i="1"/>
  <c r="U815" i="1"/>
  <c r="U816" i="1"/>
  <c r="U817" i="1"/>
  <c r="U818" i="1"/>
  <c r="U819" i="1"/>
  <c r="AA819" i="1" s="1"/>
  <c r="U820" i="1"/>
  <c r="U821" i="1"/>
  <c r="U822" i="1"/>
  <c r="U823" i="1"/>
  <c r="U824" i="1"/>
  <c r="U825" i="1"/>
  <c r="U826" i="1"/>
  <c r="AA826" i="1" s="1"/>
  <c r="U827" i="1"/>
  <c r="U828" i="1"/>
  <c r="U829" i="1"/>
  <c r="U830" i="1"/>
  <c r="U831" i="1"/>
  <c r="U832" i="1"/>
  <c r="U833" i="1"/>
  <c r="AA833" i="1" s="1"/>
  <c r="U834" i="1"/>
  <c r="U835" i="1"/>
  <c r="U836" i="1"/>
  <c r="U837" i="1"/>
  <c r="U838" i="1"/>
  <c r="U839" i="1"/>
  <c r="U840" i="1"/>
  <c r="AA840" i="1" s="1"/>
  <c r="U841" i="1"/>
  <c r="U842" i="1"/>
  <c r="AG14" i="4"/>
  <c r="AN1" i="4"/>
  <c r="D3" i="4" s="1"/>
  <c r="AC33" i="1"/>
  <c r="AG33" i="1" s="1"/>
  <c r="AC34" i="1"/>
  <c r="AG34" i="1" s="1"/>
  <c r="AC35" i="1"/>
  <c r="AG35" i="1" s="1"/>
  <c r="AC36" i="1"/>
  <c r="AG36" i="1" s="1"/>
  <c r="AC37" i="1"/>
  <c r="AG37" i="1" s="1"/>
  <c r="AC38" i="1"/>
  <c r="AG38" i="1" s="1"/>
  <c r="AC39" i="1"/>
  <c r="AG39" i="1" s="1"/>
  <c r="AC40" i="1"/>
  <c r="AG40" i="1" s="1"/>
  <c r="AC41" i="1"/>
  <c r="AG41" i="1" s="1"/>
  <c r="AC42" i="1"/>
  <c r="AG42" i="1" s="1"/>
  <c r="AC43" i="1"/>
  <c r="AG43" i="1" s="1"/>
  <c r="AC44" i="1"/>
  <c r="AG44" i="1" s="1"/>
  <c r="AC45" i="1"/>
  <c r="AG45" i="1" s="1"/>
  <c r="AC46" i="1"/>
  <c r="AG46" i="1" s="1"/>
  <c r="AC47" i="1"/>
  <c r="AG47" i="1" s="1"/>
  <c r="AC48" i="1"/>
  <c r="AG48" i="1" s="1"/>
  <c r="AC49" i="1"/>
  <c r="AG49" i="1" s="1"/>
  <c r="AC50" i="1"/>
  <c r="AG50" i="1" s="1"/>
  <c r="AC51" i="1"/>
  <c r="AG51" i="1" s="1"/>
  <c r="AC52" i="1"/>
  <c r="AG52" i="1" s="1"/>
  <c r="AC53" i="1"/>
  <c r="AG53" i="1" s="1"/>
  <c r="AC55" i="1"/>
  <c r="AG55" i="1" s="1"/>
  <c r="AC56" i="1"/>
  <c r="AG56" i="1" s="1"/>
  <c r="AC57" i="1"/>
  <c r="AG57" i="1" s="1"/>
  <c r="AC58" i="1"/>
  <c r="AG58" i="1" s="1"/>
  <c r="AC59" i="1"/>
  <c r="AG59" i="1" s="1"/>
  <c r="AC60" i="1"/>
  <c r="AG60" i="1" s="1"/>
  <c r="AC61" i="1"/>
  <c r="AG61" i="1" s="1"/>
  <c r="AC62" i="1"/>
  <c r="AG62" i="1" s="1"/>
  <c r="AC63" i="1"/>
  <c r="AG63" i="1" s="1"/>
  <c r="AC64" i="1"/>
  <c r="AG64" i="1" s="1"/>
  <c r="AC65" i="1"/>
  <c r="AG65" i="1" s="1"/>
  <c r="AC66" i="1"/>
  <c r="AG66" i="1" s="1"/>
  <c r="AC67" i="1"/>
  <c r="AG67" i="1" s="1"/>
  <c r="AC68" i="1"/>
  <c r="AG68" i="1" s="1"/>
  <c r="AC69" i="1"/>
  <c r="AG69" i="1" s="1"/>
  <c r="AC70" i="1"/>
  <c r="AG70" i="1" s="1"/>
  <c r="AC71" i="1"/>
  <c r="AG71" i="1" s="1"/>
  <c r="AC72" i="1"/>
  <c r="AG72" i="1" s="1"/>
  <c r="AC73" i="1"/>
  <c r="AG73" i="1" s="1"/>
  <c r="AC74" i="1"/>
  <c r="AG74" i="1" s="1"/>
  <c r="AC75" i="1"/>
  <c r="AG75" i="1" s="1"/>
  <c r="AC76" i="1"/>
  <c r="AG76" i="1" s="1"/>
  <c r="AC77" i="1"/>
  <c r="AG77" i="1" s="1"/>
  <c r="AC78" i="1"/>
  <c r="AG78" i="1" s="1"/>
  <c r="AC79" i="1"/>
  <c r="AG79" i="1" s="1"/>
  <c r="AC80" i="1"/>
  <c r="AG80" i="1" s="1"/>
  <c r="AC81" i="1"/>
  <c r="AG81" i="1" s="1"/>
  <c r="AC82" i="1"/>
  <c r="AG82" i="1" s="1"/>
  <c r="AC83" i="1"/>
  <c r="AG83" i="1" s="1"/>
  <c r="AC84" i="1"/>
  <c r="AG84" i="1" s="1"/>
  <c r="AC85" i="1"/>
  <c r="AG85" i="1" s="1"/>
  <c r="AC86" i="1"/>
  <c r="AG86" i="1" s="1"/>
  <c r="AC87" i="1"/>
  <c r="AG87" i="1" s="1"/>
  <c r="AC88" i="1"/>
  <c r="AG88" i="1" s="1"/>
  <c r="AC89" i="1"/>
  <c r="AG89" i="1" s="1"/>
  <c r="AC90" i="1"/>
  <c r="AG90" i="1" s="1"/>
  <c r="AC91" i="1"/>
  <c r="AG91" i="1" s="1"/>
  <c r="AC92" i="1"/>
  <c r="AG92" i="1" s="1"/>
  <c r="AC93" i="1"/>
  <c r="AG93" i="1" s="1"/>
  <c r="AC94" i="1"/>
  <c r="AG94" i="1" s="1"/>
  <c r="AC95" i="1"/>
  <c r="AG95" i="1" s="1"/>
  <c r="AC96" i="1"/>
  <c r="AG96" i="1" s="1"/>
  <c r="AC97" i="1"/>
  <c r="AG97" i="1" s="1"/>
  <c r="AC98" i="1"/>
  <c r="AG98" i="1" s="1"/>
  <c r="AC99" i="1"/>
  <c r="AG99" i="1" s="1"/>
  <c r="AC100" i="1"/>
  <c r="AG100" i="1" s="1"/>
  <c r="AC101" i="1"/>
  <c r="AG101" i="1" s="1"/>
  <c r="AC102" i="1"/>
  <c r="AG102" i="1" s="1"/>
  <c r="AC103" i="1"/>
  <c r="AG103" i="1" s="1"/>
  <c r="AC104" i="1"/>
  <c r="AG104" i="1" s="1"/>
  <c r="AC105" i="1"/>
  <c r="AG105" i="1" s="1"/>
  <c r="AC106" i="1"/>
  <c r="AG106" i="1" s="1"/>
  <c r="AC107" i="1"/>
  <c r="AG107" i="1" s="1"/>
  <c r="AC108" i="1"/>
  <c r="AG108" i="1" s="1"/>
  <c r="AC109" i="1"/>
  <c r="AG109" i="1" s="1"/>
  <c r="AC110" i="1"/>
  <c r="AG110" i="1" s="1"/>
  <c r="AC111" i="1"/>
  <c r="AG111" i="1" s="1"/>
  <c r="AC112" i="1"/>
  <c r="AG112" i="1" s="1"/>
  <c r="AC113" i="1"/>
  <c r="AG113" i="1" s="1"/>
  <c r="AC114" i="1"/>
  <c r="AG114" i="1" s="1"/>
  <c r="AC115" i="1"/>
  <c r="AG115" i="1" s="1"/>
  <c r="AC116" i="1"/>
  <c r="AG116" i="1" s="1"/>
  <c r="AC117" i="1"/>
  <c r="AG117" i="1" s="1"/>
  <c r="AC118" i="1"/>
  <c r="AG118" i="1" s="1"/>
  <c r="AC119" i="1"/>
  <c r="AG119" i="1" s="1"/>
  <c r="AC120" i="1"/>
  <c r="AG120" i="1" s="1"/>
  <c r="AC121" i="1"/>
  <c r="AG121" i="1" s="1"/>
  <c r="AC122" i="1"/>
  <c r="AG122" i="1" s="1"/>
  <c r="AC123" i="1"/>
  <c r="AG123" i="1" s="1"/>
  <c r="AC124" i="1"/>
  <c r="AG124" i="1" s="1"/>
  <c r="AC125" i="1"/>
  <c r="AG125" i="1" s="1"/>
  <c r="AC126" i="1"/>
  <c r="AG126" i="1" s="1"/>
  <c r="AC127" i="1"/>
  <c r="AG127" i="1" s="1"/>
  <c r="AC128" i="1"/>
  <c r="AG128" i="1" s="1"/>
  <c r="AC129" i="1"/>
  <c r="AG129" i="1" s="1"/>
  <c r="AC130" i="1"/>
  <c r="AG130" i="1" s="1"/>
  <c r="AC131" i="1"/>
  <c r="AG131" i="1" s="1"/>
  <c r="AC132" i="1"/>
  <c r="AG132" i="1" s="1"/>
  <c r="AC133" i="1"/>
  <c r="AG133" i="1" s="1"/>
  <c r="AC134" i="1"/>
  <c r="AG134" i="1" s="1"/>
  <c r="AC135" i="1"/>
  <c r="AG135" i="1" s="1"/>
  <c r="AC136" i="1"/>
  <c r="AG136" i="1" s="1"/>
  <c r="AC137" i="1"/>
  <c r="AG137" i="1" s="1"/>
  <c r="AC138" i="1"/>
  <c r="AG138" i="1" s="1"/>
  <c r="AC139" i="1"/>
  <c r="AG139" i="1" s="1"/>
  <c r="AC140" i="1"/>
  <c r="AG140" i="1" s="1"/>
  <c r="AC141" i="1"/>
  <c r="AG141" i="1" s="1"/>
  <c r="AC142" i="1"/>
  <c r="AG142" i="1" s="1"/>
  <c r="AC143" i="1"/>
  <c r="AG143" i="1" s="1"/>
  <c r="AC144" i="1"/>
  <c r="AG144" i="1" s="1"/>
  <c r="AC145" i="1"/>
  <c r="AG145" i="1" s="1"/>
  <c r="AC146" i="1"/>
  <c r="AG146" i="1" s="1"/>
  <c r="AC147" i="1"/>
  <c r="AG147" i="1" s="1"/>
  <c r="AC148" i="1"/>
  <c r="AG148" i="1" s="1"/>
  <c r="AC149" i="1"/>
  <c r="AG149" i="1" s="1"/>
  <c r="AC150" i="1"/>
  <c r="AG150" i="1" s="1"/>
  <c r="AC151" i="1"/>
  <c r="AG151" i="1" s="1"/>
  <c r="AC152" i="1"/>
  <c r="AG152" i="1" s="1"/>
  <c r="AC153" i="1"/>
  <c r="AG153" i="1" s="1"/>
  <c r="AC154" i="1"/>
  <c r="AG154" i="1" s="1"/>
  <c r="AC155" i="1"/>
  <c r="AG155" i="1" s="1"/>
  <c r="AC156" i="1"/>
  <c r="AG156" i="1" s="1"/>
  <c r="AC157" i="1"/>
  <c r="AG157" i="1" s="1"/>
  <c r="AC158" i="1"/>
  <c r="AG158" i="1" s="1"/>
  <c r="AC159" i="1"/>
  <c r="AG159" i="1" s="1"/>
  <c r="AC160" i="1"/>
  <c r="AG160" i="1" s="1"/>
  <c r="AC161" i="1"/>
  <c r="AG161" i="1" s="1"/>
  <c r="AC162" i="1"/>
  <c r="AG162" i="1" s="1"/>
  <c r="AC163" i="1"/>
  <c r="AG163" i="1" s="1"/>
  <c r="AC164" i="1"/>
  <c r="AG164" i="1" s="1"/>
  <c r="AC165" i="1"/>
  <c r="AG165" i="1" s="1"/>
  <c r="AC166" i="1"/>
  <c r="AG166" i="1" s="1"/>
  <c r="AC167" i="1"/>
  <c r="AG167" i="1" s="1"/>
  <c r="AC168" i="1"/>
  <c r="AG168" i="1" s="1"/>
  <c r="AC169" i="1"/>
  <c r="AG169" i="1" s="1"/>
  <c r="AC170" i="1"/>
  <c r="AG170" i="1" s="1"/>
  <c r="AC171" i="1"/>
  <c r="AG171" i="1" s="1"/>
  <c r="AC172" i="1"/>
  <c r="AG172" i="1" s="1"/>
  <c r="AC173" i="1"/>
  <c r="AG173" i="1" s="1"/>
  <c r="AC174" i="1"/>
  <c r="AG174" i="1" s="1"/>
  <c r="AC175" i="1"/>
  <c r="AG175" i="1" s="1"/>
  <c r="AC176" i="1"/>
  <c r="AG176" i="1" s="1"/>
  <c r="AC177" i="1"/>
  <c r="AG177" i="1" s="1"/>
  <c r="AC178" i="1"/>
  <c r="AG178" i="1" s="1"/>
  <c r="AC179" i="1"/>
  <c r="AG179" i="1" s="1"/>
  <c r="AC180" i="1"/>
  <c r="AG180" i="1" s="1"/>
  <c r="AC181" i="1"/>
  <c r="AG181" i="1" s="1"/>
  <c r="AC182" i="1"/>
  <c r="AG182" i="1" s="1"/>
  <c r="AC213" i="1"/>
  <c r="AG213" i="1" s="1"/>
  <c r="AC214" i="1"/>
  <c r="AG214" i="1" s="1"/>
  <c r="AC215" i="1"/>
  <c r="AG215" i="1" s="1"/>
  <c r="AC216" i="1"/>
  <c r="AG216" i="1" s="1"/>
  <c r="AC217" i="1"/>
  <c r="AG217" i="1" s="1"/>
  <c r="AC218" i="1"/>
  <c r="AG218" i="1" s="1"/>
  <c r="AC219" i="1"/>
  <c r="AG219" i="1" s="1"/>
  <c r="AC220" i="1"/>
  <c r="AG220" i="1" s="1"/>
  <c r="AC221" i="1"/>
  <c r="AG221" i="1" s="1"/>
  <c r="AC222" i="1"/>
  <c r="AG222" i="1" s="1"/>
  <c r="AC223" i="1"/>
  <c r="AG223" i="1" s="1"/>
  <c r="AC224" i="1"/>
  <c r="AG224" i="1" s="1"/>
  <c r="AC225" i="1"/>
  <c r="AG225" i="1" s="1"/>
  <c r="AC226" i="1"/>
  <c r="AG226" i="1" s="1"/>
  <c r="AC227" i="1"/>
  <c r="AG227" i="1" s="1"/>
  <c r="AC228" i="1"/>
  <c r="AG228" i="1" s="1"/>
  <c r="AC229" i="1"/>
  <c r="AG229" i="1" s="1"/>
  <c r="AC230" i="1"/>
  <c r="AG230" i="1" s="1"/>
  <c r="AC231" i="1"/>
  <c r="AG231" i="1" s="1"/>
  <c r="AC232" i="1"/>
  <c r="AG232" i="1" s="1"/>
  <c r="AC233" i="1"/>
  <c r="AG233" i="1" s="1"/>
  <c r="AC234" i="1"/>
  <c r="AG234" i="1" s="1"/>
  <c r="AC235" i="1"/>
  <c r="AG235" i="1" s="1"/>
  <c r="AC236" i="1"/>
  <c r="AG236" i="1" s="1"/>
  <c r="AC237" i="1"/>
  <c r="AG237" i="1" s="1"/>
  <c r="AC238" i="1"/>
  <c r="AG238" i="1" s="1"/>
  <c r="AC239" i="1"/>
  <c r="AG239" i="1" s="1"/>
  <c r="AC240" i="1"/>
  <c r="AG240" i="1" s="1"/>
  <c r="AC241" i="1"/>
  <c r="AG241" i="1" s="1"/>
  <c r="AC242" i="1"/>
  <c r="AG242" i="1" s="1"/>
  <c r="AC333" i="1"/>
  <c r="AG333" i="1" s="1"/>
  <c r="AC334" i="1"/>
  <c r="AG334" i="1" s="1"/>
  <c r="AC335" i="1"/>
  <c r="AG335" i="1" s="1"/>
  <c r="AC336" i="1"/>
  <c r="AG336" i="1" s="1"/>
  <c r="AC337" i="1"/>
  <c r="AG337" i="1" s="1"/>
  <c r="AC338" i="1"/>
  <c r="AG338" i="1" s="1"/>
  <c r="AC339" i="1"/>
  <c r="AG339" i="1" s="1"/>
  <c r="AC340" i="1"/>
  <c r="AG340" i="1" s="1"/>
  <c r="AC341" i="1"/>
  <c r="AG341" i="1" s="1"/>
  <c r="AC342" i="1"/>
  <c r="AG342" i="1" s="1"/>
  <c r="AC343" i="1"/>
  <c r="AG343" i="1" s="1"/>
  <c r="AC344" i="1"/>
  <c r="AG344" i="1" s="1"/>
  <c r="AC345" i="1"/>
  <c r="AG345" i="1" s="1"/>
  <c r="AC346" i="1"/>
  <c r="AG346" i="1" s="1"/>
  <c r="AC347" i="1"/>
  <c r="AG347" i="1" s="1"/>
  <c r="AC348" i="1"/>
  <c r="AG348" i="1" s="1"/>
  <c r="AC349" i="1"/>
  <c r="AG349" i="1" s="1"/>
  <c r="AC350" i="1"/>
  <c r="AG350" i="1" s="1"/>
  <c r="AC351" i="1"/>
  <c r="AG351" i="1" s="1"/>
  <c r="AC352" i="1"/>
  <c r="AG352" i="1" s="1"/>
  <c r="AC353" i="1"/>
  <c r="AG353" i="1" s="1"/>
  <c r="AC354" i="1"/>
  <c r="AG354" i="1" s="1"/>
  <c r="AC355" i="1"/>
  <c r="AG355" i="1" s="1"/>
  <c r="AC356" i="1"/>
  <c r="AG356" i="1" s="1"/>
  <c r="AC357" i="1"/>
  <c r="AG357" i="1" s="1"/>
  <c r="AC358" i="1"/>
  <c r="AG358" i="1" s="1"/>
  <c r="AC359" i="1"/>
  <c r="AG359" i="1" s="1"/>
  <c r="AC360" i="1"/>
  <c r="AG360" i="1" s="1"/>
  <c r="AC361" i="1"/>
  <c r="AG361" i="1" s="1"/>
  <c r="AC362" i="1"/>
  <c r="AG362" i="1" s="1"/>
  <c r="AC423" i="1"/>
  <c r="AG423" i="1" s="1"/>
  <c r="AC424" i="1"/>
  <c r="AG424" i="1" s="1"/>
  <c r="AC425" i="1"/>
  <c r="AG425" i="1" s="1"/>
  <c r="AC426" i="1"/>
  <c r="AG426" i="1" s="1"/>
  <c r="AC427" i="1"/>
  <c r="AG427" i="1" s="1"/>
  <c r="AC428" i="1"/>
  <c r="AG428" i="1" s="1"/>
  <c r="AC429" i="1"/>
  <c r="AG429" i="1" s="1"/>
  <c r="AC430" i="1"/>
  <c r="AG430" i="1" s="1"/>
  <c r="AC431" i="1"/>
  <c r="AG431" i="1" s="1"/>
  <c r="AC432" i="1"/>
  <c r="AG432" i="1" s="1"/>
  <c r="AC433" i="1"/>
  <c r="AG433" i="1" s="1"/>
  <c r="AC434" i="1"/>
  <c r="AG434" i="1" s="1"/>
  <c r="AC435" i="1"/>
  <c r="AG435" i="1" s="1"/>
  <c r="AC436" i="1"/>
  <c r="AG436" i="1" s="1"/>
  <c r="AC437" i="1"/>
  <c r="AG437" i="1" s="1"/>
  <c r="AC438" i="1"/>
  <c r="AG438" i="1" s="1"/>
  <c r="AC439" i="1"/>
  <c r="AG439" i="1" s="1"/>
  <c r="AC440" i="1"/>
  <c r="AG440" i="1" s="1"/>
  <c r="AC441" i="1"/>
  <c r="AG441" i="1" s="1"/>
  <c r="AC442" i="1"/>
  <c r="AG442" i="1" s="1"/>
  <c r="AC443" i="1"/>
  <c r="AG443" i="1" s="1"/>
  <c r="AC444" i="1"/>
  <c r="AG444" i="1" s="1"/>
  <c r="AC445" i="1"/>
  <c r="AG445" i="1" s="1"/>
  <c r="AC446" i="1"/>
  <c r="AG446" i="1" s="1"/>
  <c r="AC447" i="1"/>
  <c r="AG447" i="1" s="1"/>
  <c r="AC448" i="1"/>
  <c r="AG448" i="1" s="1"/>
  <c r="AC449" i="1"/>
  <c r="AG449" i="1" s="1"/>
  <c r="AC450" i="1"/>
  <c r="AG450" i="1" s="1"/>
  <c r="AC451" i="1"/>
  <c r="AG451" i="1" s="1"/>
  <c r="AC452" i="1"/>
  <c r="AG452" i="1" s="1"/>
  <c r="AC453" i="1"/>
  <c r="AG453" i="1" s="1"/>
  <c r="AC454" i="1"/>
  <c r="AG454" i="1" s="1"/>
  <c r="AC455" i="1"/>
  <c r="AG455" i="1" s="1"/>
  <c r="AC456" i="1"/>
  <c r="AG456" i="1" s="1"/>
  <c r="AC457" i="1"/>
  <c r="AG457" i="1" s="1"/>
  <c r="AC458" i="1"/>
  <c r="AG458" i="1" s="1"/>
  <c r="AC459" i="1"/>
  <c r="AG459" i="1" s="1"/>
  <c r="AC460" i="1"/>
  <c r="AG460" i="1" s="1"/>
  <c r="AC461" i="1"/>
  <c r="AG461" i="1" s="1"/>
  <c r="AC462" i="1"/>
  <c r="AG462" i="1" s="1"/>
  <c r="AC463" i="1"/>
  <c r="AG463" i="1" s="1"/>
  <c r="AC464" i="1"/>
  <c r="AG464" i="1" s="1"/>
  <c r="AC465" i="1"/>
  <c r="AG465" i="1" s="1"/>
  <c r="AC466" i="1"/>
  <c r="AG466" i="1" s="1"/>
  <c r="AC467" i="1"/>
  <c r="AG467" i="1" s="1"/>
  <c r="AC468" i="1"/>
  <c r="AG468" i="1" s="1"/>
  <c r="AC469" i="1"/>
  <c r="AG469" i="1" s="1"/>
  <c r="AC470" i="1"/>
  <c r="AG470" i="1" s="1"/>
  <c r="AC471" i="1"/>
  <c r="AG471" i="1" s="1"/>
  <c r="AC472" i="1"/>
  <c r="AG472" i="1" s="1"/>
  <c r="AC473" i="1"/>
  <c r="AG473" i="1" s="1"/>
  <c r="AC474" i="1"/>
  <c r="AG474" i="1" s="1"/>
  <c r="AC475" i="1"/>
  <c r="AG475" i="1" s="1"/>
  <c r="AC476" i="1"/>
  <c r="AG476" i="1" s="1"/>
  <c r="AC477" i="1"/>
  <c r="AG477" i="1" s="1"/>
  <c r="AC478" i="1"/>
  <c r="AG478" i="1" s="1"/>
  <c r="AC479" i="1"/>
  <c r="AG479" i="1" s="1"/>
  <c r="AC480" i="1"/>
  <c r="AG480" i="1" s="1"/>
  <c r="AC481" i="1"/>
  <c r="AG481" i="1" s="1"/>
  <c r="AC482" i="1"/>
  <c r="AG482" i="1" s="1"/>
  <c r="AC483" i="1"/>
  <c r="AG483" i="1" s="1"/>
  <c r="AC484" i="1"/>
  <c r="AG484" i="1" s="1"/>
  <c r="AC485" i="1"/>
  <c r="AG485" i="1" s="1"/>
  <c r="AC486" i="1"/>
  <c r="AG486" i="1" s="1"/>
  <c r="AC487" i="1"/>
  <c r="AG487" i="1" s="1"/>
  <c r="AC488" i="1"/>
  <c r="AG488" i="1" s="1"/>
  <c r="AC489" i="1"/>
  <c r="AG489" i="1" s="1"/>
  <c r="AC490" i="1"/>
  <c r="AG490" i="1" s="1"/>
  <c r="AC491" i="1"/>
  <c r="AG491" i="1" s="1"/>
  <c r="AC492" i="1"/>
  <c r="AG492" i="1" s="1"/>
  <c r="AC493" i="1"/>
  <c r="AG493" i="1" s="1"/>
  <c r="AC494" i="1"/>
  <c r="AG494" i="1" s="1"/>
  <c r="AC495" i="1"/>
  <c r="AG495" i="1" s="1"/>
  <c r="AC496" i="1"/>
  <c r="AG496" i="1" s="1"/>
  <c r="AC497" i="1"/>
  <c r="AG497" i="1" s="1"/>
  <c r="AC498" i="1"/>
  <c r="AG498" i="1" s="1"/>
  <c r="AC499" i="1"/>
  <c r="AG499" i="1" s="1"/>
  <c r="AC500" i="1"/>
  <c r="AG500" i="1" s="1"/>
  <c r="AC501" i="1"/>
  <c r="AG501" i="1" s="1"/>
  <c r="AC502" i="1"/>
  <c r="AG502" i="1" s="1"/>
  <c r="AC503" i="1"/>
  <c r="AG503" i="1" s="1"/>
  <c r="AC504" i="1"/>
  <c r="AG504" i="1" s="1"/>
  <c r="AC505" i="1"/>
  <c r="AG505" i="1" s="1"/>
  <c r="AC506" i="1"/>
  <c r="AG506" i="1" s="1"/>
  <c r="AC507" i="1"/>
  <c r="AG507" i="1" s="1"/>
  <c r="AC508" i="1"/>
  <c r="AG508" i="1" s="1"/>
  <c r="AC509" i="1"/>
  <c r="AG509" i="1" s="1"/>
  <c r="AC510" i="1"/>
  <c r="AG510" i="1" s="1"/>
  <c r="AC511" i="1"/>
  <c r="AG511" i="1" s="1"/>
  <c r="AC512" i="1"/>
  <c r="AG512" i="1" s="1"/>
  <c r="AC543" i="1"/>
  <c r="AG543" i="1" s="1"/>
  <c r="AC544" i="1"/>
  <c r="AG544" i="1" s="1"/>
  <c r="AC545" i="1"/>
  <c r="AG545" i="1" s="1"/>
  <c r="AC546" i="1"/>
  <c r="AG546" i="1" s="1"/>
  <c r="AC547" i="1"/>
  <c r="AG547" i="1" s="1"/>
  <c r="AC548" i="1"/>
  <c r="AG548" i="1" s="1"/>
  <c r="AC549" i="1"/>
  <c r="AG549" i="1" s="1"/>
  <c r="AC550" i="1"/>
  <c r="AG550" i="1" s="1"/>
  <c r="AC551" i="1"/>
  <c r="AG551" i="1" s="1"/>
  <c r="AC552" i="1"/>
  <c r="AG552" i="1" s="1"/>
  <c r="AC553" i="1"/>
  <c r="AG553" i="1" s="1"/>
  <c r="AC554" i="1"/>
  <c r="AG554" i="1" s="1"/>
  <c r="AC555" i="1"/>
  <c r="AG555" i="1" s="1"/>
  <c r="AC556" i="1"/>
  <c r="AG556" i="1" s="1"/>
  <c r="AC557" i="1"/>
  <c r="AG557" i="1" s="1"/>
  <c r="AC558" i="1"/>
  <c r="AG558" i="1" s="1"/>
  <c r="AC559" i="1"/>
  <c r="AG559" i="1" s="1"/>
  <c r="AC560" i="1"/>
  <c r="AG560" i="1" s="1"/>
  <c r="AC561" i="1"/>
  <c r="AG561" i="1" s="1"/>
  <c r="AC562" i="1"/>
  <c r="AG562" i="1" s="1"/>
  <c r="AC563" i="1"/>
  <c r="AG563" i="1" s="1"/>
  <c r="AC564" i="1"/>
  <c r="AG564" i="1" s="1"/>
  <c r="AC565" i="1"/>
  <c r="AG565" i="1" s="1"/>
  <c r="AC566" i="1"/>
  <c r="AG566" i="1" s="1"/>
  <c r="AC567" i="1"/>
  <c r="AG567" i="1" s="1"/>
  <c r="AC568" i="1"/>
  <c r="AG568" i="1" s="1"/>
  <c r="AC569" i="1"/>
  <c r="AG569" i="1" s="1"/>
  <c r="AC570" i="1"/>
  <c r="AG570" i="1" s="1"/>
  <c r="AC571" i="1"/>
  <c r="AG571" i="1" s="1"/>
  <c r="AC572" i="1"/>
  <c r="AG572" i="1" s="1"/>
  <c r="AC573" i="1"/>
  <c r="AG573" i="1" s="1"/>
  <c r="AC574" i="1"/>
  <c r="AG574" i="1" s="1"/>
  <c r="AC575" i="1"/>
  <c r="AG575" i="1" s="1"/>
  <c r="AC576" i="1"/>
  <c r="AG576" i="1" s="1"/>
  <c r="AC577" i="1"/>
  <c r="AG577" i="1" s="1"/>
  <c r="AC578" i="1"/>
  <c r="AG578" i="1" s="1"/>
  <c r="AC579" i="1"/>
  <c r="AG579" i="1" s="1"/>
  <c r="AC580" i="1"/>
  <c r="AG580" i="1" s="1"/>
  <c r="AC581" i="1"/>
  <c r="AG581" i="1" s="1"/>
  <c r="AC582" i="1"/>
  <c r="AG582" i="1" s="1"/>
  <c r="AC583" i="1"/>
  <c r="AG583" i="1" s="1"/>
  <c r="AC584" i="1"/>
  <c r="AG584" i="1" s="1"/>
  <c r="AC585" i="1"/>
  <c r="AG585" i="1" s="1"/>
  <c r="AC586" i="1"/>
  <c r="AG586" i="1" s="1"/>
  <c r="AC587" i="1"/>
  <c r="AG587" i="1" s="1"/>
  <c r="AC588" i="1"/>
  <c r="AG588" i="1" s="1"/>
  <c r="AC589" i="1"/>
  <c r="AG589" i="1" s="1"/>
  <c r="AC590" i="1"/>
  <c r="AG590" i="1" s="1"/>
  <c r="AC591" i="1"/>
  <c r="AG591" i="1" s="1"/>
  <c r="AC592" i="1"/>
  <c r="AG592" i="1" s="1"/>
  <c r="AC593" i="1"/>
  <c r="AG593" i="1" s="1"/>
  <c r="AC594" i="1"/>
  <c r="AG594" i="1" s="1"/>
  <c r="AC595" i="1"/>
  <c r="AG595" i="1" s="1"/>
  <c r="AC596" i="1"/>
  <c r="AG596" i="1" s="1"/>
  <c r="AC597" i="1"/>
  <c r="AG597" i="1" s="1"/>
  <c r="AC598" i="1"/>
  <c r="AG598" i="1" s="1"/>
  <c r="AC599" i="1"/>
  <c r="AG599" i="1" s="1"/>
  <c r="AC600" i="1"/>
  <c r="AG600" i="1" s="1"/>
  <c r="AC601" i="1"/>
  <c r="AG601" i="1" s="1"/>
  <c r="AC602" i="1"/>
  <c r="AG602" i="1" s="1"/>
  <c r="AC603" i="1"/>
  <c r="AG603" i="1" s="1"/>
  <c r="AC604" i="1"/>
  <c r="AG604" i="1" s="1"/>
  <c r="AC605" i="1"/>
  <c r="AG605" i="1" s="1"/>
  <c r="AC606" i="1"/>
  <c r="AG606" i="1" s="1"/>
  <c r="AC607" i="1"/>
  <c r="AG607" i="1" s="1"/>
  <c r="AC608" i="1"/>
  <c r="AG608" i="1" s="1"/>
  <c r="AC609" i="1"/>
  <c r="AG609" i="1" s="1"/>
  <c r="AC610" i="1"/>
  <c r="AG610" i="1" s="1"/>
  <c r="AC611" i="1"/>
  <c r="AG611" i="1" s="1"/>
  <c r="AC612" i="1"/>
  <c r="AG612" i="1" s="1"/>
  <c r="AC613" i="1"/>
  <c r="AG613" i="1" s="1"/>
  <c r="AC614" i="1"/>
  <c r="AG614" i="1" s="1"/>
  <c r="AC615" i="1"/>
  <c r="AG615" i="1" s="1"/>
  <c r="AC616" i="1"/>
  <c r="AG616" i="1" s="1"/>
  <c r="AC617" i="1"/>
  <c r="AG617" i="1" s="1"/>
  <c r="AC618" i="1"/>
  <c r="AG618" i="1" s="1"/>
  <c r="AC619" i="1"/>
  <c r="AG619" i="1" s="1"/>
  <c r="AC620" i="1"/>
  <c r="AG620" i="1" s="1"/>
  <c r="AC621" i="1"/>
  <c r="AG621" i="1" s="1"/>
  <c r="AC622" i="1"/>
  <c r="AG622" i="1" s="1"/>
  <c r="AC623" i="1"/>
  <c r="AG623" i="1" s="1"/>
  <c r="AC624" i="1"/>
  <c r="AG624" i="1" s="1"/>
  <c r="AC625" i="1"/>
  <c r="AG625" i="1" s="1"/>
  <c r="AC626" i="1"/>
  <c r="AG626" i="1" s="1"/>
  <c r="AC627" i="1"/>
  <c r="AG627" i="1" s="1"/>
  <c r="AC628" i="1"/>
  <c r="AG628" i="1" s="1"/>
  <c r="AC629" i="1"/>
  <c r="AG629" i="1" s="1"/>
  <c r="AC630" i="1"/>
  <c r="AG630" i="1" s="1"/>
  <c r="AC631" i="1"/>
  <c r="AG631" i="1" s="1"/>
  <c r="AC632" i="1"/>
  <c r="AG632" i="1" s="1"/>
  <c r="AC663" i="1"/>
  <c r="AG663" i="1" s="1"/>
  <c r="AC664" i="1"/>
  <c r="AG664" i="1" s="1"/>
  <c r="AC665" i="1"/>
  <c r="AG665" i="1" s="1"/>
  <c r="AC666" i="1"/>
  <c r="AG666" i="1" s="1"/>
  <c r="AC667" i="1"/>
  <c r="AG667" i="1" s="1"/>
  <c r="AC668" i="1"/>
  <c r="AG668" i="1" s="1"/>
  <c r="AC669" i="1"/>
  <c r="AG669" i="1" s="1"/>
  <c r="AC670" i="1"/>
  <c r="AG670" i="1" s="1"/>
  <c r="AC671" i="1"/>
  <c r="AG671" i="1" s="1"/>
  <c r="AC672" i="1"/>
  <c r="AG672" i="1" s="1"/>
  <c r="AC673" i="1"/>
  <c r="AG673" i="1" s="1"/>
  <c r="AC674" i="1"/>
  <c r="AG674" i="1" s="1"/>
  <c r="AC675" i="1"/>
  <c r="AG675" i="1" s="1"/>
  <c r="AC676" i="1"/>
  <c r="AG676" i="1" s="1"/>
  <c r="AC677" i="1"/>
  <c r="AG677" i="1" s="1"/>
  <c r="AC678" i="1"/>
  <c r="AG678" i="1" s="1"/>
  <c r="AC679" i="1"/>
  <c r="AG679" i="1" s="1"/>
  <c r="AC680" i="1"/>
  <c r="AG680" i="1" s="1"/>
  <c r="AC681" i="1"/>
  <c r="AG681" i="1" s="1"/>
  <c r="AC682" i="1"/>
  <c r="AG682" i="1" s="1"/>
  <c r="AC683" i="1"/>
  <c r="AG683" i="1" s="1"/>
  <c r="AC684" i="1"/>
  <c r="AG684" i="1" s="1"/>
  <c r="AC685" i="1"/>
  <c r="AG685" i="1" s="1"/>
  <c r="AC686" i="1"/>
  <c r="AG686" i="1" s="1"/>
  <c r="AC687" i="1"/>
  <c r="AG687" i="1" s="1"/>
  <c r="AC688" i="1"/>
  <c r="AG688" i="1" s="1"/>
  <c r="AC689" i="1"/>
  <c r="AG689" i="1" s="1"/>
  <c r="AC690" i="1"/>
  <c r="AG690" i="1" s="1"/>
  <c r="AC691" i="1"/>
  <c r="AG691" i="1" s="1"/>
  <c r="AC692" i="1"/>
  <c r="AG692" i="1" s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R768" i="1" l="1"/>
  <c r="R448" i="1"/>
  <c r="R80" i="1"/>
  <c r="R639" i="1"/>
  <c r="R399" i="1"/>
  <c r="R159" i="1"/>
  <c r="R830" i="1"/>
  <c r="R782" i="1"/>
  <c r="R734" i="1"/>
  <c r="R686" i="1"/>
  <c r="R638" i="1"/>
  <c r="R590" i="1"/>
  <c r="R542" i="1"/>
  <c r="R494" i="1"/>
  <c r="R446" i="1"/>
  <c r="R382" i="1"/>
  <c r="R334" i="1"/>
  <c r="R286" i="1"/>
  <c r="R254" i="1"/>
  <c r="R222" i="1"/>
  <c r="R190" i="1"/>
  <c r="R158" i="1"/>
  <c r="R126" i="1"/>
  <c r="R78" i="1"/>
  <c r="R14" i="1"/>
  <c r="R829" i="1"/>
  <c r="R813" i="1"/>
  <c r="R797" i="1"/>
  <c r="R781" i="1"/>
  <c r="R765" i="1"/>
  <c r="R749" i="1"/>
  <c r="R733" i="1"/>
  <c r="R717" i="1"/>
  <c r="R701" i="1"/>
  <c r="R685" i="1"/>
  <c r="R669" i="1"/>
  <c r="R653" i="1"/>
  <c r="R637" i="1"/>
  <c r="R621" i="1"/>
  <c r="R605" i="1"/>
  <c r="R589" i="1"/>
  <c r="R573" i="1"/>
  <c r="R557" i="1"/>
  <c r="R541" i="1"/>
  <c r="R525" i="1"/>
  <c r="R509" i="1"/>
  <c r="R493" i="1"/>
  <c r="R477" i="1"/>
  <c r="R461" i="1"/>
  <c r="R445" i="1"/>
  <c r="R429" i="1"/>
  <c r="R413" i="1"/>
  <c r="R397" i="1"/>
  <c r="R381" i="1"/>
  <c r="R365" i="1"/>
  <c r="R349" i="1"/>
  <c r="R333" i="1"/>
  <c r="R317" i="1"/>
  <c r="R301" i="1"/>
  <c r="R285" i="1"/>
  <c r="R269" i="1"/>
  <c r="R253" i="1"/>
  <c r="R237" i="1"/>
  <c r="R221" i="1"/>
  <c r="R205" i="1"/>
  <c r="R189" i="1"/>
  <c r="R173" i="1"/>
  <c r="R157" i="1"/>
  <c r="R141" i="1"/>
  <c r="R125" i="1"/>
  <c r="R109" i="1"/>
  <c r="R93" i="1"/>
  <c r="R77" i="1"/>
  <c r="R61" i="1"/>
  <c r="R45" i="1"/>
  <c r="R29" i="1"/>
  <c r="R13" i="1"/>
  <c r="R688" i="1"/>
  <c r="R528" i="1"/>
  <c r="R160" i="1"/>
  <c r="R783" i="1"/>
  <c r="R623" i="1"/>
  <c r="R559" i="1"/>
  <c r="R415" i="1"/>
  <c r="R319" i="1"/>
  <c r="R239" i="1"/>
  <c r="R47" i="1"/>
  <c r="R798" i="1"/>
  <c r="R750" i="1"/>
  <c r="R702" i="1"/>
  <c r="R654" i="1"/>
  <c r="R606" i="1"/>
  <c r="R558" i="1"/>
  <c r="R510" i="1"/>
  <c r="R462" i="1"/>
  <c r="R430" i="1"/>
  <c r="R398" i="1"/>
  <c r="R350" i="1"/>
  <c r="R302" i="1"/>
  <c r="R270" i="1"/>
  <c r="R238" i="1"/>
  <c r="R206" i="1"/>
  <c r="R174" i="1"/>
  <c r="R142" i="1"/>
  <c r="R110" i="1"/>
  <c r="R94" i="1"/>
  <c r="R62" i="1"/>
  <c r="R30" i="1"/>
  <c r="R828" i="1"/>
  <c r="R812" i="1"/>
  <c r="R796" i="1"/>
  <c r="R780" i="1"/>
  <c r="R764" i="1"/>
  <c r="R748" i="1"/>
  <c r="R732" i="1"/>
  <c r="R716" i="1"/>
  <c r="R700" i="1"/>
  <c r="R684" i="1"/>
  <c r="R668" i="1"/>
  <c r="R652" i="1"/>
  <c r="R636" i="1"/>
  <c r="R620" i="1"/>
  <c r="R604" i="1"/>
  <c r="R588" i="1"/>
  <c r="R572" i="1"/>
  <c r="R556" i="1"/>
  <c r="R540" i="1"/>
  <c r="R524" i="1"/>
  <c r="R508" i="1"/>
  <c r="R492" i="1"/>
  <c r="R476" i="1"/>
  <c r="R460" i="1"/>
  <c r="R444" i="1"/>
  <c r="R428" i="1"/>
  <c r="R412" i="1"/>
  <c r="R396" i="1"/>
  <c r="R380" i="1"/>
  <c r="R364" i="1"/>
  <c r="R348" i="1"/>
  <c r="R332" i="1"/>
  <c r="R316" i="1"/>
  <c r="R300" i="1"/>
  <c r="R284" i="1"/>
  <c r="R268" i="1"/>
  <c r="R252" i="1"/>
  <c r="R236" i="1"/>
  <c r="R220" i="1"/>
  <c r="R204" i="1"/>
  <c r="R188" i="1"/>
  <c r="R172" i="1"/>
  <c r="R156" i="1"/>
  <c r="R140" i="1"/>
  <c r="R124" i="1"/>
  <c r="R108" i="1"/>
  <c r="R92" i="1"/>
  <c r="R76" i="1"/>
  <c r="R60" i="1"/>
  <c r="R44" i="1"/>
  <c r="R28" i="1"/>
  <c r="R12" i="1"/>
  <c r="R784" i="1"/>
  <c r="R624" i="1"/>
  <c r="R496" i="1"/>
  <c r="R352" i="1"/>
  <c r="R240" i="1"/>
  <c r="R112" i="1"/>
  <c r="R719" i="1"/>
  <c r="R575" i="1"/>
  <c r="R479" i="1"/>
  <c r="R367" i="1"/>
  <c r="R287" i="1"/>
  <c r="R255" i="1"/>
  <c r="R207" i="1"/>
  <c r="R79" i="1"/>
  <c r="R814" i="1"/>
  <c r="R766" i="1"/>
  <c r="R718" i="1"/>
  <c r="R670" i="1"/>
  <c r="R622" i="1"/>
  <c r="R574" i="1"/>
  <c r="R526" i="1"/>
  <c r="R478" i="1"/>
  <c r="R414" i="1"/>
  <c r="R366" i="1"/>
  <c r="R318" i="1"/>
  <c r="R46" i="1"/>
  <c r="R827" i="1"/>
  <c r="R811" i="1"/>
  <c r="R795" i="1"/>
  <c r="R779" i="1"/>
  <c r="R763" i="1"/>
  <c r="R747" i="1"/>
  <c r="R731" i="1"/>
  <c r="R715" i="1"/>
  <c r="R699" i="1"/>
  <c r="R683" i="1"/>
  <c r="R667" i="1"/>
  <c r="R651" i="1"/>
  <c r="R635" i="1"/>
  <c r="R619" i="1"/>
  <c r="R603" i="1"/>
  <c r="R587" i="1"/>
  <c r="R571" i="1"/>
  <c r="R555" i="1"/>
  <c r="R539" i="1"/>
  <c r="R523" i="1"/>
  <c r="R507" i="1"/>
  <c r="R491" i="1"/>
  <c r="R475" i="1"/>
  <c r="R459" i="1"/>
  <c r="R443" i="1"/>
  <c r="R427" i="1"/>
  <c r="R411" i="1"/>
  <c r="R395" i="1"/>
  <c r="R379" i="1"/>
  <c r="R363" i="1"/>
  <c r="R347" i="1"/>
  <c r="R331" i="1"/>
  <c r="R315" i="1"/>
  <c r="R299" i="1"/>
  <c r="R283" i="1"/>
  <c r="R267" i="1"/>
  <c r="R251" i="1"/>
  <c r="R235" i="1"/>
  <c r="R219" i="1"/>
  <c r="R203" i="1"/>
  <c r="R187" i="1"/>
  <c r="R171" i="1"/>
  <c r="R155" i="1"/>
  <c r="R139" i="1"/>
  <c r="R123" i="1"/>
  <c r="R107" i="1"/>
  <c r="R91" i="1"/>
  <c r="R75" i="1"/>
  <c r="R59" i="1"/>
  <c r="R43" i="1"/>
  <c r="R27" i="1"/>
  <c r="R11" i="1"/>
  <c r="R816" i="1"/>
  <c r="R576" i="1"/>
  <c r="R416" i="1"/>
  <c r="R272" i="1"/>
  <c r="R48" i="1"/>
  <c r="R703" i="1"/>
  <c r="R191" i="1"/>
  <c r="R842" i="1"/>
  <c r="R826" i="1"/>
  <c r="R810" i="1"/>
  <c r="R794" i="1"/>
  <c r="R778" i="1"/>
  <c r="R762" i="1"/>
  <c r="R746" i="1"/>
  <c r="R730" i="1"/>
  <c r="R714" i="1"/>
  <c r="R698" i="1"/>
  <c r="R682" i="1"/>
  <c r="R666" i="1"/>
  <c r="R650" i="1"/>
  <c r="R634" i="1"/>
  <c r="R618" i="1"/>
  <c r="R602" i="1"/>
  <c r="R586" i="1"/>
  <c r="R570" i="1"/>
  <c r="R554" i="1"/>
  <c r="R538" i="1"/>
  <c r="R522" i="1"/>
  <c r="R506" i="1"/>
  <c r="R490" i="1"/>
  <c r="R474" i="1"/>
  <c r="R458" i="1"/>
  <c r="R442" i="1"/>
  <c r="R426" i="1"/>
  <c r="R410" i="1"/>
  <c r="R394" i="1"/>
  <c r="R378" i="1"/>
  <c r="R362" i="1"/>
  <c r="R346" i="1"/>
  <c r="R330" i="1"/>
  <c r="R314" i="1"/>
  <c r="R298" i="1"/>
  <c r="R282" i="1"/>
  <c r="R266" i="1"/>
  <c r="R250" i="1"/>
  <c r="R234" i="1"/>
  <c r="R218" i="1"/>
  <c r="R202" i="1"/>
  <c r="R186" i="1"/>
  <c r="R170" i="1"/>
  <c r="R154" i="1"/>
  <c r="R138" i="1"/>
  <c r="R122" i="1"/>
  <c r="R106" i="1"/>
  <c r="R90" i="1"/>
  <c r="R74" i="1"/>
  <c r="R58" i="1"/>
  <c r="R42" i="1"/>
  <c r="R26" i="1"/>
  <c r="R10" i="1"/>
  <c r="R672" i="1"/>
  <c r="R432" i="1"/>
  <c r="R128" i="1"/>
  <c r="R751" i="1"/>
  <c r="R495" i="1"/>
  <c r="R143" i="1"/>
  <c r="R841" i="1"/>
  <c r="R825" i="1"/>
  <c r="R809" i="1"/>
  <c r="R793" i="1"/>
  <c r="R777" i="1"/>
  <c r="R761" i="1"/>
  <c r="R745" i="1"/>
  <c r="R729" i="1"/>
  <c r="R713" i="1"/>
  <c r="R697" i="1"/>
  <c r="R681" i="1"/>
  <c r="R665" i="1"/>
  <c r="R649" i="1"/>
  <c r="R633" i="1"/>
  <c r="R617" i="1"/>
  <c r="R601" i="1"/>
  <c r="R585" i="1"/>
  <c r="R569" i="1"/>
  <c r="R553" i="1"/>
  <c r="R537" i="1"/>
  <c r="R521" i="1"/>
  <c r="R505" i="1"/>
  <c r="R489" i="1"/>
  <c r="R473" i="1"/>
  <c r="R457" i="1"/>
  <c r="R441" i="1"/>
  <c r="R425" i="1"/>
  <c r="R409" i="1"/>
  <c r="R393" i="1"/>
  <c r="R377" i="1"/>
  <c r="R361" i="1"/>
  <c r="R345" i="1"/>
  <c r="R329" i="1"/>
  <c r="R313" i="1"/>
  <c r="R297" i="1"/>
  <c r="R281" i="1"/>
  <c r="R265" i="1"/>
  <c r="R249" i="1"/>
  <c r="R233" i="1"/>
  <c r="R217" i="1"/>
  <c r="R201" i="1"/>
  <c r="R185" i="1"/>
  <c r="R169" i="1"/>
  <c r="R153" i="1"/>
  <c r="R137" i="1"/>
  <c r="R121" i="1"/>
  <c r="R105" i="1"/>
  <c r="R89" i="1"/>
  <c r="R73" i="1"/>
  <c r="R57" i="1"/>
  <c r="R41" i="1"/>
  <c r="R25" i="1"/>
  <c r="R9" i="1"/>
  <c r="R752" i="1"/>
  <c r="R608" i="1"/>
  <c r="R480" i="1"/>
  <c r="R320" i="1"/>
  <c r="R96" i="1"/>
  <c r="R815" i="1"/>
  <c r="R671" i="1"/>
  <c r="R527" i="1"/>
  <c r="R351" i="1"/>
  <c r="R15" i="1"/>
  <c r="R840" i="1"/>
  <c r="R824" i="1"/>
  <c r="R808" i="1"/>
  <c r="R792" i="1"/>
  <c r="R776" i="1"/>
  <c r="R760" i="1"/>
  <c r="R744" i="1"/>
  <c r="R728" i="1"/>
  <c r="R712" i="1"/>
  <c r="R696" i="1"/>
  <c r="R680" i="1"/>
  <c r="R664" i="1"/>
  <c r="R648" i="1"/>
  <c r="R632" i="1"/>
  <c r="R616" i="1"/>
  <c r="R600" i="1"/>
  <c r="R584" i="1"/>
  <c r="R568" i="1"/>
  <c r="R552" i="1"/>
  <c r="R536" i="1"/>
  <c r="R520" i="1"/>
  <c r="R504" i="1"/>
  <c r="R488" i="1"/>
  <c r="R472" i="1"/>
  <c r="R456" i="1"/>
  <c r="R440" i="1"/>
  <c r="R424" i="1"/>
  <c r="R408" i="1"/>
  <c r="R392" i="1"/>
  <c r="R376" i="1"/>
  <c r="R360" i="1"/>
  <c r="R344" i="1"/>
  <c r="R328" i="1"/>
  <c r="R312" i="1"/>
  <c r="R296" i="1"/>
  <c r="R280" i="1"/>
  <c r="R264" i="1"/>
  <c r="R248" i="1"/>
  <c r="R232" i="1"/>
  <c r="R216" i="1"/>
  <c r="R200" i="1"/>
  <c r="R184" i="1"/>
  <c r="R168" i="1"/>
  <c r="R152" i="1"/>
  <c r="R136" i="1"/>
  <c r="R120" i="1"/>
  <c r="R104" i="1"/>
  <c r="R88" i="1"/>
  <c r="R72" i="1"/>
  <c r="R56" i="1"/>
  <c r="R40" i="1"/>
  <c r="R24" i="1"/>
  <c r="R8" i="1"/>
  <c r="R720" i="1"/>
  <c r="R176" i="1"/>
  <c r="R111" i="1"/>
  <c r="R839" i="1"/>
  <c r="R823" i="1"/>
  <c r="R807" i="1"/>
  <c r="R791" i="1"/>
  <c r="R775" i="1"/>
  <c r="R759" i="1"/>
  <c r="R743" i="1"/>
  <c r="R727" i="1"/>
  <c r="R711" i="1"/>
  <c r="R695" i="1"/>
  <c r="R679" i="1"/>
  <c r="R663" i="1"/>
  <c r="R647" i="1"/>
  <c r="R631" i="1"/>
  <c r="R615" i="1"/>
  <c r="R599" i="1"/>
  <c r="R583" i="1"/>
  <c r="R567" i="1"/>
  <c r="R551" i="1"/>
  <c r="R535" i="1"/>
  <c r="R519" i="1"/>
  <c r="R503" i="1"/>
  <c r="R487" i="1"/>
  <c r="R471" i="1"/>
  <c r="R455" i="1"/>
  <c r="R439" i="1"/>
  <c r="R423" i="1"/>
  <c r="R407" i="1"/>
  <c r="R391" i="1"/>
  <c r="R375" i="1"/>
  <c r="R359" i="1"/>
  <c r="R343" i="1"/>
  <c r="R327" i="1"/>
  <c r="R311" i="1"/>
  <c r="R295" i="1"/>
  <c r="R279" i="1"/>
  <c r="R263" i="1"/>
  <c r="R247" i="1"/>
  <c r="R231" i="1"/>
  <c r="R215" i="1"/>
  <c r="R199" i="1"/>
  <c r="R183" i="1"/>
  <c r="R167" i="1"/>
  <c r="R151" i="1"/>
  <c r="R135" i="1"/>
  <c r="R119" i="1"/>
  <c r="R103" i="1"/>
  <c r="R87" i="1"/>
  <c r="R71" i="1"/>
  <c r="R55" i="1"/>
  <c r="R39" i="1"/>
  <c r="R23" i="1"/>
  <c r="R7" i="1"/>
  <c r="R431" i="1"/>
  <c r="R63" i="1"/>
  <c r="R838" i="1"/>
  <c r="R822" i="1"/>
  <c r="R806" i="1"/>
  <c r="R790" i="1"/>
  <c r="R774" i="1"/>
  <c r="R758" i="1"/>
  <c r="R742" i="1"/>
  <c r="R726" i="1"/>
  <c r="R710" i="1"/>
  <c r="R694" i="1"/>
  <c r="R678" i="1"/>
  <c r="R662" i="1"/>
  <c r="R646" i="1"/>
  <c r="R630" i="1"/>
  <c r="R614" i="1"/>
  <c r="R598" i="1"/>
  <c r="R582" i="1"/>
  <c r="R566" i="1"/>
  <c r="R550" i="1"/>
  <c r="R534" i="1"/>
  <c r="R518" i="1"/>
  <c r="R502" i="1"/>
  <c r="R486" i="1"/>
  <c r="R470" i="1"/>
  <c r="R454" i="1"/>
  <c r="R438" i="1"/>
  <c r="R422" i="1"/>
  <c r="R406" i="1"/>
  <c r="R390" i="1"/>
  <c r="R374" i="1"/>
  <c r="R358" i="1"/>
  <c r="R342" i="1"/>
  <c r="R326" i="1"/>
  <c r="R310" i="1"/>
  <c r="R294" i="1"/>
  <c r="R278" i="1"/>
  <c r="R262" i="1"/>
  <c r="R246" i="1"/>
  <c r="R230" i="1"/>
  <c r="R214" i="1"/>
  <c r="R198" i="1"/>
  <c r="R182" i="1"/>
  <c r="R166" i="1"/>
  <c r="R150" i="1"/>
  <c r="R134" i="1"/>
  <c r="R118" i="1"/>
  <c r="R102" i="1"/>
  <c r="R86" i="1"/>
  <c r="R70" i="1"/>
  <c r="R54" i="1"/>
  <c r="R38" i="1"/>
  <c r="R22" i="1"/>
  <c r="R6" i="1"/>
  <c r="R704" i="1"/>
  <c r="R560" i="1"/>
  <c r="R400" i="1"/>
  <c r="R288" i="1"/>
  <c r="R208" i="1"/>
  <c r="R16" i="1"/>
  <c r="R767" i="1"/>
  <c r="R607" i="1"/>
  <c r="R447" i="1"/>
  <c r="R175" i="1"/>
  <c r="R837" i="1"/>
  <c r="R821" i="1"/>
  <c r="R805" i="1"/>
  <c r="R789" i="1"/>
  <c r="R773" i="1"/>
  <c r="R757" i="1"/>
  <c r="R741" i="1"/>
  <c r="R725" i="1"/>
  <c r="R709" i="1"/>
  <c r="R693" i="1"/>
  <c r="R677" i="1"/>
  <c r="R661" i="1"/>
  <c r="R645" i="1"/>
  <c r="R629" i="1"/>
  <c r="R613" i="1"/>
  <c r="R597" i="1"/>
  <c r="R581" i="1"/>
  <c r="R565" i="1"/>
  <c r="R549" i="1"/>
  <c r="R533" i="1"/>
  <c r="R517" i="1"/>
  <c r="R501" i="1"/>
  <c r="R485" i="1"/>
  <c r="R469" i="1"/>
  <c r="R453" i="1"/>
  <c r="R437" i="1"/>
  <c r="R421" i="1"/>
  <c r="R405" i="1"/>
  <c r="R389" i="1"/>
  <c r="R373" i="1"/>
  <c r="R357" i="1"/>
  <c r="R341" i="1"/>
  <c r="R325" i="1"/>
  <c r="R309" i="1"/>
  <c r="R293" i="1"/>
  <c r="R277" i="1"/>
  <c r="R261" i="1"/>
  <c r="R245" i="1"/>
  <c r="R229" i="1"/>
  <c r="R213" i="1"/>
  <c r="R197" i="1"/>
  <c r="R181" i="1"/>
  <c r="R165" i="1"/>
  <c r="R149" i="1"/>
  <c r="R133" i="1"/>
  <c r="R117" i="1"/>
  <c r="R101" i="1"/>
  <c r="R85" i="1"/>
  <c r="R69" i="1"/>
  <c r="R53" i="1"/>
  <c r="R37" i="1"/>
  <c r="R21" i="1"/>
  <c r="R5" i="1"/>
  <c r="R800" i="1"/>
  <c r="R640" i="1"/>
  <c r="R512" i="1"/>
  <c r="R368" i="1"/>
  <c r="R256" i="1"/>
  <c r="R64" i="1"/>
  <c r="R735" i="1"/>
  <c r="R591" i="1"/>
  <c r="R511" i="1"/>
  <c r="R383" i="1"/>
  <c r="R303" i="1"/>
  <c r="R271" i="1"/>
  <c r="R223" i="1"/>
  <c r="R95" i="1"/>
  <c r="R836" i="1"/>
  <c r="R820" i="1"/>
  <c r="R804" i="1"/>
  <c r="R788" i="1"/>
  <c r="R772" i="1"/>
  <c r="R756" i="1"/>
  <c r="R740" i="1"/>
  <c r="R724" i="1"/>
  <c r="R708" i="1"/>
  <c r="R692" i="1"/>
  <c r="R676" i="1"/>
  <c r="R660" i="1"/>
  <c r="R644" i="1"/>
  <c r="R628" i="1"/>
  <c r="R612" i="1"/>
  <c r="R596" i="1"/>
  <c r="R580" i="1"/>
  <c r="R564" i="1"/>
  <c r="R548" i="1"/>
  <c r="R532" i="1"/>
  <c r="R516" i="1"/>
  <c r="R500" i="1"/>
  <c r="R484" i="1"/>
  <c r="R468" i="1"/>
  <c r="R452" i="1"/>
  <c r="R436" i="1"/>
  <c r="R420" i="1"/>
  <c r="R404" i="1"/>
  <c r="R388" i="1"/>
  <c r="R372" i="1"/>
  <c r="R356" i="1"/>
  <c r="R340" i="1"/>
  <c r="R324" i="1"/>
  <c r="R308" i="1"/>
  <c r="R292" i="1"/>
  <c r="R276" i="1"/>
  <c r="R260" i="1"/>
  <c r="R244" i="1"/>
  <c r="R228" i="1"/>
  <c r="R212" i="1"/>
  <c r="R196" i="1"/>
  <c r="R180" i="1"/>
  <c r="R164" i="1"/>
  <c r="R148" i="1"/>
  <c r="R132" i="1"/>
  <c r="R116" i="1"/>
  <c r="R100" i="1"/>
  <c r="R84" i="1"/>
  <c r="R68" i="1"/>
  <c r="R52" i="1"/>
  <c r="R36" i="1"/>
  <c r="R20" i="1"/>
  <c r="R4" i="1"/>
  <c r="R736" i="1"/>
  <c r="R592" i="1"/>
  <c r="R464" i="1"/>
  <c r="R336" i="1"/>
  <c r="R144" i="1"/>
  <c r="R799" i="1"/>
  <c r="R687" i="1"/>
  <c r="R543" i="1"/>
  <c r="R335" i="1"/>
  <c r="R31" i="1"/>
  <c r="R835" i="1"/>
  <c r="R819" i="1"/>
  <c r="R803" i="1"/>
  <c r="R787" i="1"/>
  <c r="R771" i="1"/>
  <c r="R755" i="1"/>
  <c r="R739" i="1"/>
  <c r="R723" i="1"/>
  <c r="R707" i="1"/>
  <c r="R691" i="1"/>
  <c r="R675" i="1"/>
  <c r="R659" i="1"/>
  <c r="R643" i="1"/>
  <c r="R627" i="1"/>
  <c r="R611" i="1"/>
  <c r="R595" i="1"/>
  <c r="R579" i="1"/>
  <c r="R563" i="1"/>
  <c r="R547" i="1"/>
  <c r="R531" i="1"/>
  <c r="R515" i="1"/>
  <c r="R499" i="1"/>
  <c r="R483" i="1"/>
  <c r="R467" i="1"/>
  <c r="R451" i="1"/>
  <c r="R435" i="1"/>
  <c r="R419" i="1"/>
  <c r="R403" i="1"/>
  <c r="R387" i="1"/>
  <c r="R371" i="1"/>
  <c r="R355" i="1"/>
  <c r="R339" i="1"/>
  <c r="R323" i="1"/>
  <c r="R307" i="1"/>
  <c r="R291" i="1"/>
  <c r="R275" i="1"/>
  <c r="R259" i="1"/>
  <c r="R243" i="1"/>
  <c r="R227" i="1"/>
  <c r="R211" i="1"/>
  <c r="R195" i="1"/>
  <c r="R179" i="1"/>
  <c r="R163" i="1"/>
  <c r="R147" i="1"/>
  <c r="R131" i="1"/>
  <c r="R115" i="1"/>
  <c r="R99" i="1"/>
  <c r="R83" i="1"/>
  <c r="R67" i="1"/>
  <c r="R51" i="1"/>
  <c r="R35" i="1"/>
  <c r="R19" i="1"/>
  <c r="R832" i="1"/>
  <c r="R656" i="1"/>
  <c r="R544" i="1"/>
  <c r="R384" i="1"/>
  <c r="R304" i="1"/>
  <c r="R224" i="1"/>
  <c r="R192" i="1"/>
  <c r="R32" i="1"/>
  <c r="R831" i="1"/>
  <c r="R655" i="1"/>
  <c r="R463" i="1"/>
  <c r="R127" i="1"/>
  <c r="R834" i="1"/>
  <c r="R818" i="1"/>
  <c r="R802" i="1"/>
  <c r="R786" i="1"/>
  <c r="R770" i="1"/>
  <c r="R754" i="1"/>
  <c r="R738" i="1"/>
  <c r="R722" i="1"/>
  <c r="R706" i="1"/>
  <c r="R690" i="1"/>
  <c r="R674" i="1"/>
  <c r="R658" i="1"/>
  <c r="R642" i="1"/>
  <c r="R626" i="1"/>
  <c r="R610" i="1"/>
  <c r="R594" i="1"/>
  <c r="R578" i="1"/>
  <c r="R562" i="1"/>
  <c r="R546" i="1"/>
  <c r="R530" i="1"/>
  <c r="R514" i="1"/>
  <c r="R498" i="1"/>
  <c r="R482" i="1"/>
  <c r="R466" i="1"/>
  <c r="R450" i="1"/>
  <c r="R434" i="1"/>
  <c r="R418" i="1"/>
  <c r="R402" i="1"/>
  <c r="R386" i="1"/>
  <c r="R370" i="1"/>
  <c r="R354" i="1"/>
  <c r="R338" i="1"/>
  <c r="R322" i="1"/>
  <c r="R306" i="1"/>
  <c r="R290" i="1"/>
  <c r="R274" i="1"/>
  <c r="R258" i="1"/>
  <c r="R242" i="1"/>
  <c r="R226" i="1"/>
  <c r="R210" i="1"/>
  <c r="R194" i="1"/>
  <c r="R178" i="1"/>
  <c r="R162" i="1"/>
  <c r="R146" i="1"/>
  <c r="R130" i="1"/>
  <c r="R114" i="1"/>
  <c r="R98" i="1"/>
  <c r="R82" i="1"/>
  <c r="R66" i="1"/>
  <c r="R50" i="1"/>
  <c r="R34" i="1"/>
  <c r="R18" i="1"/>
  <c r="R833" i="1"/>
  <c r="R817" i="1"/>
  <c r="R801" i="1"/>
  <c r="R785" i="1"/>
  <c r="R769" i="1"/>
  <c r="R753" i="1"/>
  <c r="R737" i="1"/>
  <c r="R721" i="1"/>
  <c r="R705" i="1"/>
  <c r="R689" i="1"/>
  <c r="R673" i="1"/>
  <c r="R657" i="1"/>
  <c r="R641" i="1"/>
  <c r="R625" i="1"/>
  <c r="R609" i="1"/>
  <c r="R593" i="1"/>
  <c r="R577" i="1"/>
  <c r="R561" i="1"/>
  <c r="R545" i="1"/>
  <c r="R529" i="1"/>
  <c r="R513" i="1"/>
  <c r="R497" i="1"/>
  <c r="R481" i="1"/>
  <c r="R465" i="1"/>
  <c r="R449" i="1"/>
  <c r="R433" i="1"/>
  <c r="R417" i="1"/>
  <c r="R401" i="1"/>
  <c r="R385" i="1"/>
  <c r="R369" i="1"/>
  <c r="R353" i="1"/>
  <c r="R337" i="1"/>
  <c r="R321" i="1"/>
  <c r="R305" i="1"/>
  <c r="R289" i="1"/>
  <c r="R273" i="1"/>
  <c r="R257" i="1"/>
  <c r="R241" i="1"/>
  <c r="R225" i="1"/>
  <c r="R209" i="1"/>
  <c r="R193" i="1"/>
  <c r="R177" i="1"/>
  <c r="R161" i="1"/>
  <c r="R145" i="1"/>
  <c r="R129" i="1"/>
  <c r="R113" i="1"/>
  <c r="R97" i="1"/>
  <c r="R81" i="1"/>
  <c r="R65" i="1"/>
  <c r="R49" i="1"/>
  <c r="R33" i="1"/>
  <c r="R17" i="1"/>
  <c r="R3" i="1"/>
  <c r="E3" i="4"/>
  <c r="Y49" i="4"/>
  <c r="D4" i="4"/>
  <c r="E4" i="4" s="1"/>
  <c r="F4" i="4" s="1"/>
  <c r="G4" i="4" s="1"/>
  <c r="H4" i="4" s="1"/>
  <c r="I4" i="4" s="1"/>
  <c r="J4" i="4" s="1"/>
  <c r="K4" i="4" s="1"/>
  <c r="L4" i="4" s="1"/>
  <c r="M4" i="4" s="1"/>
  <c r="N4" i="4" s="1"/>
  <c r="O4" i="4" s="1"/>
  <c r="P4" i="4" s="1"/>
  <c r="Q4" i="4" s="1"/>
  <c r="R4" i="4" s="1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AE33" i="1" s="1"/>
  <c r="X34" i="1"/>
  <c r="AE34" i="1" s="1"/>
  <c r="X35" i="1"/>
  <c r="X36" i="1"/>
  <c r="X37" i="1"/>
  <c r="X38" i="1"/>
  <c r="X39" i="1"/>
  <c r="AE39" i="1" s="1"/>
  <c r="X40" i="1"/>
  <c r="X41" i="1"/>
  <c r="AE41" i="1" s="1"/>
  <c r="X42" i="1"/>
  <c r="X43" i="1"/>
  <c r="AE43" i="1" s="1"/>
  <c r="X44" i="1"/>
  <c r="X45" i="1"/>
  <c r="X46" i="1"/>
  <c r="X47" i="1"/>
  <c r="X48" i="1"/>
  <c r="AE48" i="1" s="1"/>
  <c r="X49" i="1"/>
  <c r="AE49" i="1" s="1"/>
  <c r="X50" i="1"/>
  <c r="X51" i="1"/>
  <c r="X52" i="1"/>
  <c r="X53" i="1"/>
  <c r="X54" i="1"/>
  <c r="X55" i="1"/>
  <c r="X56" i="1"/>
  <c r="X57" i="1"/>
  <c r="X58" i="1"/>
  <c r="X59" i="1"/>
  <c r="AE59" i="1" s="1"/>
  <c r="X60" i="1"/>
  <c r="X61" i="1"/>
  <c r="X62" i="1"/>
  <c r="X63" i="1"/>
  <c r="AE63" i="1" s="1"/>
  <c r="X64" i="1"/>
  <c r="AE64" i="1" s="1"/>
  <c r="X65" i="1"/>
  <c r="AE65" i="1" s="1"/>
  <c r="X66" i="1"/>
  <c r="AE66" i="1" s="1"/>
  <c r="X67" i="1"/>
  <c r="X68" i="1"/>
  <c r="X69" i="1"/>
  <c r="X70" i="1"/>
  <c r="X71" i="1"/>
  <c r="AE71" i="1" s="1"/>
  <c r="X72" i="1"/>
  <c r="AE72" i="1" s="1"/>
  <c r="X73" i="1"/>
  <c r="AE73" i="1" s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AE88" i="1" s="1"/>
  <c r="X89" i="1"/>
  <c r="AE89" i="1" s="1"/>
  <c r="X90" i="1"/>
  <c r="X91" i="1"/>
  <c r="AE91" i="1" s="1"/>
  <c r="X92" i="1"/>
  <c r="X93" i="1"/>
  <c r="X94" i="1"/>
  <c r="AE94" i="1" s="1"/>
  <c r="X95" i="1"/>
  <c r="AE95" i="1" s="1"/>
  <c r="X96" i="1"/>
  <c r="AE96" i="1" s="1"/>
  <c r="X97" i="1"/>
  <c r="X98" i="1"/>
  <c r="X99" i="1"/>
  <c r="X100" i="1"/>
  <c r="X101" i="1"/>
  <c r="X102" i="1"/>
  <c r="X103" i="1"/>
  <c r="X104" i="1"/>
  <c r="X105" i="1"/>
  <c r="AE105" i="1" s="1"/>
  <c r="X106" i="1"/>
  <c r="X107" i="1"/>
  <c r="AE107" i="1" s="1"/>
  <c r="X108" i="1"/>
  <c r="X109" i="1"/>
  <c r="X110" i="1"/>
  <c r="AE110" i="1" s="1"/>
  <c r="X111" i="1"/>
  <c r="X112" i="1"/>
  <c r="X113" i="1"/>
  <c r="X114" i="1"/>
  <c r="X115" i="1"/>
  <c r="X116" i="1"/>
  <c r="X117" i="1"/>
  <c r="X118" i="1"/>
  <c r="X119" i="1"/>
  <c r="AE119" i="1" s="1"/>
  <c r="X120" i="1"/>
  <c r="AE120" i="1" s="1"/>
  <c r="X121" i="1"/>
  <c r="AE121" i="1" s="1"/>
  <c r="X122" i="1"/>
  <c r="X123" i="1"/>
  <c r="X124" i="1"/>
  <c r="X125" i="1"/>
  <c r="X126" i="1"/>
  <c r="X127" i="1"/>
  <c r="X128" i="1"/>
  <c r="X129" i="1"/>
  <c r="AE129" i="1" s="1"/>
  <c r="X130" i="1"/>
  <c r="X131" i="1"/>
  <c r="X132" i="1"/>
  <c r="X133" i="1"/>
  <c r="X134" i="1"/>
  <c r="X135" i="1"/>
  <c r="AE135" i="1" s="1"/>
  <c r="X136" i="1"/>
  <c r="AE136" i="1" s="1"/>
  <c r="X137" i="1"/>
  <c r="AE137" i="1" s="1"/>
  <c r="X138" i="1"/>
  <c r="X139" i="1"/>
  <c r="AE139" i="1" s="1"/>
  <c r="X140" i="1"/>
  <c r="AE140" i="1" s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AE153" i="1" s="1"/>
  <c r="X154" i="1"/>
  <c r="X155" i="1"/>
  <c r="X156" i="1"/>
  <c r="X157" i="1"/>
  <c r="X158" i="1"/>
  <c r="X159" i="1"/>
  <c r="X160" i="1"/>
  <c r="X161" i="1"/>
  <c r="AE161" i="1" s="1"/>
  <c r="X162" i="1"/>
  <c r="X163" i="1"/>
  <c r="X164" i="1"/>
  <c r="X165" i="1"/>
  <c r="X166" i="1"/>
  <c r="X167" i="1"/>
  <c r="X168" i="1"/>
  <c r="AE168" i="1" s="1"/>
  <c r="X169" i="1"/>
  <c r="AE169" i="1" s="1"/>
  <c r="X170" i="1"/>
  <c r="AE170" i="1" s="1"/>
  <c r="X171" i="1"/>
  <c r="X172" i="1"/>
  <c r="X173" i="1"/>
  <c r="X174" i="1"/>
  <c r="X175" i="1"/>
  <c r="X176" i="1"/>
  <c r="X177" i="1"/>
  <c r="X178" i="1"/>
  <c r="X179" i="1"/>
  <c r="X180" i="1"/>
  <c r="X181" i="1"/>
  <c r="X182" i="1"/>
  <c r="AE182" i="1" s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AE197" i="1" s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AE213" i="1" s="1"/>
  <c r="X214" i="1"/>
  <c r="AE214" i="1" s="1"/>
  <c r="X215" i="1"/>
  <c r="X216" i="1"/>
  <c r="AE216" i="1" s="1"/>
  <c r="X217" i="1"/>
  <c r="AE217" i="1" s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AE232" i="1" s="1"/>
  <c r="X233" i="1"/>
  <c r="AE233" i="1" s="1"/>
  <c r="X234" i="1"/>
  <c r="X235" i="1"/>
  <c r="X236" i="1"/>
  <c r="AE236" i="1" s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AE327" i="1" s="1"/>
  <c r="X328" i="1"/>
  <c r="X329" i="1"/>
  <c r="X330" i="1"/>
  <c r="X331" i="1"/>
  <c r="X332" i="1"/>
  <c r="X333" i="1"/>
  <c r="AE333" i="1" s="1"/>
  <c r="X334" i="1"/>
  <c r="AE334" i="1" s="1"/>
  <c r="X335" i="1"/>
  <c r="X336" i="1"/>
  <c r="AE336" i="1" s="1"/>
  <c r="X337" i="1"/>
  <c r="X338" i="1"/>
  <c r="X339" i="1"/>
  <c r="X340" i="1"/>
  <c r="X341" i="1"/>
  <c r="X342" i="1"/>
  <c r="X343" i="1"/>
  <c r="X344" i="1"/>
  <c r="AE344" i="1" s="1"/>
  <c r="X345" i="1"/>
  <c r="X346" i="1"/>
  <c r="AE346" i="1" s="1"/>
  <c r="X347" i="1"/>
  <c r="AE347" i="1" s="1"/>
  <c r="X348" i="1"/>
  <c r="X349" i="1"/>
  <c r="X350" i="1"/>
  <c r="X351" i="1"/>
  <c r="X352" i="1"/>
  <c r="X353" i="1"/>
  <c r="X354" i="1"/>
  <c r="X355" i="1"/>
  <c r="AE355" i="1" s="1"/>
  <c r="X356" i="1"/>
  <c r="AE356" i="1" s="1"/>
  <c r="X357" i="1"/>
  <c r="X358" i="1"/>
  <c r="X359" i="1"/>
  <c r="AE359" i="1" s="1"/>
  <c r="X360" i="1"/>
  <c r="AE360" i="1" s="1"/>
  <c r="X361" i="1"/>
  <c r="X362" i="1"/>
  <c r="AE362" i="1" s="1"/>
  <c r="X363" i="1"/>
  <c r="X364" i="1"/>
  <c r="X365" i="1"/>
  <c r="X366" i="1"/>
  <c r="X367" i="1"/>
  <c r="X368" i="1"/>
  <c r="X369" i="1"/>
  <c r="X370" i="1"/>
  <c r="X371" i="1"/>
  <c r="X372" i="1"/>
  <c r="X373" i="1"/>
  <c r="AE373" i="1" s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AE389" i="1" s="1"/>
  <c r="X390" i="1"/>
  <c r="X391" i="1"/>
  <c r="X392" i="1"/>
  <c r="X393" i="1"/>
  <c r="X394" i="1"/>
  <c r="X395" i="1"/>
  <c r="X396" i="1"/>
  <c r="AE396" i="1" s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AE424" i="1" s="1"/>
  <c r="X425" i="1"/>
  <c r="AE425" i="1" s="1"/>
  <c r="X426" i="1"/>
  <c r="X427" i="1"/>
  <c r="X428" i="1"/>
  <c r="AE428" i="1" s="1"/>
  <c r="X429" i="1"/>
  <c r="X430" i="1"/>
  <c r="X431" i="1"/>
  <c r="X432" i="1"/>
  <c r="X433" i="1"/>
  <c r="X434" i="1"/>
  <c r="AE434" i="1" s="1"/>
  <c r="X435" i="1"/>
  <c r="X436" i="1"/>
  <c r="X437" i="1"/>
  <c r="X438" i="1"/>
  <c r="X439" i="1"/>
  <c r="X440" i="1"/>
  <c r="X441" i="1"/>
  <c r="AE441" i="1" s="1"/>
  <c r="X442" i="1"/>
  <c r="X443" i="1"/>
  <c r="X444" i="1"/>
  <c r="AE444" i="1" s="1"/>
  <c r="X445" i="1"/>
  <c r="AE445" i="1" s="1"/>
  <c r="X446" i="1"/>
  <c r="X447" i="1"/>
  <c r="X448" i="1"/>
  <c r="AE448" i="1" s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AE461" i="1" s="1"/>
  <c r="X462" i="1"/>
  <c r="X463" i="1"/>
  <c r="X464" i="1"/>
  <c r="AE464" i="1" s="1"/>
  <c r="X465" i="1"/>
  <c r="X466" i="1"/>
  <c r="X467" i="1"/>
  <c r="X468" i="1"/>
  <c r="X469" i="1"/>
  <c r="X470" i="1"/>
  <c r="AE470" i="1" s="1"/>
  <c r="X471" i="1"/>
  <c r="X472" i="1"/>
  <c r="AE472" i="1" s="1"/>
  <c r="X473" i="1"/>
  <c r="X474" i="1"/>
  <c r="X475" i="1"/>
  <c r="X476" i="1"/>
  <c r="X477" i="1"/>
  <c r="X478" i="1"/>
  <c r="X479" i="1"/>
  <c r="X480" i="1"/>
  <c r="AE480" i="1" s="1"/>
  <c r="X481" i="1"/>
  <c r="X482" i="1"/>
  <c r="X483" i="1"/>
  <c r="X484" i="1"/>
  <c r="X485" i="1"/>
  <c r="AE485" i="1" s="1"/>
  <c r="X486" i="1"/>
  <c r="X487" i="1"/>
  <c r="X488" i="1"/>
  <c r="X489" i="1"/>
  <c r="X490" i="1"/>
  <c r="X491" i="1"/>
  <c r="X492" i="1"/>
  <c r="AE492" i="1" s="1"/>
  <c r="X493" i="1"/>
  <c r="AE493" i="1" s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AE564" i="1" s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AE592" i="1" s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AE682" i="1" s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AE836" i="1" s="1"/>
  <c r="X837" i="1"/>
  <c r="X838" i="1"/>
  <c r="X839" i="1"/>
  <c r="X840" i="1"/>
  <c r="X841" i="1"/>
  <c r="X84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V3" i="1"/>
  <c r="AB805" i="1" l="1"/>
  <c r="AB741" i="1"/>
  <c r="AB677" i="1"/>
  <c r="AB645" i="1"/>
  <c r="AB597" i="1"/>
  <c r="AB581" i="1"/>
  <c r="AB565" i="1"/>
  <c r="AB549" i="1"/>
  <c r="AB533" i="1"/>
  <c r="AB517" i="1"/>
  <c r="AB501" i="1"/>
  <c r="AB469" i="1"/>
  <c r="AF469" i="1" s="1"/>
  <c r="AA469" i="1" s="1"/>
  <c r="T7" i="4" s="1"/>
  <c r="AB453" i="1"/>
  <c r="AB437" i="1"/>
  <c r="AB389" i="1"/>
  <c r="AF389" i="1" s="1"/>
  <c r="AH389" i="1" s="1"/>
  <c r="AB373" i="1"/>
  <c r="AF373" i="1" s="1"/>
  <c r="AH373" i="1" s="1"/>
  <c r="AB357" i="1"/>
  <c r="AB341" i="1"/>
  <c r="AB325" i="1"/>
  <c r="AB309" i="1"/>
  <c r="AB293" i="1"/>
  <c r="AB277" i="1"/>
  <c r="AB261" i="1"/>
  <c r="AB245" i="1"/>
  <c r="AB229" i="1"/>
  <c r="AB213" i="1"/>
  <c r="AB197" i="1"/>
  <c r="AB181" i="1"/>
  <c r="AF181" i="1" s="1"/>
  <c r="AA181" i="1" s="1"/>
  <c r="AF9" i="4" s="1"/>
  <c r="AB165" i="1"/>
  <c r="AF165" i="1" s="1"/>
  <c r="P9" i="4" s="1"/>
  <c r="AB149" i="1"/>
  <c r="AB133" i="1"/>
  <c r="AF133" i="1" s="1"/>
  <c r="AA133" i="1" s="1"/>
  <c r="N17" i="4" s="1"/>
  <c r="AB117" i="1"/>
  <c r="AF117" i="1" s="1"/>
  <c r="AA117" i="1" s="1"/>
  <c r="AB16" i="4" s="1"/>
  <c r="AB101" i="1"/>
  <c r="AB85" i="1"/>
  <c r="AB69" i="1"/>
  <c r="AB53" i="1"/>
  <c r="AB37" i="1"/>
  <c r="AB21" i="1"/>
  <c r="AB5" i="1"/>
  <c r="AB757" i="1"/>
  <c r="AB485" i="1"/>
  <c r="AB836" i="1"/>
  <c r="AB820" i="1"/>
  <c r="AB804" i="1"/>
  <c r="AF804" i="1" s="1"/>
  <c r="AH804" i="1" s="1"/>
  <c r="AB788" i="1"/>
  <c r="AF788" i="1" s="1"/>
  <c r="AH788" i="1" s="1"/>
  <c r="AB772" i="1"/>
  <c r="AB756" i="1"/>
  <c r="AF756" i="1" s="1"/>
  <c r="AH756" i="1" s="1"/>
  <c r="AB740" i="1"/>
  <c r="AF740" i="1" s="1"/>
  <c r="AH740" i="1" s="1"/>
  <c r="AB724" i="1"/>
  <c r="AB708" i="1"/>
  <c r="AB692" i="1"/>
  <c r="AB676" i="1"/>
  <c r="AB660" i="1"/>
  <c r="AB644" i="1"/>
  <c r="AB628" i="1"/>
  <c r="AB612" i="1"/>
  <c r="AB596" i="1"/>
  <c r="AF596" i="1" s="1"/>
  <c r="AA596" i="1" s="1"/>
  <c r="AA12" i="4" s="1"/>
  <c r="AB580" i="1"/>
  <c r="AB564" i="1"/>
  <c r="AB548" i="1"/>
  <c r="AF548" i="1" s="1"/>
  <c r="AA548" i="1" s="1"/>
  <c r="I24" i="4" s="1"/>
  <c r="AB532" i="1"/>
  <c r="AF532" i="1" s="1"/>
  <c r="AH532" i="1" s="1"/>
  <c r="AB516" i="1"/>
  <c r="AF516" i="1" s="1"/>
  <c r="AH516" i="1" s="1"/>
  <c r="AB500" i="1"/>
  <c r="AF500" i="1" s="1"/>
  <c r="AH500" i="1" s="1"/>
  <c r="AB484" i="1"/>
  <c r="AF484" i="1" s="1"/>
  <c r="AH484" i="1" s="1"/>
  <c r="AB468" i="1"/>
  <c r="AB452" i="1"/>
  <c r="AB436" i="1"/>
  <c r="AB420" i="1"/>
  <c r="AB404" i="1"/>
  <c r="AB388" i="1"/>
  <c r="AB372" i="1"/>
  <c r="AB356" i="1"/>
  <c r="AB340" i="1"/>
  <c r="AB324" i="1"/>
  <c r="AB308" i="1"/>
  <c r="AB292" i="1"/>
  <c r="AB276" i="1"/>
  <c r="AF276" i="1" s="1"/>
  <c r="AH276" i="1" s="1"/>
  <c r="AB260" i="1"/>
  <c r="AF260" i="1" s="1"/>
  <c r="AH260" i="1" s="1"/>
  <c r="AB244" i="1"/>
  <c r="AF244" i="1" s="1"/>
  <c r="AH244" i="1" s="1"/>
  <c r="AB228" i="1"/>
  <c r="AF228" i="1" s="1"/>
  <c r="AA228" i="1" s="1"/>
  <c r="S8" i="4" s="1"/>
  <c r="AB212" i="1"/>
  <c r="AB196" i="1"/>
  <c r="AB180" i="1"/>
  <c r="AB164" i="1"/>
  <c r="AB148" i="1"/>
  <c r="AB132" i="1"/>
  <c r="AB116" i="1"/>
  <c r="AB100" i="1"/>
  <c r="AB84" i="1"/>
  <c r="AB68" i="1"/>
  <c r="AB52" i="1"/>
  <c r="AB36" i="1"/>
  <c r="AB20" i="1"/>
  <c r="AF20" i="1" s="1"/>
  <c r="AH20" i="1" s="1"/>
  <c r="AB4" i="1"/>
  <c r="AB837" i="1"/>
  <c r="AF837" i="1" s="1"/>
  <c r="AH837" i="1" s="1"/>
  <c r="AB789" i="1"/>
  <c r="AF789" i="1" s="1"/>
  <c r="AH789" i="1" s="1"/>
  <c r="AB725" i="1"/>
  <c r="AB693" i="1"/>
  <c r="AB629" i="1"/>
  <c r="AB405" i="1"/>
  <c r="AB835" i="1"/>
  <c r="AB819" i="1"/>
  <c r="AB803" i="1"/>
  <c r="AB787" i="1"/>
  <c r="AB771" i="1"/>
  <c r="AB755" i="1"/>
  <c r="AB739" i="1"/>
  <c r="AB723" i="1"/>
  <c r="AB707" i="1"/>
  <c r="AF707" i="1" s="1"/>
  <c r="AH707" i="1" s="1"/>
  <c r="AB691" i="1"/>
  <c r="AB675" i="1"/>
  <c r="AF675" i="1" s="1"/>
  <c r="AA675" i="1" s="1"/>
  <c r="P25" i="4" s="1"/>
  <c r="AB659" i="1"/>
  <c r="AF659" i="1" s="1"/>
  <c r="AH659" i="1" s="1"/>
  <c r="AB643" i="1"/>
  <c r="AB627" i="1"/>
  <c r="AB611" i="1"/>
  <c r="AB595" i="1"/>
  <c r="AB579" i="1"/>
  <c r="AB563" i="1"/>
  <c r="AB547" i="1"/>
  <c r="AB531" i="1"/>
  <c r="AB515" i="1"/>
  <c r="AF515" i="1" s="1"/>
  <c r="AH515" i="1" s="1"/>
  <c r="AB499" i="1"/>
  <c r="AB483" i="1"/>
  <c r="AB467" i="1"/>
  <c r="AF467" i="1" s="1"/>
  <c r="AA467" i="1" s="1"/>
  <c r="R7" i="4" s="1"/>
  <c r="AB451" i="1"/>
  <c r="AF451" i="1" s="1"/>
  <c r="AA451" i="1" s="1"/>
  <c r="AF10" i="4" s="1"/>
  <c r="AB435" i="1"/>
  <c r="AF435" i="1" s="1"/>
  <c r="AA435" i="1" s="1"/>
  <c r="P10" i="4" s="1"/>
  <c r="AB419" i="1"/>
  <c r="AF419" i="1" s="1"/>
  <c r="AH419" i="1" s="1"/>
  <c r="AB403" i="1"/>
  <c r="AF403" i="1" s="1"/>
  <c r="AH403" i="1" s="1"/>
  <c r="AB387" i="1"/>
  <c r="AB371" i="1"/>
  <c r="AB355" i="1"/>
  <c r="AB339" i="1"/>
  <c r="AB323" i="1"/>
  <c r="AB307" i="1"/>
  <c r="AB291" i="1"/>
  <c r="AB275" i="1"/>
  <c r="AB259" i="1"/>
  <c r="AB243" i="1"/>
  <c r="AB227" i="1"/>
  <c r="AB211" i="1"/>
  <c r="AB195" i="1"/>
  <c r="AF195" i="1" s="1"/>
  <c r="AH195" i="1" s="1"/>
  <c r="AB179" i="1"/>
  <c r="AB163" i="1"/>
  <c r="AF163" i="1" s="1"/>
  <c r="AA163" i="1" s="1"/>
  <c r="N9" i="4" s="1"/>
  <c r="AB147" i="1"/>
  <c r="AF147" i="1" s="1"/>
  <c r="AA147" i="1" s="1"/>
  <c r="AB17" i="4" s="1"/>
  <c r="AB131" i="1"/>
  <c r="AB115" i="1"/>
  <c r="AB99" i="1"/>
  <c r="AB83" i="1"/>
  <c r="AB67" i="1"/>
  <c r="AB51" i="1"/>
  <c r="AB35" i="1"/>
  <c r="AB19" i="1"/>
  <c r="AB3" i="1"/>
  <c r="AB821" i="1"/>
  <c r="AB773" i="1"/>
  <c r="AF773" i="1" s="1"/>
  <c r="AH773" i="1" s="1"/>
  <c r="AB709" i="1"/>
  <c r="AF709" i="1" s="1"/>
  <c r="AH709" i="1" s="1"/>
  <c r="AB661" i="1"/>
  <c r="AF661" i="1" s="1"/>
  <c r="AH661" i="1" s="1"/>
  <c r="AB613" i="1"/>
  <c r="AF613" i="1" s="1"/>
  <c r="AA613" i="1" s="1"/>
  <c r="N6" i="4" s="1"/>
  <c r="AB421" i="1"/>
  <c r="AF421" i="1" s="1"/>
  <c r="AH421" i="1" s="1"/>
  <c r="AB834" i="1"/>
  <c r="AF834" i="1" s="1"/>
  <c r="AH834" i="1" s="1"/>
  <c r="AB818" i="1"/>
  <c r="AB802" i="1"/>
  <c r="AB786" i="1"/>
  <c r="AB770" i="1"/>
  <c r="AB754" i="1"/>
  <c r="AB738" i="1"/>
  <c r="AB722" i="1"/>
  <c r="AB706" i="1"/>
  <c r="AB690" i="1"/>
  <c r="AB674" i="1"/>
  <c r="AB658" i="1"/>
  <c r="AB642" i="1"/>
  <c r="AB626" i="1"/>
  <c r="AF626" i="1" s="1"/>
  <c r="AA626" i="1" s="1"/>
  <c r="AA6" i="4" s="1"/>
  <c r="AB610" i="1"/>
  <c r="AB594" i="1"/>
  <c r="AF594" i="1" s="1"/>
  <c r="AA594" i="1" s="1"/>
  <c r="Y12" i="4" s="1"/>
  <c r="AB578" i="1"/>
  <c r="AF578" i="1" s="1"/>
  <c r="AA578" i="1" s="1"/>
  <c r="I12" i="4" s="1"/>
  <c r="AB562" i="1"/>
  <c r="AB546" i="1"/>
  <c r="AB530" i="1"/>
  <c r="AB514" i="1"/>
  <c r="AB498" i="1"/>
  <c r="AB482" i="1"/>
  <c r="AB466" i="1"/>
  <c r="AB450" i="1"/>
  <c r="AB434" i="1"/>
  <c r="AB418" i="1"/>
  <c r="AB402" i="1"/>
  <c r="AB386" i="1"/>
  <c r="AB370" i="1"/>
  <c r="AF370" i="1" s="1"/>
  <c r="AH370" i="1" s="1"/>
  <c r="AB354" i="1"/>
  <c r="AB338" i="1"/>
  <c r="AF338" i="1" s="1"/>
  <c r="AA338" i="1" s="1"/>
  <c r="I18" i="4" s="1"/>
  <c r="AB322" i="1"/>
  <c r="AF322" i="1" s="1"/>
  <c r="AH322" i="1" s="1"/>
  <c r="AB306" i="1"/>
  <c r="AB290" i="1"/>
  <c r="AB274" i="1"/>
  <c r="AB258" i="1"/>
  <c r="AB242" i="1"/>
  <c r="AB226" i="1"/>
  <c r="AB210" i="1"/>
  <c r="AB194" i="1"/>
  <c r="AB178" i="1"/>
  <c r="AB162" i="1"/>
  <c r="AB146" i="1"/>
  <c r="AB130" i="1"/>
  <c r="AB114" i="1"/>
  <c r="AF114" i="1" s="1"/>
  <c r="AA114" i="1" s="1"/>
  <c r="Y16" i="4" s="1"/>
  <c r="AB98" i="1"/>
  <c r="AB82" i="1"/>
  <c r="AF82" i="1" s="1"/>
  <c r="AH82" i="1" s="1"/>
  <c r="AB66" i="1"/>
  <c r="AF66" i="1" s="1"/>
  <c r="AA66" i="1" s="1"/>
  <c r="G19" i="4" s="1"/>
  <c r="AB50" i="1"/>
  <c r="AB34" i="1"/>
  <c r="AB18" i="1"/>
  <c r="AB768" i="1"/>
  <c r="AB656" i="1"/>
  <c r="AB528" i="1"/>
  <c r="AB416" i="1"/>
  <c r="AB304" i="1"/>
  <c r="AB192" i="1"/>
  <c r="AB64" i="1"/>
  <c r="AB831" i="1"/>
  <c r="AB815" i="1"/>
  <c r="AB799" i="1"/>
  <c r="AF799" i="1" s="1"/>
  <c r="AH799" i="1" s="1"/>
  <c r="AB783" i="1"/>
  <c r="AF783" i="1" s="1"/>
  <c r="AB767" i="1"/>
  <c r="AF767" i="1" s="1"/>
  <c r="AB751" i="1"/>
  <c r="AF751" i="1" s="1"/>
  <c r="AH751" i="1" s="1"/>
  <c r="AB735" i="1"/>
  <c r="AB719" i="1"/>
  <c r="AB703" i="1"/>
  <c r="AB687" i="1"/>
  <c r="AB671" i="1"/>
  <c r="AB655" i="1"/>
  <c r="AB639" i="1"/>
  <c r="AB623" i="1"/>
  <c r="AB607" i="1"/>
  <c r="AB591" i="1"/>
  <c r="AB575" i="1"/>
  <c r="AB559" i="1"/>
  <c r="AF559" i="1" s="1"/>
  <c r="AA559" i="1" s="1"/>
  <c r="T24" i="4" s="1"/>
  <c r="AB543" i="1"/>
  <c r="AB527" i="1"/>
  <c r="AB511" i="1"/>
  <c r="AF511" i="1" s="1"/>
  <c r="AA511" i="1" s="1"/>
  <c r="AF11" i="4" s="1"/>
  <c r="AB495" i="1"/>
  <c r="AF495" i="1" s="1"/>
  <c r="AA495" i="1" s="1"/>
  <c r="P11" i="4" s="1"/>
  <c r="AB479" i="1"/>
  <c r="AB463" i="1"/>
  <c r="AB447" i="1"/>
  <c r="AB431" i="1"/>
  <c r="AB415" i="1"/>
  <c r="AB399" i="1"/>
  <c r="AB383" i="1"/>
  <c r="AB367" i="1"/>
  <c r="AB351" i="1"/>
  <c r="AB335" i="1"/>
  <c r="AB319" i="1"/>
  <c r="AB303" i="1"/>
  <c r="AB287" i="1"/>
  <c r="AF287" i="1" s="1"/>
  <c r="AH287" i="1" s="1"/>
  <c r="AB271" i="1"/>
  <c r="AB255" i="1"/>
  <c r="AF255" i="1" s="1"/>
  <c r="AH255" i="1" s="1"/>
  <c r="AB239" i="1"/>
  <c r="AF239" i="1" s="1"/>
  <c r="AH239" i="1" s="1"/>
  <c r="AB223" i="1"/>
  <c r="AB207" i="1"/>
  <c r="AB191" i="1"/>
  <c r="AB175" i="1"/>
  <c r="AB159" i="1"/>
  <c r="AB143" i="1"/>
  <c r="AB127" i="1"/>
  <c r="AF127" i="1" s="1"/>
  <c r="AB111" i="1"/>
  <c r="AB95" i="1"/>
  <c r="AB79" i="1"/>
  <c r="AB63" i="1"/>
  <c r="AB47" i="1"/>
  <c r="AF47" i="1" s="1"/>
  <c r="AA47" i="1" s="1"/>
  <c r="R20" i="4" s="1"/>
  <c r="AB31" i="1"/>
  <c r="AF31" i="1" s="1"/>
  <c r="AH31" i="1" s="1"/>
  <c r="AB15" i="1"/>
  <c r="AF15" i="1" s="1"/>
  <c r="AH15" i="1" s="1"/>
  <c r="AB753" i="1"/>
  <c r="AB641" i="1"/>
  <c r="AF641" i="1" s="1"/>
  <c r="AH641" i="1" s="1"/>
  <c r="AB529" i="1"/>
  <c r="AB449" i="1"/>
  <c r="AB369" i="1"/>
  <c r="AB241" i="1"/>
  <c r="AB97" i="1"/>
  <c r="AB784" i="1"/>
  <c r="AB672" i="1"/>
  <c r="AB560" i="1"/>
  <c r="AB464" i="1"/>
  <c r="AB368" i="1"/>
  <c r="AB256" i="1"/>
  <c r="AB144" i="1"/>
  <c r="AF144" i="1" s="1"/>
  <c r="AA144" i="1" s="1"/>
  <c r="Y17" i="4" s="1"/>
  <c r="AB32" i="1"/>
  <c r="AF32" i="1" s="1"/>
  <c r="AH32" i="1" s="1"/>
  <c r="AB830" i="1"/>
  <c r="AB814" i="1"/>
  <c r="AB798" i="1"/>
  <c r="AF798" i="1" s="1"/>
  <c r="AH798" i="1" s="1"/>
  <c r="AB782" i="1"/>
  <c r="AB766" i="1"/>
  <c r="AB750" i="1"/>
  <c r="AB734" i="1"/>
  <c r="AB718" i="1"/>
  <c r="AB702" i="1"/>
  <c r="AB686" i="1"/>
  <c r="AB670" i="1"/>
  <c r="AB654" i="1"/>
  <c r="AB638" i="1"/>
  <c r="AB622" i="1"/>
  <c r="AB606" i="1"/>
  <c r="AB590" i="1"/>
  <c r="AF590" i="1" s="1"/>
  <c r="AA590" i="1" s="1"/>
  <c r="U12" i="4" s="1"/>
  <c r="AB574" i="1"/>
  <c r="AB558" i="1"/>
  <c r="AB542" i="1"/>
  <c r="AF542" i="1" s="1"/>
  <c r="AH542" i="1" s="1"/>
  <c r="AB526" i="1"/>
  <c r="AB510" i="1"/>
  <c r="AB494" i="1"/>
  <c r="AB478" i="1"/>
  <c r="AB462" i="1"/>
  <c r="AB446" i="1"/>
  <c r="AB430" i="1"/>
  <c r="AB414" i="1"/>
  <c r="AB398" i="1"/>
  <c r="AB382" i="1"/>
  <c r="AB366" i="1"/>
  <c r="AB350" i="1"/>
  <c r="AB334" i="1"/>
  <c r="AF334" i="1" s="1"/>
  <c r="AH334" i="1" s="1"/>
  <c r="AB318" i="1"/>
  <c r="AB302" i="1"/>
  <c r="AB286" i="1"/>
  <c r="AF286" i="1" s="1"/>
  <c r="AH286" i="1" s="1"/>
  <c r="AB270" i="1"/>
  <c r="AB254" i="1"/>
  <c r="AB238" i="1"/>
  <c r="AB222" i="1"/>
  <c r="AB206" i="1"/>
  <c r="AB190" i="1"/>
  <c r="AB174" i="1"/>
  <c r="AB158" i="1"/>
  <c r="AB142" i="1"/>
  <c r="AB126" i="1"/>
  <c r="AB110" i="1"/>
  <c r="AB94" i="1"/>
  <c r="AF94" i="1" s="1"/>
  <c r="AH94" i="1" s="1"/>
  <c r="AB78" i="1"/>
  <c r="AF78" i="1" s="1"/>
  <c r="AH78" i="1" s="1"/>
  <c r="AB62" i="1"/>
  <c r="AF62" i="1" s="1"/>
  <c r="AA62" i="1" s="1"/>
  <c r="AG20" i="4" s="1"/>
  <c r="AB46" i="1"/>
  <c r="AF46" i="1" s="1"/>
  <c r="AH46" i="1" s="1"/>
  <c r="AB30" i="1"/>
  <c r="AF30" i="1" s="1"/>
  <c r="AH30" i="1" s="1"/>
  <c r="AB14" i="1"/>
  <c r="AB769" i="1"/>
  <c r="AB673" i="1"/>
  <c r="AB593" i="1"/>
  <c r="AB465" i="1"/>
  <c r="AB321" i="1"/>
  <c r="AB193" i="1"/>
  <c r="AB49" i="1"/>
  <c r="AB800" i="1"/>
  <c r="AB688" i="1"/>
  <c r="AB576" i="1"/>
  <c r="AB480" i="1"/>
  <c r="AF480" i="1" s="1"/>
  <c r="AH480" i="1" s="1"/>
  <c r="AB352" i="1"/>
  <c r="AF352" i="1" s="1"/>
  <c r="AA352" i="1" s="1"/>
  <c r="W18" i="4" s="1"/>
  <c r="AB240" i="1"/>
  <c r="AB128" i="1"/>
  <c r="AF128" i="1" s="1"/>
  <c r="AA128" i="1" s="1"/>
  <c r="I17" i="4" s="1"/>
  <c r="AB16" i="1"/>
  <c r="AF16" i="1" s="1"/>
  <c r="AH16" i="1" s="1"/>
  <c r="AB829" i="1"/>
  <c r="AB813" i="1"/>
  <c r="AB797" i="1"/>
  <c r="AB781" i="1"/>
  <c r="AB765" i="1"/>
  <c r="AB749" i="1"/>
  <c r="AB733" i="1"/>
  <c r="AB717" i="1"/>
  <c r="AB701" i="1"/>
  <c r="AB685" i="1"/>
  <c r="AB669" i="1"/>
  <c r="AB653" i="1"/>
  <c r="AF653" i="1" s="1"/>
  <c r="AH653" i="1" s="1"/>
  <c r="AB637" i="1"/>
  <c r="AF637" i="1" s="1"/>
  <c r="AH637" i="1" s="1"/>
  <c r="AB621" i="1"/>
  <c r="AB605" i="1"/>
  <c r="AF605" i="1" s="1"/>
  <c r="AA605" i="1" s="1"/>
  <c r="F6" i="4" s="1"/>
  <c r="AB589" i="1"/>
  <c r="AF589" i="1" s="1"/>
  <c r="AA589" i="1" s="1"/>
  <c r="T12" i="4" s="1"/>
  <c r="AB573" i="1"/>
  <c r="AB557" i="1"/>
  <c r="AB541" i="1"/>
  <c r="AB525" i="1"/>
  <c r="AB509" i="1"/>
  <c r="AB493" i="1"/>
  <c r="AB477" i="1"/>
  <c r="AB461" i="1"/>
  <c r="AB445" i="1"/>
  <c r="AF445" i="1" s="1"/>
  <c r="AA445" i="1" s="1"/>
  <c r="Z10" i="4" s="1"/>
  <c r="AB429" i="1"/>
  <c r="AB413" i="1"/>
  <c r="AB397" i="1"/>
  <c r="AF397" i="1" s="1"/>
  <c r="AH397" i="1" s="1"/>
  <c r="AB381" i="1"/>
  <c r="AF381" i="1" s="1"/>
  <c r="AH381" i="1" s="1"/>
  <c r="AB365" i="1"/>
  <c r="AB349" i="1"/>
  <c r="AF349" i="1" s="1"/>
  <c r="AA349" i="1" s="1"/>
  <c r="T18" i="4" s="1"/>
  <c r="AB333" i="1"/>
  <c r="AF333" i="1" s="1"/>
  <c r="AH333" i="1" s="1"/>
  <c r="AB317" i="1"/>
  <c r="AB301" i="1"/>
  <c r="AB285" i="1"/>
  <c r="AB269" i="1"/>
  <c r="AB253" i="1"/>
  <c r="AB237" i="1"/>
  <c r="AB221" i="1"/>
  <c r="AB205" i="1"/>
  <c r="AB189" i="1"/>
  <c r="AB173" i="1"/>
  <c r="AB157" i="1"/>
  <c r="AB141" i="1"/>
  <c r="AF141" i="1" s="1"/>
  <c r="AA141" i="1" s="1"/>
  <c r="V17" i="4" s="1"/>
  <c r="AB125" i="1"/>
  <c r="AF125" i="1" s="1"/>
  <c r="AA125" i="1" s="1"/>
  <c r="F17" i="4" s="1"/>
  <c r="AB109" i="1"/>
  <c r="AF109" i="1" s="1"/>
  <c r="T16" i="4" s="1"/>
  <c r="AB93" i="1"/>
  <c r="AB77" i="1"/>
  <c r="AF77" i="1" s="1"/>
  <c r="AA77" i="1" s="1"/>
  <c r="R19" i="4" s="1"/>
  <c r="AB61" i="1"/>
  <c r="AB45" i="1"/>
  <c r="AB29" i="1"/>
  <c r="AB13" i="1"/>
  <c r="AB705" i="1"/>
  <c r="AB577" i="1"/>
  <c r="AB417" i="1"/>
  <c r="AB289" i="1"/>
  <c r="AB161" i="1"/>
  <c r="AB33" i="1"/>
  <c r="AB736" i="1"/>
  <c r="AB608" i="1"/>
  <c r="AF608" i="1" s="1"/>
  <c r="AA608" i="1" s="1"/>
  <c r="I6" i="4" s="1"/>
  <c r="AB448" i="1"/>
  <c r="AF448" i="1" s="1"/>
  <c r="AA448" i="1" s="1"/>
  <c r="AC10" i="4" s="1"/>
  <c r="AB336" i="1"/>
  <c r="AB224" i="1"/>
  <c r="AF224" i="1" s="1"/>
  <c r="AH224" i="1" s="1"/>
  <c r="AB112" i="1"/>
  <c r="AF112" i="1" s="1"/>
  <c r="AA112" i="1" s="1"/>
  <c r="W16" i="4" s="1"/>
  <c r="AB828" i="1"/>
  <c r="AB812" i="1"/>
  <c r="AB796" i="1"/>
  <c r="AB780" i="1"/>
  <c r="AB764" i="1"/>
  <c r="AB748" i="1"/>
  <c r="AB732" i="1"/>
  <c r="AB716" i="1"/>
  <c r="AB700" i="1"/>
  <c r="AB684" i="1"/>
  <c r="AB668" i="1"/>
  <c r="AB652" i="1"/>
  <c r="AF652" i="1" s="1"/>
  <c r="AH652" i="1" s="1"/>
  <c r="AB636" i="1"/>
  <c r="AF636" i="1" s="1"/>
  <c r="AH636" i="1" s="1"/>
  <c r="AB620" i="1"/>
  <c r="AB604" i="1"/>
  <c r="AF604" i="1" s="1"/>
  <c r="AH604" i="1" s="1"/>
  <c r="AB588" i="1"/>
  <c r="AF588" i="1" s="1"/>
  <c r="AA588" i="1" s="1"/>
  <c r="S12" i="4" s="1"/>
  <c r="AB572" i="1"/>
  <c r="AB556" i="1"/>
  <c r="AB540" i="1"/>
  <c r="AB524" i="1"/>
  <c r="AB508" i="1"/>
  <c r="AB492" i="1"/>
  <c r="AB476" i="1"/>
  <c r="AB460" i="1"/>
  <c r="AB444" i="1"/>
  <c r="AF444" i="1" s="1"/>
  <c r="AA444" i="1" s="1"/>
  <c r="Y10" i="4" s="1"/>
  <c r="AB428" i="1"/>
  <c r="AB412" i="1"/>
  <c r="AB396" i="1"/>
  <c r="AF396" i="1" s="1"/>
  <c r="AB380" i="1"/>
  <c r="AF380" i="1" s="1"/>
  <c r="AH380" i="1" s="1"/>
  <c r="AB364" i="1"/>
  <c r="AB348" i="1"/>
  <c r="AF348" i="1" s="1"/>
  <c r="AA348" i="1" s="1"/>
  <c r="S18" i="4" s="1"/>
  <c r="AB332" i="1"/>
  <c r="AF332" i="1" s="1"/>
  <c r="AH332" i="1" s="1"/>
  <c r="AB316" i="1"/>
  <c r="AB300" i="1"/>
  <c r="AB284" i="1"/>
  <c r="AB268" i="1"/>
  <c r="AB252" i="1"/>
  <c r="AB236" i="1"/>
  <c r="AB220" i="1"/>
  <c r="AB204" i="1"/>
  <c r="AB188" i="1"/>
  <c r="AB172" i="1"/>
  <c r="AB156" i="1"/>
  <c r="AB140" i="1"/>
  <c r="AF140" i="1" s="1"/>
  <c r="AA140" i="1" s="1"/>
  <c r="U17" i="4" s="1"/>
  <c r="AB124" i="1"/>
  <c r="AF124" i="1" s="1"/>
  <c r="AH124" i="1" s="1"/>
  <c r="AB108" i="1"/>
  <c r="AB92" i="1"/>
  <c r="AF92" i="1" s="1"/>
  <c r="AH92" i="1" s="1"/>
  <c r="AB76" i="1"/>
  <c r="AF76" i="1" s="1"/>
  <c r="AH76" i="1" s="1"/>
  <c r="AB60" i="1"/>
  <c r="AB44" i="1"/>
  <c r="AB28" i="1"/>
  <c r="AB12" i="1"/>
  <c r="AB785" i="1"/>
  <c r="AB625" i="1"/>
  <c r="AB497" i="1"/>
  <c r="AB385" i="1"/>
  <c r="AB273" i="1"/>
  <c r="AB177" i="1"/>
  <c r="AB81" i="1"/>
  <c r="AB816" i="1"/>
  <c r="AF816" i="1" s="1"/>
  <c r="AH816" i="1" s="1"/>
  <c r="AB720" i="1"/>
  <c r="AF720" i="1" s="1"/>
  <c r="AH720" i="1" s="1"/>
  <c r="AB624" i="1"/>
  <c r="AB512" i="1"/>
  <c r="AF512" i="1" s="1"/>
  <c r="AA512" i="1" s="1"/>
  <c r="AG11" i="4" s="1"/>
  <c r="AB384" i="1"/>
  <c r="AF384" i="1" s="1"/>
  <c r="AH384" i="1" s="1"/>
  <c r="AB272" i="1"/>
  <c r="AB160" i="1"/>
  <c r="AB80" i="1"/>
  <c r="AB827" i="1"/>
  <c r="AB811" i="1"/>
  <c r="AB795" i="1"/>
  <c r="AB779" i="1"/>
  <c r="AB763" i="1"/>
  <c r="AB747" i="1"/>
  <c r="AB731" i="1"/>
  <c r="AB715" i="1"/>
  <c r="AB699" i="1"/>
  <c r="AF699" i="1" s="1"/>
  <c r="AH699" i="1" s="1"/>
  <c r="AB683" i="1"/>
  <c r="AF683" i="1" s="1"/>
  <c r="AH683" i="1" s="1"/>
  <c r="AB667" i="1"/>
  <c r="AF667" i="1" s="1"/>
  <c r="AA667" i="1" s="1"/>
  <c r="H25" i="4" s="1"/>
  <c r="AB651" i="1"/>
  <c r="AF651" i="1" s="1"/>
  <c r="AH651" i="1" s="1"/>
  <c r="AB635" i="1"/>
  <c r="AF635" i="1" s="1"/>
  <c r="AH635" i="1" s="1"/>
  <c r="AB619" i="1"/>
  <c r="AB603" i="1"/>
  <c r="AB587" i="1"/>
  <c r="AB571" i="1"/>
  <c r="AB555" i="1"/>
  <c r="AB539" i="1"/>
  <c r="AB523" i="1"/>
  <c r="AB507" i="1"/>
  <c r="AB491" i="1"/>
  <c r="AB475" i="1"/>
  <c r="AB459" i="1"/>
  <c r="AB443" i="1"/>
  <c r="AF443" i="1" s="1"/>
  <c r="AH443" i="1" s="1"/>
  <c r="AB427" i="1"/>
  <c r="AF427" i="1" s="1"/>
  <c r="AA427" i="1" s="1"/>
  <c r="H10" i="4" s="1"/>
  <c r="AB411" i="1"/>
  <c r="AF411" i="1" s="1"/>
  <c r="AH411" i="1" s="1"/>
  <c r="AB395" i="1"/>
  <c r="AF395" i="1" s="1"/>
  <c r="AH395" i="1" s="1"/>
  <c r="AB379" i="1"/>
  <c r="AF379" i="1" s="1"/>
  <c r="AH379" i="1" s="1"/>
  <c r="AB363" i="1"/>
  <c r="AB347" i="1"/>
  <c r="AB331" i="1"/>
  <c r="AB315" i="1"/>
  <c r="AB299" i="1"/>
  <c r="AB283" i="1"/>
  <c r="AB267" i="1"/>
  <c r="AB251" i="1"/>
  <c r="AB235" i="1"/>
  <c r="AB219" i="1"/>
  <c r="AB203" i="1"/>
  <c r="AF203" i="1" s="1"/>
  <c r="AH203" i="1" s="1"/>
  <c r="AB187" i="1"/>
  <c r="AF187" i="1" s="1"/>
  <c r="AH187" i="1" s="1"/>
  <c r="AB171" i="1"/>
  <c r="AF171" i="1" s="1"/>
  <c r="AA171" i="1" s="1"/>
  <c r="V9" i="4" s="1"/>
  <c r="AB155" i="1"/>
  <c r="AF155" i="1" s="1"/>
  <c r="AA155" i="1" s="1"/>
  <c r="F9" i="4" s="1"/>
  <c r="AB139" i="1"/>
  <c r="AF139" i="1" s="1"/>
  <c r="AA139" i="1" s="1"/>
  <c r="T17" i="4" s="1"/>
  <c r="AB123" i="1"/>
  <c r="AB107" i="1"/>
  <c r="AB91" i="1"/>
  <c r="AB75" i="1"/>
  <c r="AB59" i="1"/>
  <c r="AB43" i="1"/>
  <c r="AB27" i="1"/>
  <c r="AB11" i="1"/>
  <c r="AB817" i="1"/>
  <c r="AB689" i="1"/>
  <c r="AF689" i="1" s="1"/>
  <c r="AA689" i="1" s="1"/>
  <c r="AD25" i="4" s="1"/>
  <c r="AB545" i="1"/>
  <c r="AB401" i="1"/>
  <c r="AF401" i="1" s="1"/>
  <c r="AH401" i="1" s="1"/>
  <c r="AB257" i="1"/>
  <c r="AF257" i="1" s="1"/>
  <c r="AH257" i="1" s="1"/>
  <c r="AB145" i="1"/>
  <c r="AF145" i="1" s="1"/>
  <c r="AA145" i="1" s="1"/>
  <c r="Z17" i="4" s="1"/>
  <c r="AB17" i="1"/>
  <c r="AF17" i="1" s="1"/>
  <c r="AH17" i="1" s="1"/>
  <c r="AB832" i="1"/>
  <c r="AF832" i="1" s="1"/>
  <c r="AH832" i="1" s="1"/>
  <c r="AB704" i="1"/>
  <c r="AF704" i="1" s="1"/>
  <c r="AH704" i="1" s="1"/>
  <c r="AB592" i="1"/>
  <c r="AB496" i="1"/>
  <c r="AB400" i="1"/>
  <c r="AB288" i="1"/>
  <c r="AB176" i="1"/>
  <c r="AB48" i="1"/>
  <c r="AB842" i="1"/>
  <c r="AF842" i="1" s="1"/>
  <c r="AH842" i="1" s="1"/>
  <c r="AB826" i="1"/>
  <c r="AB810" i="1"/>
  <c r="AB794" i="1"/>
  <c r="AB778" i="1"/>
  <c r="AB762" i="1"/>
  <c r="AF762" i="1" s="1"/>
  <c r="AH762" i="1" s="1"/>
  <c r="AB746" i="1"/>
  <c r="AF746" i="1" s="1"/>
  <c r="AH746" i="1" s="1"/>
  <c r="AB730" i="1"/>
  <c r="AF730" i="1" s="1"/>
  <c r="AH730" i="1" s="1"/>
  <c r="AB714" i="1"/>
  <c r="AF714" i="1" s="1"/>
  <c r="AH714" i="1" s="1"/>
  <c r="AB698" i="1"/>
  <c r="AF698" i="1" s="1"/>
  <c r="AH698" i="1" s="1"/>
  <c r="AB682" i="1"/>
  <c r="AB666" i="1"/>
  <c r="AB650" i="1"/>
  <c r="AB634" i="1"/>
  <c r="AB618" i="1"/>
  <c r="AB602" i="1"/>
  <c r="AB586" i="1"/>
  <c r="AB570" i="1"/>
  <c r="AB554" i="1"/>
  <c r="AB538" i="1"/>
  <c r="AB522" i="1"/>
  <c r="AB506" i="1"/>
  <c r="AF506" i="1" s="1"/>
  <c r="AA506" i="1" s="1"/>
  <c r="AA11" i="4" s="1"/>
  <c r="AB490" i="1"/>
  <c r="AF490" i="1" s="1"/>
  <c r="AA490" i="1" s="1"/>
  <c r="K11" i="4" s="1"/>
  <c r="AB474" i="1"/>
  <c r="AF474" i="1" s="1"/>
  <c r="AA474" i="1" s="1"/>
  <c r="Y7" i="4" s="1"/>
  <c r="AB458" i="1"/>
  <c r="AF458" i="1" s="1"/>
  <c r="AA458" i="1" s="1"/>
  <c r="I7" i="4" s="1"/>
  <c r="AB442" i="1"/>
  <c r="AF442" i="1" s="1"/>
  <c r="AH442" i="1" s="1"/>
  <c r="AB426" i="1"/>
  <c r="AB410" i="1"/>
  <c r="AB394" i="1"/>
  <c r="AB378" i="1"/>
  <c r="AB362" i="1"/>
  <c r="AB346" i="1"/>
  <c r="AB330" i="1"/>
  <c r="AB314" i="1"/>
  <c r="AB298" i="1"/>
  <c r="AF298" i="1" s="1"/>
  <c r="AH298" i="1" s="1"/>
  <c r="AB282" i="1"/>
  <c r="AB266" i="1"/>
  <c r="AB250" i="1"/>
  <c r="AF250" i="1" s="1"/>
  <c r="AH250" i="1" s="1"/>
  <c r="AB234" i="1"/>
  <c r="AF234" i="1" s="1"/>
  <c r="AH234" i="1" s="1"/>
  <c r="AB218" i="1"/>
  <c r="AF218" i="1" s="1"/>
  <c r="AH218" i="1" s="1"/>
  <c r="AB202" i="1"/>
  <c r="AF202" i="1" s="1"/>
  <c r="AH202" i="1" s="1"/>
  <c r="AB186" i="1"/>
  <c r="AF186" i="1" s="1"/>
  <c r="AH186" i="1" s="1"/>
  <c r="AB170" i="1"/>
  <c r="AB154" i="1"/>
  <c r="AB138" i="1"/>
  <c r="AB122" i="1"/>
  <c r="AB106" i="1"/>
  <c r="AB90" i="1"/>
  <c r="AB74" i="1"/>
  <c r="AB58" i="1"/>
  <c r="AB42" i="1"/>
  <c r="AF42" i="1" s="1"/>
  <c r="AA42" i="1" s="1"/>
  <c r="M20" i="4" s="1"/>
  <c r="AB26" i="1"/>
  <c r="AB10" i="1"/>
  <c r="AB801" i="1"/>
  <c r="AF801" i="1" s="1"/>
  <c r="AH801" i="1" s="1"/>
  <c r="AB737" i="1"/>
  <c r="AF737" i="1" s="1"/>
  <c r="AH737" i="1" s="1"/>
  <c r="AB609" i="1"/>
  <c r="AF609" i="1" s="1"/>
  <c r="AH609" i="1" s="1"/>
  <c r="AB481" i="1"/>
  <c r="AF481" i="1" s="1"/>
  <c r="AA481" i="1" s="1"/>
  <c r="AF7" i="4" s="1"/>
  <c r="AB353" i="1"/>
  <c r="AF353" i="1" s="1"/>
  <c r="AH353" i="1" s="1"/>
  <c r="AB225" i="1"/>
  <c r="AB129" i="1"/>
  <c r="AB752" i="1"/>
  <c r="AB640" i="1"/>
  <c r="AB544" i="1"/>
  <c r="AB432" i="1"/>
  <c r="AB320" i="1"/>
  <c r="AB208" i="1"/>
  <c r="AB96" i="1"/>
  <c r="AB841" i="1"/>
  <c r="AB825" i="1"/>
  <c r="AB809" i="1"/>
  <c r="AB793" i="1"/>
  <c r="AF793" i="1" s="1"/>
  <c r="AH793" i="1" s="1"/>
  <c r="AB777" i="1"/>
  <c r="AB761" i="1"/>
  <c r="AB745" i="1"/>
  <c r="AF745" i="1" s="1"/>
  <c r="AH745" i="1" s="1"/>
  <c r="AB729" i="1"/>
  <c r="AB713" i="1"/>
  <c r="AB697" i="1"/>
  <c r="AB681" i="1"/>
  <c r="AB665" i="1"/>
  <c r="AB649" i="1"/>
  <c r="AB633" i="1"/>
  <c r="AB617" i="1"/>
  <c r="AB601" i="1"/>
  <c r="AB585" i="1"/>
  <c r="AB569" i="1"/>
  <c r="AB553" i="1"/>
  <c r="AB537" i="1"/>
  <c r="AF537" i="1" s="1"/>
  <c r="AH537" i="1" s="1"/>
  <c r="AB521" i="1"/>
  <c r="AF521" i="1" s="1"/>
  <c r="AH521" i="1" s="1"/>
  <c r="AB505" i="1"/>
  <c r="AF505" i="1" s="1"/>
  <c r="AA505" i="1" s="1"/>
  <c r="Z11" i="4" s="1"/>
  <c r="AB489" i="1"/>
  <c r="AF489" i="1" s="1"/>
  <c r="AH489" i="1" s="1"/>
  <c r="AB473" i="1"/>
  <c r="AB457" i="1"/>
  <c r="AB441" i="1"/>
  <c r="AB425" i="1"/>
  <c r="AB409" i="1"/>
  <c r="AB393" i="1"/>
  <c r="AB377" i="1"/>
  <c r="AB361" i="1"/>
  <c r="AB345" i="1"/>
  <c r="AB329" i="1"/>
  <c r="AB313" i="1"/>
  <c r="AB297" i="1"/>
  <c r="AF297" i="1" s="1"/>
  <c r="AH297" i="1" s="1"/>
  <c r="AB281" i="1"/>
  <c r="AF281" i="1" s="1"/>
  <c r="AH281" i="1" s="1"/>
  <c r="AB265" i="1"/>
  <c r="AF265" i="1" s="1"/>
  <c r="AH265" i="1" s="1"/>
  <c r="AB249" i="1"/>
  <c r="AF249" i="1" s="1"/>
  <c r="AH249" i="1" s="1"/>
  <c r="AB233" i="1"/>
  <c r="AF233" i="1" s="1"/>
  <c r="AH233" i="1" s="1"/>
  <c r="AB217" i="1"/>
  <c r="AB201" i="1"/>
  <c r="AB185" i="1"/>
  <c r="AB169" i="1"/>
  <c r="AB153" i="1"/>
  <c r="AB137" i="1"/>
  <c r="AB121" i="1"/>
  <c r="AB105" i="1"/>
  <c r="AB89" i="1"/>
  <c r="AB73" i="1"/>
  <c r="AB57" i="1"/>
  <c r="AB41" i="1"/>
  <c r="AF41" i="1" s="1"/>
  <c r="AA41" i="1" s="1"/>
  <c r="L20" i="4" s="1"/>
  <c r="AB25" i="1"/>
  <c r="AF25" i="1" s="1"/>
  <c r="AH25" i="1" s="1"/>
  <c r="AB9" i="1"/>
  <c r="AF9" i="1" s="1"/>
  <c r="AH9" i="1" s="1"/>
  <c r="AB840" i="1"/>
  <c r="AF840" i="1" s="1"/>
  <c r="AH840" i="1" s="1"/>
  <c r="AB824" i="1"/>
  <c r="AF824" i="1" s="1"/>
  <c r="AH824" i="1" s="1"/>
  <c r="AB808" i="1"/>
  <c r="AB792" i="1"/>
  <c r="AB776" i="1"/>
  <c r="AB760" i="1"/>
  <c r="AB744" i="1"/>
  <c r="AB728" i="1"/>
  <c r="AB712" i="1"/>
  <c r="AB696" i="1"/>
  <c r="AB680" i="1"/>
  <c r="AB664" i="1"/>
  <c r="AB648" i="1"/>
  <c r="AB632" i="1"/>
  <c r="AF632" i="1" s="1"/>
  <c r="AA632" i="1" s="1"/>
  <c r="AG6" i="4" s="1"/>
  <c r="AB616" i="1"/>
  <c r="AF616" i="1" s="1"/>
  <c r="AH616" i="1" s="1"/>
  <c r="AB600" i="1"/>
  <c r="AF600" i="1" s="1"/>
  <c r="AH600" i="1" s="1"/>
  <c r="AB584" i="1"/>
  <c r="AF584" i="1" s="1"/>
  <c r="AH584" i="1" s="1"/>
  <c r="AB568" i="1"/>
  <c r="AF568" i="1" s="1"/>
  <c r="AA568" i="1" s="1"/>
  <c r="AC24" i="4" s="1"/>
  <c r="AB552" i="1"/>
  <c r="AB536" i="1"/>
  <c r="AB520" i="1"/>
  <c r="AB504" i="1"/>
  <c r="AB488" i="1"/>
  <c r="AB472" i="1"/>
  <c r="AB456" i="1"/>
  <c r="AB440" i="1"/>
  <c r="AB424" i="1"/>
  <c r="AB408" i="1"/>
  <c r="AB392" i="1"/>
  <c r="AB376" i="1"/>
  <c r="AF376" i="1" s="1"/>
  <c r="AH376" i="1" s="1"/>
  <c r="AB360" i="1"/>
  <c r="AF360" i="1" s="1"/>
  <c r="AH360" i="1" s="1"/>
  <c r="AB344" i="1"/>
  <c r="AF344" i="1" s="1"/>
  <c r="AA344" i="1" s="1"/>
  <c r="O18" i="4" s="1"/>
  <c r="AB328" i="1"/>
  <c r="AF328" i="1" s="1"/>
  <c r="AH328" i="1" s="1"/>
  <c r="AB312" i="1"/>
  <c r="AF312" i="1" s="1"/>
  <c r="AH312" i="1" s="1"/>
  <c r="AB296" i="1"/>
  <c r="AB280" i="1"/>
  <c r="AB264" i="1"/>
  <c r="AB248" i="1"/>
  <c r="AB232" i="1"/>
  <c r="AF232" i="1" s="1"/>
  <c r="AB216" i="1"/>
  <c r="AB200" i="1"/>
  <c r="AB184" i="1"/>
  <c r="AB168" i="1"/>
  <c r="AF168" i="1" s="1"/>
  <c r="AA168" i="1" s="1"/>
  <c r="S9" i="4" s="1"/>
  <c r="AB152" i="1"/>
  <c r="AB136" i="1"/>
  <c r="AB120" i="1"/>
  <c r="AF120" i="1" s="1"/>
  <c r="AH120" i="1" s="1"/>
  <c r="AB104" i="1"/>
  <c r="AF104" i="1" s="1"/>
  <c r="AA104" i="1" s="1"/>
  <c r="O16" i="4" s="1"/>
  <c r="AB88" i="1"/>
  <c r="AF88" i="1" s="1"/>
  <c r="AH88" i="1" s="1"/>
  <c r="AB72" i="1"/>
  <c r="AF72" i="1" s="1"/>
  <c r="AH72" i="1" s="1"/>
  <c r="AB56" i="1"/>
  <c r="AF56" i="1" s="1"/>
  <c r="AA56" i="1" s="1"/>
  <c r="AA20" i="4" s="1"/>
  <c r="AB40" i="1"/>
  <c r="AB24" i="1"/>
  <c r="AB8" i="1"/>
  <c r="AB833" i="1"/>
  <c r="AB657" i="1"/>
  <c r="AB513" i="1"/>
  <c r="AB337" i="1"/>
  <c r="AB113" i="1"/>
  <c r="AB839" i="1"/>
  <c r="AF839" i="1" s="1"/>
  <c r="AH839" i="1" s="1"/>
  <c r="AB823" i="1"/>
  <c r="AB807" i="1"/>
  <c r="AF807" i="1" s="1"/>
  <c r="AH807" i="1" s="1"/>
  <c r="AB791" i="1"/>
  <c r="AF791" i="1" s="1"/>
  <c r="AH791" i="1" s="1"/>
  <c r="AB775" i="1"/>
  <c r="AF775" i="1" s="1"/>
  <c r="AB759" i="1"/>
  <c r="AF759" i="1" s="1"/>
  <c r="AH759" i="1" s="1"/>
  <c r="AB743" i="1"/>
  <c r="AF743" i="1" s="1"/>
  <c r="AH743" i="1" s="1"/>
  <c r="AB727" i="1"/>
  <c r="AF727" i="1" s="1"/>
  <c r="AH727" i="1" s="1"/>
  <c r="AB711" i="1"/>
  <c r="AB695" i="1"/>
  <c r="AB679" i="1"/>
  <c r="AB663" i="1"/>
  <c r="AB647" i="1"/>
  <c r="AB631" i="1"/>
  <c r="AB615" i="1"/>
  <c r="AB599" i="1"/>
  <c r="AB583" i="1"/>
  <c r="AF583" i="1" s="1"/>
  <c r="AA583" i="1" s="1"/>
  <c r="N12" i="4" s="1"/>
  <c r="AB567" i="1"/>
  <c r="AB551" i="1"/>
  <c r="AF551" i="1" s="1"/>
  <c r="AA551" i="1" s="1"/>
  <c r="L24" i="4" s="1"/>
  <c r="AB535" i="1"/>
  <c r="AF535" i="1" s="1"/>
  <c r="AH535" i="1" s="1"/>
  <c r="AB519" i="1"/>
  <c r="AF519" i="1" s="1"/>
  <c r="AH519" i="1" s="1"/>
  <c r="AB503" i="1"/>
  <c r="AF503" i="1" s="1"/>
  <c r="AH503" i="1" s="1"/>
  <c r="AB487" i="1"/>
  <c r="AF487" i="1" s="1"/>
  <c r="AA487" i="1" s="1"/>
  <c r="H11" i="4" s="1"/>
  <c r="AB471" i="1"/>
  <c r="AF471" i="1" s="1"/>
  <c r="V7" i="4" s="1"/>
  <c r="AB455" i="1"/>
  <c r="AB439" i="1"/>
  <c r="AB423" i="1"/>
  <c r="AB407" i="1"/>
  <c r="AB391" i="1"/>
  <c r="AB375" i="1"/>
  <c r="AB359" i="1"/>
  <c r="AB343" i="1"/>
  <c r="AB327" i="1"/>
  <c r="AB311" i="1"/>
  <c r="AB295" i="1"/>
  <c r="AB279" i="1"/>
  <c r="AF279" i="1" s="1"/>
  <c r="AH279" i="1" s="1"/>
  <c r="AB263" i="1"/>
  <c r="AF263" i="1" s="1"/>
  <c r="AH263" i="1" s="1"/>
  <c r="AB247" i="1"/>
  <c r="AF247" i="1" s="1"/>
  <c r="AH247" i="1" s="1"/>
  <c r="AB231" i="1"/>
  <c r="AF231" i="1" s="1"/>
  <c r="AA231" i="1" s="1"/>
  <c r="V8" i="4" s="1"/>
  <c r="AB215" i="1"/>
  <c r="AF215" i="1" s="1"/>
  <c r="AA215" i="1" s="1"/>
  <c r="F8" i="4" s="1"/>
  <c r="AB199" i="1"/>
  <c r="AB183" i="1"/>
  <c r="AB167" i="1"/>
  <c r="AB151" i="1"/>
  <c r="AB135" i="1"/>
  <c r="AB119" i="1"/>
  <c r="AB103" i="1"/>
  <c r="AB87" i="1"/>
  <c r="AB71" i="1"/>
  <c r="AB55" i="1"/>
  <c r="AB39" i="1"/>
  <c r="AB23" i="1"/>
  <c r="AF23" i="1" s="1"/>
  <c r="AH23" i="1" s="1"/>
  <c r="AB7" i="1"/>
  <c r="AF7" i="1" s="1"/>
  <c r="AH7" i="1" s="1"/>
  <c r="AB721" i="1"/>
  <c r="AF721" i="1" s="1"/>
  <c r="AB561" i="1"/>
  <c r="AF561" i="1" s="1"/>
  <c r="AA561" i="1" s="1"/>
  <c r="V24" i="4" s="1"/>
  <c r="AB433" i="1"/>
  <c r="AF433" i="1" s="1"/>
  <c r="AA433" i="1" s="1"/>
  <c r="N10" i="4" s="1"/>
  <c r="AB305" i="1"/>
  <c r="AB209" i="1"/>
  <c r="AB65" i="1"/>
  <c r="AB838" i="1"/>
  <c r="AB822" i="1"/>
  <c r="AB806" i="1"/>
  <c r="AB790" i="1"/>
  <c r="AB774" i="1"/>
  <c r="AB758" i="1"/>
  <c r="AF758" i="1" s="1"/>
  <c r="AH758" i="1" s="1"/>
  <c r="AB742" i="1"/>
  <c r="AB726" i="1"/>
  <c r="AB710" i="1"/>
  <c r="AF710" i="1" s="1"/>
  <c r="AH710" i="1" s="1"/>
  <c r="AB694" i="1"/>
  <c r="AF694" i="1" s="1"/>
  <c r="AH694" i="1" s="1"/>
  <c r="AB678" i="1"/>
  <c r="AF678" i="1" s="1"/>
  <c r="AA678" i="1" s="1"/>
  <c r="S25" i="4" s="1"/>
  <c r="AB662" i="1"/>
  <c r="AF662" i="1" s="1"/>
  <c r="AH662" i="1" s="1"/>
  <c r="AB646" i="1"/>
  <c r="AF646" i="1" s="1"/>
  <c r="AH646" i="1" s="1"/>
  <c r="AB630" i="1"/>
  <c r="AB614" i="1"/>
  <c r="AB598" i="1"/>
  <c r="AB582" i="1"/>
  <c r="AB566" i="1"/>
  <c r="AB550" i="1"/>
  <c r="AB534" i="1"/>
  <c r="AB518" i="1"/>
  <c r="AB502" i="1"/>
  <c r="AF502" i="1" s="1"/>
  <c r="AA502" i="1" s="1"/>
  <c r="W11" i="4" s="1"/>
  <c r="AB486" i="1"/>
  <c r="AB470" i="1"/>
  <c r="AB454" i="1"/>
  <c r="AF454" i="1" s="1"/>
  <c r="AH454" i="1" s="1"/>
  <c r="AB438" i="1"/>
  <c r="AF438" i="1" s="1"/>
  <c r="AA438" i="1" s="1"/>
  <c r="S10" i="4" s="1"/>
  <c r="AB422" i="1"/>
  <c r="AF422" i="1" s="1"/>
  <c r="AB406" i="1"/>
  <c r="AF406" i="1" s="1"/>
  <c r="AH406" i="1" s="1"/>
  <c r="AB390" i="1"/>
  <c r="AF390" i="1" s="1"/>
  <c r="AH390" i="1" s="1"/>
  <c r="AB374" i="1"/>
  <c r="AB358" i="1"/>
  <c r="AB342" i="1"/>
  <c r="AF342" i="1" s="1"/>
  <c r="AB326" i="1"/>
  <c r="AB310" i="1"/>
  <c r="AB294" i="1"/>
  <c r="AB278" i="1"/>
  <c r="AB262" i="1"/>
  <c r="AB246" i="1"/>
  <c r="AF246" i="1" s="1"/>
  <c r="AH246" i="1" s="1"/>
  <c r="AB230" i="1"/>
  <c r="AB214" i="1"/>
  <c r="AB198" i="1"/>
  <c r="AF198" i="1" s="1"/>
  <c r="AH198" i="1" s="1"/>
  <c r="AB182" i="1"/>
  <c r="AF182" i="1" s="1"/>
  <c r="AA182" i="1" s="1"/>
  <c r="AG9" i="4" s="1"/>
  <c r="AB166" i="1"/>
  <c r="AF166" i="1" s="1"/>
  <c r="AH166" i="1" s="1"/>
  <c r="AB150" i="1"/>
  <c r="AF150" i="1" s="1"/>
  <c r="AH150" i="1" s="1"/>
  <c r="AB134" i="1"/>
  <c r="AF134" i="1" s="1"/>
  <c r="AA134" i="1" s="1"/>
  <c r="O17" i="4" s="1"/>
  <c r="AB118" i="1"/>
  <c r="AB102" i="1"/>
  <c r="AB86" i="1"/>
  <c r="AB70" i="1"/>
  <c r="AB54" i="1"/>
  <c r="AB38" i="1"/>
  <c r="AB22" i="1"/>
  <c r="AB6" i="1"/>
  <c r="E22" i="4"/>
  <c r="D21" i="4"/>
  <c r="E29" i="4"/>
  <c r="E30" i="4"/>
  <c r="E31" i="4"/>
  <c r="E23" i="4"/>
  <c r="D22" i="4"/>
  <c r="D26" i="4"/>
  <c r="D30" i="4"/>
  <c r="E24" i="4"/>
  <c r="D23" i="4"/>
  <c r="E7" i="4"/>
  <c r="D6" i="4"/>
  <c r="D25" i="4"/>
  <c r="E9" i="4"/>
  <c r="E6" i="4"/>
  <c r="E10" i="4"/>
  <c r="D29" i="4"/>
  <c r="E12" i="4"/>
  <c r="R9" i="4"/>
  <c r="E25" i="4"/>
  <c r="D24" i="4"/>
  <c r="E8" i="4"/>
  <c r="D7" i="4"/>
  <c r="E26" i="4"/>
  <c r="D8" i="4"/>
  <c r="D28" i="4"/>
  <c r="D10" i="4"/>
  <c r="E13" i="4"/>
  <c r="D31" i="4"/>
  <c r="G17" i="4"/>
  <c r="E15" i="4"/>
  <c r="E33" i="4"/>
  <c r="AD10" i="4"/>
  <c r="E28" i="4"/>
  <c r="D9" i="4"/>
  <c r="E11" i="4"/>
  <c r="D11" i="4"/>
  <c r="D12" i="4"/>
  <c r="D13" i="4"/>
  <c r="N25" i="4"/>
  <c r="H19" i="4"/>
  <c r="D15" i="4"/>
  <c r="E35" i="4"/>
  <c r="F19" i="4"/>
  <c r="E32" i="4"/>
  <c r="D32" i="4"/>
  <c r="E16" i="4"/>
  <c r="E18" i="4"/>
  <c r="D35" i="4"/>
  <c r="E20" i="4"/>
  <c r="E21" i="4"/>
  <c r="AD8" i="4"/>
  <c r="D33" i="4"/>
  <c r="W19" i="4"/>
  <c r="E17" i="4"/>
  <c r="V19" i="4"/>
  <c r="D17" i="4"/>
  <c r="D19" i="4"/>
  <c r="E34" i="4"/>
  <c r="D16" i="4"/>
  <c r="D34" i="4"/>
  <c r="E19" i="4"/>
  <c r="D18" i="4"/>
  <c r="D20" i="4"/>
  <c r="T19" i="4"/>
  <c r="S19" i="4"/>
  <c r="AC7" i="4"/>
  <c r="O7" i="4"/>
  <c r="O8" i="4"/>
  <c r="K9" i="4"/>
  <c r="U8" i="4"/>
  <c r="O12" i="4"/>
  <c r="AA152" i="1"/>
  <c r="AG17" i="4" s="1"/>
  <c r="AC19" i="4"/>
  <c r="M19" i="4"/>
  <c r="V6" i="4"/>
  <c r="AD11" i="4"/>
  <c r="P20" i="4"/>
  <c r="AD19" i="4"/>
  <c r="W9" i="4"/>
  <c r="AG19" i="4"/>
  <c r="O20" i="4"/>
  <c r="AF19" i="4"/>
  <c r="L19" i="4"/>
  <c r="W10" i="4"/>
  <c r="Y8" i="4"/>
  <c r="I8" i="4"/>
  <c r="O19" i="4"/>
  <c r="AD12" i="4"/>
  <c r="K19" i="4"/>
  <c r="I20" i="4"/>
  <c r="Z19" i="4"/>
  <c r="U11" i="4"/>
  <c r="Y19" i="4"/>
  <c r="I19" i="4"/>
  <c r="AD9" i="4"/>
  <c r="AE388" i="1"/>
  <c r="AJ15" i="4"/>
  <c r="AJ6" i="4"/>
  <c r="AJ28" i="4"/>
  <c r="F3" i="4"/>
  <c r="AE648" i="1"/>
  <c r="AE514" i="1"/>
  <c r="AE390" i="1"/>
  <c r="AE328" i="1"/>
  <c r="AE280" i="1"/>
  <c r="AE246" i="1"/>
  <c r="AF827" i="1"/>
  <c r="AH827" i="1" s="1"/>
  <c r="AC827" i="1"/>
  <c r="AG827" i="1" s="1"/>
  <c r="AC807" i="1"/>
  <c r="AG807" i="1" s="1"/>
  <c r="AC791" i="1"/>
  <c r="AG791" i="1" s="1"/>
  <c r="AA791" i="1" s="1"/>
  <c r="L35" i="4" s="1"/>
  <c r="AC775" i="1"/>
  <c r="AG775" i="1" s="1"/>
  <c r="AC759" i="1"/>
  <c r="AG759" i="1" s="1"/>
  <c r="AC743" i="1"/>
  <c r="AG743" i="1" s="1"/>
  <c r="AC727" i="1"/>
  <c r="AG727" i="1" s="1"/>
  <c r="AF711" i="1"/>
  <c r="AH711" i="1" s="1"/>
  <c r="AC711" i="1"/>
  <c r="AG711" i="1" s="1"/>
  <c r="AF695" i="1"/>
  <c r="AH695" i="1" s="1"/>
  <c r="AC695" i="1"/>
  <c r="AG695" i="1" s="1"/>
  <c r="AA695" i="1" s="1"/>
  <c r="F29" i="4" s="1"/>
  <c r="AF673" i="1"/>
  <c r="AH673" i="1" s="1"/>
  <c r="AC653" i="1"/>
  <c r="AG653" i="1" s="1"/>
  <c r="AC637" i="1"/>
  <c r="AG637" i="1" s="1"/>
  <c r="AF617" i="1"/>
  <c r="AA617" i="1" s="1"/>
  <c r="R6" i="4" s="1"/>
  <c r="AF599" i="1"/>
  <c r="AH599" i="1" s="1"/>
  <c r="AF567" i="1"/>
  <c r="AA567" i="1" s="1"/>
  <c r="AB24" i="4" s="1"/>
  <c r="AC535" i="1"/>
  <c r="AG535" i="1" s="1"/>
  <c r="Z33" i="4" s="1"/>
  <c r="AC519" i="1"/>
  <c r="AG519" i="1" s="1"/>
  <c r="AF455" i="1"/>
  <c r="AA455" i="1" s="1"/>
  <c r="F7" i="4" s="1"/>
  <c r="AC419" i="1"/>
  <c r="AG419" i="1" s="1"/>
  <c r="AC403" i="1"/>
  <c r="AG403" i="1" s="1"/>
  <c r="AC379" i="1"/>
  <c r="AG379" i="1" s="1"/>
  <c r="AC363" i="1"/>
  <c r="AG363" i="1" s="1"/>
  <c r="AF317" i="1"/>
  <c r="AH317" i="1" s="1"/>
  <c r="AC317" i="1"/>
  <c r="AG317" i="1" s="1"/>
  <c r="AF301" i="1"/>
  <c r="AH301" i="1" s="1"/>
  <c r="AC301" i="1"/>
  <c r="AG301" i="1" s="1"/>
  <c r="AF285" i="1"/>
  <c r="AH285" i="1" s="1"/>
  <c r="AC285" i="1"/>
  <c r="AG285" i="1" s="1"/>
  <c r="AF267" i="1"/>
  <c r="AH267" i="1" s="1"/>
  <c r="AC267" i="1"/>
  <c r="AG267" i="1" s="1"/>
  <c r="AF251" i="1"/>
  <c r="AH251" i="1" s="1"/>
  <c r="AC251" i="1"/>
  <c r="AG251" i="1" s="1"/>
  <c r="AF235" i="1"/>
  <c r="AA235" i="1" s="1"/>
  <c r="Z8" i="4" s="1"/>
  <c r="AF219" i="1"/>
  <c r="AH219" i="1" s="1"/>
  <c r="AC203" i="1"/>
  <c r="AG203" i="1" s="1"/>
  <c r="AC187" i="1"/>
  <c r="AG187" i="1" s="1"/>
  <c r="AF129" i="1"/>
  <c r="AH129" i="1" s="1"/>
  <c r="AF113" i="1"/>
  <c r="AH113" i="1" s="1"/>
  <c r="AF97" i="1"/>
  <c r="AA97" i="1" s="1"/>
  <c r="H16" i="4" s="1"/>
  <c r="AF81" i="1"/>
  <c r="AH81" i="1" s="1"/>
  <c r="AF65" i="1"/>
  <c r="AH65" i="1" s="1"/>
  <c r="AF49" i="1"/>
  <c r="AA49" i="1" s="1"/>
  <c r="T20" i="4" s="1"/>
  <c r="AC17" i="1"/>
  <c r="AG17" i="1" s="1"/>
  <c r="AC842" i="1"/>
  <c r="AG842" i="1" s="1"/>
  <c r="AD826" i="1"/>
  <c r="AF826" i="1"/>
  <c r="AH826" i="1" s="1"/>
  <c r="AC826" i="1"/>
  <c r="AG826" i="1" s="1"/>
  <c r="AD806" i="1"/>
  <c r="AF806" i="1"/>
  <c r="AH806" i="1" s="1"/>
  <c r="AC806" i="1"/>
  <c r="AG806" i="1" s="1"/>
  <c r="AD790" i="1"/>
  <c r="AF790" i="1"/>
  <c r="AH790" i="1" s="1"/>
  <c r="AC790" i="1"/>
  <c r="AG790" i="1" s="1"/>
  <c r="AA790" i="1" s="1"/>
  <c r="K35" i="4" s="1"/>
  <c r="AF774" i="1"/>
  <c r="AC774" i="1"/>
  <c r="AG774" i="1" s="1"/>
  <c r="AC758" i="1"/>
  <c r="AG758" i="1" s="1"/>
  <c r="AF742" i="1"/>
  <c r="AH742" i="1" s="1"/>
  <c r="AC742" i="1"/>
  <c r="AG742" i="1" s="1"/>
  <c r="AF726" i="1"/>
  <c r="AH726" i="1" s="1"/>
  <c r="AC726" i="1"/>
  <c r="AG726" i="1" s="1"/>
  <c r="AC710" i="1"/>
  <c r="AG710" i="1" s="1"/>
  <c r="AD694" i="1"/>
  <c r="AC694" i="1"/>
  <c r="AG694" i="1" s="1"/>
  <c r="AF688" i="1"/>
  <c r="AA688" i="1" s="1"/>
  <c r="AC25" i="4" s="1"/>
  <c r="AF672" i="1"/>
  <c r="AA672" i="1" s="1"/>
  <c r="M25" i="4" s="1"/>
  <c r="AC652" i="1"/>
  <c r="AG652" i="1" s="1"/>
  <c r="AC636" i="1"/>
  <c r="AG636" i="1" s="1"/>
  <c r="AF598" i="1"/>
  <c r="AA598" i="1" s="1"/>
  <c r="AC12" i="4" s="1"/>
  <c r="AF582" i="1"/>
  <c r="AA582" i="1" s="1"/>
  <c r="M12" i="4" s="1"/>
  <c r="AF566" i="1"/>
  <c r="AA566" i="1" s="1"/>
  <c r="AA24" i="4" s="1"/>
  <c r="AF550" i="1"/>
  <c r="AA550" i="1" s="1"/>
  <c r="K24" i="4" s="1"/>
  <c r="AF534" i="1"/>
  <c r="AH534" i="1" s="1"/>
  <c r="AC534" i="1"/>
  <c r="AG534" i="1" s="1"/>
  <c r="AF518" i="1"/>
  <c r="AH518" i="1" s="1"/>
  <c r="AC518" i="1"/>
  <c r="AG518" i="1" s="1"/>
  <c r="AF510" i="1"/>
  <c r="AH510" i="1" s="1"/>
  <c r="AF494" i="1"/>
  <c r="AA494" i="1" s="1"/>
  <c r="O11" i="4" s="1"/>
  <c r="AF470" i="1"/>
  <c r="AA470" i="1" s="1"/>
  <c r="U7" i="4" s="1"/>
  <c r="AF450" i="1"/>
  <c r="AH450" i="1" s="1"/>
  <c r="AF434" i="1"/>
  <c r="AA434" i="1" s="1"/>
  <c r="O10" i="4" s="1"/>
  <c r="AF418" i="1"/>
  <c r="AH418" i="1" s="1"/>
  <c r="AC418" i="1"/>
  <c r="AG418" i="1" s="1"/>
  <c r="AF402" i="1"/>
  <c r="AC402" i="1"/>
  <c r="AG402" i="1" s="1"/>
  <c r="AF378" i="1"/>
  <c r="AH378" i="1" s="1"/>
  <c r="AC332" i="1"/>
  <c r="AG332" i="1" s="1"/>
  <c r="AD316" i="1"/>
  <c r="AF316" i="1"/>
  <c r="AH316" i="1" s="1"/>
  <c r="AC316" i="1"/>
  <c r="AG316" i="1" s="1"/>
  <c r="AD300" i="1"/>
  <c r="AF300" i="1"/>
  <c r="AH300" i="1" s="1"/>
  <c r="AC300" i="1"/>
  <c r="AG300" i="1" s="1"/>
  <c r="AF284" i="1"/>
  <c r="AH284" i="1" s="1"/>
  <c r="AC284" i="1"/>
  <c r="AG284" i="1" s="1"/>
  <c r="AF266" i="1"/>
  <c r="AH266" i="1" s="1"/>
  <c r="AC266" i="1"/>
  <c r="AG266" i="1" s="1"/>
  <c r="AC250" i="1"/>
  <c r="AG250" i="1" s="1"/>
  <c r="AD202" i="1"/>
  <c r="AC202" i="1"/>
  <c r="AG202" i="1" s="1"/>
  <c r="W26" i="4" s="1"/>
  <c r="AC186" i="1"/>
  <c r="AG186" i="1" s="1"/>
  <c r="AF170" i="1"/>
  <c r="AA170" i="1" s="1"/>
  <c r="U9" i="4" s="1"/>
  <c r="AF154" i="1"/>
  <c r="AH154" i="1" s="1"/>
  <c r="AF96" i="1"/>
  <c r="AA96" i="1" s="1"/>
  <c r="G16" i="4" s="1"/>
  <c r="AF80" i="1"/>
  <c r="AA80" i="1" s="1"/>
  <c r="U19" i="4" s="1"/>
  <c r="AF64" i="1"/>
  <c r="AH64" i="1" s="1"/>
  <c r="AF48" i="1"/>
  <c r="AA48" i="1" s="1"/>
  <c r="S20" i="4" s="1"/>
  <c r="AC32" i="1"/>
  <c r="AG32" i="1" s="1"/>
  <c r="AC16" i="1"/>
  <c r="AG16" i="1" s="1"/>
  <c r="AF841" i="1"/>
  <c r="AH841" i="1" s="1"/>
  <c r="AC841" i="1"/>
  <c r="AG841" i="1" s="1"/>
  <c r="AF825" i="1"/>
  <c r="AH825" i="1" s="1"/>
  <c r="AC825" i="1"/>
  <c r="AG825" i="1" s="1"/>
  <c r="AF805" i="1"/>
  <c r="AH805" i="1" s="1"/>
  <c r="AC805" i="1"/>
  <c r="AG805" i="1" s="1"/>
  <c r="AC789" i="1"/>
  <c r="AG789" i="1" s="1"/>
  <c r="AC773" i="1"/>
  <c r="AG773" i="1" s="1"/>
  <c r="AF757" i="1"/>
  <c r="AC757" i="1"/>
  <c r="AG757" i="1" s="1"/>
  <c r="AF741" i="1"/>
  <c r="AH741" i="1" s="1"/>
  <c r="AC741" i="1"/>
  <c r="AG741" i="1" s="1"/>
  <c r="AF725" i="1"/>
  <c r="AH725" i="1" s="1"/>
  <c r="AC725" i="1"/>
  <c r="AG725" i="1" s="1"/>
  <c r="AC709" i="1"/>
  <c r="AG709" i="1" s="1"/>
  <c r="AF693" i="1"/>
  <c r="AH693" i="1" s="1"/>
  <c r="AC693" i="1"/>
  <c r="AG693" i="1" s="1"/>
  <c r="AF687" i="1"/>
  <c r="AA687" i="1" s="1"/>
  <c r="AB25" i="4" s="1"/>
  <c r="AF671" i="1"/>
  <c r="AA671" i="1" s="1"/>
  <c r="L25" i="4" s="1"/>
  <c r="AC651" i="1"/>
  <c r="AG651" i="1" s="1"/>
  <c r="AC635" i="1"/>
  <c r="AG635" i="1" s="1"/>
  <c r="AF631" i="1"/>
  <c r="AA631" i="1" s="1"/>
  <c r="AF6" i="4" s="1"/>
  <c r="AF615" i="1"/>
  <c r="AA615" i="1" s="1"/>
  <c r="P6" i="4" s="1"/>
  <c r="AF597" i="1"/>
  <c r="AA597" i="1" s="1"/>
  <c r="AB12" i="4" s="1"/>
  <c r="AF581" i="1"/>
  <c r="AA581" i="1" s="1"/>
  <c r="L12" i="4" s="1"/>
  <c r="AF565" i="1"/>
  <c r="AA565" i="1" s="1"/>
  <c r="Z24" i="4" s="1"/>
  <c r="AF549" i="1"/>
  <c r="AH549" i="1" s="1"/>
  <c r="AF533" i="1"/>
  <c r="AH533" i="1" s="1"/>
  <c r="AC533" i="1"/>
  <c r="AG533" i="1" s="1"/>
  <c r="AF517" i="1"/>
  <c r="AH517" i="1" s="1"/>
  <c r="AC517" i="1"/>
  <c r="AG517" i="1" s="1"/>
  <c r="AF509" i="1"/>
  <c r="AH509" i="1" s="1"/>
  <c r="AF493" i="1"/>
  <c r="AA493" i="1" s="1"/>
  <c r="N11" i="4" s="1"/>
  <c r="AF449" i="1"/>
  <c r="AH449" i="1" s="1"/>
  <c r="AF417" i="1"/>
  <c r="AH417" i="1" s="1"/>
  <c r="AC417" i="1"/>
  <c r="AG417" i="1" s="1"/>
  <c r="AC401" i="1"/>
  <c r="AG401" i="1" s="1"/>
  <c r="AF377" i="1"/>
  <c r="AH377" i="1" s="1"/>
  <c r="AC377" i="1"/>
  <c r="AG377" i="1" s="1"/>
  <c r="AF347" i="1"/>
  <c r="AA347" i="1" s="1"/>
  <c r="R18" i="4" s="1"/>
  <c r="AF331" i="1"/>
  <c r="AH331" i="1" s="1"/>
  <c r="AC331" i="1"/>
  <c r="AG331" i="1" s="1"/>
  <c r="AF315" i="1"/>
  <c r="AH315" i="1" s="1"/>
  <c r="AC315" i="1"/>
  <c r="AG315" i="1" s="1"/>
  <c r="AF299" i="1"/>
  <c r="AH299" i="1" s="1"/>
  <c r="AC299" i="1"/>
  <c r="AG299" i="1" s="1"/>
  <c r="AF283" i="1"/>
  <c r="AH283" i="1" s="1"/>
  <c r="AC283" i="1"/>
  <c r="AG283" i="1" s="1"/>
  <c r="AC265" i="1"/>
  <c r="AG265" i="1" s="1"/>
  <c r="AC249" i="1"/>
  <c r="AG249" i="1" s="1"/>
  <c r="AF217" i="1"/>
  <c r="AA217" i="1" s="1"/>
  <c r="H8" i="4" s="1"/>
  <c r="AC201" i="1"/>
  <c r="AG201" i="1" s="1"/>
  <c r="V26" i="4" s="1"/>
  <c r="AF201" i="1"/>
  <c r="AH201" i="1" s="1"/>
  <c r="AF185" i="1"/>
  <c r="AH185" i="1" s="1"/>
  <c r="AC185" i="1"/>
  <c r="AG185" i="1" s="1"/>
  <c r="AF169" i="1"/>
  <c r="AA169" i="1" s="1"/>
  <c r="T9" i="4" s="1"/>
  <c r="AF153" i="1"/>
  <c r="AH153" i="1" s="1"/>
  <c r="AF143" i="1"/>
  <c r="AH143" i="1" s="1"/>
  <c r="AA127" i="1"/>
  <c r="H17" i="4" s="1"/>
  <c r="AF111" i="1"/>
  <c r="AA111" i="1" s="1"/>
  <c r="V16" i="4" s="1"/>
  <c r="AF95" i="1"/>
  <c r="AA95" i="1" s="1"/>
  <c r="F16" i="4" s="1"/>
  <c r="AF79" i="1"/>
  <c r="AH79" i="1" s="1"/>
  <c r="AC31" i="1"/>
  <c r="AG31" i="1" s="1"/>
  <c r="AC15" i="1"/>
  <c r="AG15" i="1" s="1"/>
  <c r="AC840" i="1"/>
  <c r="AG840" i="1" s="1"/>
  <c r="AC824" i="1"/>
  <c r="AG824" i="1" s="1"/>
  <c r="AC804" i="1"/>
  <c r="AG804" i="1" s="1"/>
  <c r="AC788" i="1"/>
  <c r="AG788" i="1" s="1"/>
  <c r="AA788" i="1" s="1"/>
  <c r="I35" i="4" s="1"/>
  <c r="AF772" i="1"/>
  <c r="AH772" i="1" s="1"/>
  <c r="AC772" i="1"/>
  <c r="AG772" i="1" s="1"/>
  <c r="AC756" i="1"/>
  <c r="AG756" i="1" s="1"/>
  <c r="AA756" i="1" s="1"/>
  <c r="G30" i="4" s="1"/>
  <c r="AC740" i="1"/>
  <c r="AG740" i="1" s="1"/>
  <c r="AF724" i="1"/>
  <c r="AH724" i="1" s="1"/>
  <c r="AC724" i="1"/>
  <c r="AG724" i="1" s="1"/>
  <c r="AF708" i="1"/>
  <c r="AH708" i="1" s="1"/>
  <c r="AC708" i="1"/>
  <c r="AG708" i="1" s="1"/>
  <c r="AF686" i="1"/>
  <c r="AA686" i="1" s="1"/>
  <c r="AA25" i="4" s="1"/>
  <c r="AF670" i="1"/>
  <c r="AA670" i="1" s="1"/>
  <c r="K25" i="4" s="1"/>
  <c r="AF650" i="1"/>
  <c r="AH650" i="1" s="1"/>
  <c r="AC650" i="1"/>
  <c r="AG650" i="1" s="1"/>
  <c r="AF634" i="1"/>
  <c r="AH634" i="1" s="1"/>
  <c r="AC634" i="1"/>
  <c r="AG634" i="1" s="1"/>
  <c r="AF630" i="1"/>
  <c r="AH630" i="1" s="1"/>
  <c r="AF614" i="1"/>
  <c r="AA614" i="1" s="1"/>
  <c r="O6" i="4" s="1"/>
  <c r="AF580" i="1"/>
  <c r="AA580" i="1" s="1"/>
  <c r="K12" i="4" s="1"/>
  <c r="AF564" i="1"/>
  <c r="AA564" i="1" s="1"/>
  <c r="Y24" i="4" s="1"/>
  <c r="AC532" i="1"/>
  <c r="AG532" i="1" s="1"/>
  <c r="AC516" i="1"/>
  <c r="AG516" i="1" s="1"/>
  <c r="AF508" i="1"/>
  <c r="AA508" i="1" s="1"/>
  <c r="AC11" i="4" s="1"/>
  <c r="AF492" i="1"/>
  <c r="AA492" i="1" s="1"/>
  <c r="M11" i="4" s="1"/>
  <c r="AF468" i="1"/>
  <c r="AA468" i="1" s="1"/>
  <c r="S7" i="4" s="1"/>
  <c r="AF432" i="1"/>
  <c r="AA432" i="1" s="1"/>
  <c r="M10" i="4" s="1"/>
  <c r="AF416" i="1"/>
  <c r="AH416" i="1" s="1"/>
  <c r="AC416" i="1"/>
  <c r="AG416" i="1" s="1"/>
  <c r="AF400" i="1"/>
  <c r="AH400" i="1" s="1"/>
  <c r="AC400" i="1"/>
  <c r="AF392" i="1"/>
  <c r="AH392" i="1" s="1"/>
  <c r="AC392" i="1"/>
  <c r="AG392" i="1" s="1"/>
  <c r="AC376" i="1"/>
  <c r="AG376" i="1" s="1"/>
  <c r="AF362" i="1"/>
  <c r="AA362" i="1" s="1"/>
  <c r="AG18" i="4" s="1"/>
  <c r="AF346" i="1"/>
  <c r="AH346" i="1" s="1"/>
  <c r="AF330" i="1"/>
  <c r="AH330" i="1" s="1"/>
  <c r="AC330" i="1"/>
  <c r="AG330" i="1" s="1"/>
  <c r="AF314" i="1"/>
  <c r="AH314" i="1" s="1"/>
  <c r="AC314" i="1"/>
  <c r="AG314" i="1" s="1"/>
  <c r="AC298" i="1"/>
  <c r="AG298" i="1" s="1"/>
  <c r="AF282" i="1"/>
  <c r="AH282" i="1" s="1"/>
  <c r="AC282" i="1"/>
  <c r="AG282" i="1" s="1"/>
  <c r="AF264" i="1"/>
  <c r="AH264" i="1" s="1"/>
  <c r="AC264" i="1"/>
  <c r="AG264" i="1" s="1"/>
  <c r="AF248" i="1"/>
  <c r="AH248" i="1" s="1"/>
  <c r="AC248" i="1"/>
  <c r="AG248" i="1" s="1"/>
  <c r="AA232" i="1"/>
  <c r="W8" i="4" s="1"/>
  <c r="AF216" i="1"/>
  <c r="AA216" i="1" s="1"/>
  <c r="G8" i="4" s="1"/>
  <c r="AF200" i="1"/>
  <c r="AH200" i="1" s="1"/>
  <c r="AC200" i="1"/>
  <c r="AG200" i="1" s="1"/>
  <c r="U26" i="4" s="1"/>
  <c r="AF184" i="1"/>
  <c r="AH184" i="1" s="1"/>
  <c r="AC184" i="1"/>
  <c r="AG184" i="1" s="1"/>
  <c r="AF142" i="1"/>
  <c r="AA142" i="1" s="1"/>
  <c r="W17" i="4" s="1"/>
  <c r="AF126" i="1"/>
  <c r="AH126" i="1" s="1"/>
  <c r="AF110" i="1"/>
  <c r="AA110" i="1" s="1"/>
  <c r="U16" i="4" s="1"/>
  <c r="AC30" i="1"/>
  <c r="AG30" i="1" s="1"/>
  <c r="AF14" i="1"/>
  <c r="AH14" i="1" s="1"/>
  <c r="AC839" i="1"/>
  <c r="AG839" i="1" s="1"/>
  <c r="AF823" i="1"/>
  <c r="AH823" i="1" s="1"/>
  <c r="AC823" i="1"/>
  <c r="AG823" i="1" s="1"/>
  <c r="AF803" i="1"/>
  <c r="AH803" i="1" s="1"/>
  <c r="AC803" i="1"/>
  <c r="AG803" i="1" s="1"/>
  <c r="AF787" i="1"/>
  <c r="AH787" i="1" s="1"/>
  <c r="AC787" i="1"/>
  <c r="AG787" i="1" s="1"/>
  <c r="AA787" i="1" s="1"/>
  <c r="H35" i="4" s="1"/>
  <c r="AF771" i="1"/>
  <c r="AC771" i="1"/>
  <c r="AG771" i="1" s="1"/>
  <c r="AF755" i="1"/>
  <c r="AH755" i="1" s="1"/>
  <c r="AC755" i="1"/>
  <c r="AG755" i="1" s="1"/>
  <c r="AF739" i="1"/>
  <c r="AH739" i="1" s="1"/>
  <c r="AC739" i="1"/>
  <c r="AG739" i="1" s="1"/>
  <c r="AC723" i="1"/>
  <c r="AG723" i="1" s="1"/>
  <c r="AC707" i="1"/>
  <c r="AG707" i="1" s="1"/>
  <c r="AF685" i="1"/>
  <c r="AA685" i="1" s="1"/>
  <c r="Z25" i="4" s="1"/>
  <c r="AF669" i="1"/>
  <c r="AH669" i="1" s="1"/>
  <c r="AF649" i="1"/>
  <c r="AH649" i="1" s="1"/>
  <c r="AC649" i="1"/>
  <c r="AG649" i="1" s="1"/>
  <c r="AC633" i="1"/>
  <c r="AG633" i="1" s="1"/>
  <c r="AF629" i="1"/>
  <c r="AA629" i="1" s="1"/>
  <c r="AD6" i="4" s="1"/>
  <c r="AF595" i="1"/>
  <c r="AA595" i="1" s="1"/>
  <c r="Z12" i="4" s="1"/>
  <c r="AF579" i="1"/>
  <c r="AH579" i="1" s="1"/>
  <c r="AF563" i="1"/>
  <c r="AH563" i="1" s="1"/>
  <c r="AF547" i="1"/>
  <c r="AA547" i="1" s="1"/>
  <c r="H24" i="4" s="1"/>
  <c r="AF531" i="1"/>
  <c r="AH531" i="1" s="1"/>
  <c r="AC531" i="1"/>
  <c r="AG531" i="1" s="1"/>
  <c r="AC515" i="1"/>
  <c r="AG515" i="1" s="1"/>
  <c r="AF507" i="1"/>
  <c r="AA507" i="1" s="1"/>
  <c r="AB11" i="4" s="1"/>
  <c r="AF491" i="1"/>
  <c r="AA491" i="1" s="1"/>
  <c r="L11" i="4" s="1"/>
  <c r="AF447" i="1"/>
  <c r="AA447" i="1" s="1"/>
  <c r="AB10" i="4" s="1"/>
  <c r="AF431" i="1"/>
  <c r="AA431" i="1" s="1"/>
  <c r="L10" i="4" s="1"/>
  <c r="AF415" i="1"/>
  <c r="AH415" i="1" s="1"/>
  <c r="AC415" i="1"/>
  <c r="AG415" i="1" s="1"/>
  <c r="AF399" i="1"/>
  <c r="AH399" i="1" s="1"/>
  <c r="AC399" i="1"/>
  <c r="AG399" i="1" s="1"/>
  <c r="AF391" i="1"/>
  <c r="AH391" i="1" s="1"/>
  <c r="AC391" i="1"/>
  <c r="AG391" i="1" s="1"/>
  <c r="AF375" i="1"/>
  <c r="AH375" i="1" s="1"/>
  <c r="AF361" i="1"/>
  <c r="AA361" i="1" s="1"/>
  <c r="AF18" i="4" s="1"/>
  <c r="AF345" i="1"/>
  <c r="AA345" i="1" s="1"/>
  <c r="P18" i="4" s="1"/>
  <c r="AF329" i="1"/>
  <c r="AH329" i="1" s="1"/>
  <c r="AC329" i="1"/>
  <c r="AG329" i="1" s="1"/>
  <c r="AF313" i="1"/>
  <c r="AH313" i="1" s="1"/>
  <c r="AC313" i="1"/>
  <c r="AG313" i="1" s="1"/>
  <c r="AC297" i="1"/>
  <c r="AG297" i="1" s="1"/>
  <c r="AC281" i="1"/>
  <c r="AG281" i="1" s="1"/>
  <c r="AC263" i="1"/>
  <c r="AG263" i="1" s="1"/>
  <c r="AC247" i="1"/>
  <c r="AG247" i="1" s="1"/>
  <c r="AF199" i="1"/>
  <c r="AH199" i="1" s="1"/>
  <c r="AC199" i="1"/>
  <c r="AG199" i="1" s="1"/>
  <c r="T26" i="4" s="1"/>
  <c r="AC183" i="1"/>
  <c r="AG183" i="1" s="1"/>
  <c r="AF167" i="1"/>
  <c r="AH167" i="1" s="1"/>
  <c r="AF61" i="1"/>
  <c r="AA61" i="1" s="1"/>
  <c r="AF20" i="4" s="1"/>
  <c r="AF45" i="1"/>
  <c r="AH45" i="1" s="1"/>
  <c r="AF29" i="1"/>
  <c r="AH29" i="1" s="1"/>
  <c r="AC29" i="1"/>
  <c r="AG29" i="1" s="1"/>
  <c r="AC13" i="1"/>
  <c r="AG13" i="1" s="1"/>
  <c r="AF13" i="1"/>
  <c r="AH13" i="1" s="1"/>
  <c r="AF838" i="1"/>
  <c r="AH838" i="1" s="1"/>
  <c r="AC838" i="1"/>
  <c r="AG838" i="1" s="1"/>
  <c r="AF822" i="1"/>
  <c r="AH822" i="1" s="1"/>
  <c r="AC822" i="1"/>
  <c r="AG822" i="1" s="1"/>
  <c r="AD802" i="1"/>
  <c r="AF802" i="1"/>
  <c r="AH802" i="1" s="1"/>
  <c r="AC802" i="1"/>
  <c r="AG802" i="1" s="1"/>
  <c r="AD786" i="1"/>
  <c r="AF786" i="1"/>
  <c r="AH786" i="1" s="1"/>
  <c r="AC786" i="1"/>
  <c r="AG786" i="1" s="1"/>
  <c r="AA786" i="1" s="1"/>
  <c r="G35" i="4" s="1"/>
  <c r="AF770" i="1"/>
  <c r="AH770" i="1" s="1"/>
  <c r="AC770" i="1"/>
  <c r="AG770" i="1" s="1"/>
  <c r="AD754" i="1"/>
  <c r="AF754" i="1"/>
  <c r="AH754" i="1" s="1"/>
  <c r="AC754" i="1"/>
  <c r="AG754" i="1" s="1"/>
  <c r="AF738" i="1"/>
  <c r="AH738" i="1" s="1"/>
  <c r="AC738" i="1"/>
  <c r="AG738" i="1" s="1"/>
  <c r="AF722" i="1"/>
  <c r="AH722" i="1" s="1"/>
  <c r="AC722" i="1"/>
  <c r="AG722" i="1" s="1"/>
  <c r="AD706" i="1"/>
  <c r="AF706" i="1"/>
  <c r="AH706" i="1" s="1"/>
  <c r="AC706" i="1"/>
  <c r="AG706" i="1" s="1"/>
  <c r="AF684" i="1"/>
  <c r="AA684" i="1" s="1"/>
  <c r="Y25" i="4" s="1"/>
  <c r="AF668" i="1"/>
  <c r="AA668" i="1" s="1"/>
  <c r="I25" i="4" s="1"/>
  <c r="AD648" i="1"/>
  <c r="AF648" i="1"/>
  <c r="AH648" i="1" s="1"/>
  <c r="AC648" i="1"/>
  <c r="AG648" i="1" s="1"/>
  <c r="AF628" i="1"/>
  <c r="AA628" i="1" s="1"/>
  <c r="AC6" i="4" s="1"/>
  <c r="AF612" i="1"/>
  <c r="AA612" i="1" s="1"/>
  <c r="M6" i="4" s="1"/>
  <c r="AF562" i="1"/>
  <c r="AA562" i="1" s="1"/>
  <c r="W24" i="4" s="1"/>
  <c r="AF546" i="1"/>
  <c r="AA546" i="1" s="1"/>
  <c r="G24" i="4" s="1"/>
  <c r="AF530" i="1"/>
  <c r="AH530" i="1" s="1"/>
  <c r="AC530" i="1"/>
  <c r="AG530" i="1" s="1"/>
  <c r="AF514" i="1"/>
  <c r="AH514" i="1" s="1"/>
  <c r="AC514" i="1"/>
  <c r="AG514" i="1" s="1"/>
  <c r="AF482" i="1"/>
  <c r="AA482" i="1" s="1"/>
  <c r="AG7" i="4" s="1"/>
  <c r="AF466" i="1"/>
  <c r="AH466" i="1" s="1"/>
  <c r="AF446" i="1"/>
  <c r="AA446" i="1" s="1"/>
  <c r="AA10" i="4" s="1"/>
  <c r="AF430" i="1"/>
  <c r="AA430" i="1" s="1"/>
  <c r="K10" i="4" s="1"/>
  <c r="AF414" i="1"/>
  <c r="AH414" i="1" s="1"/>
  <c r="AC414" i="1"/>
  <c r="AG414" i="1" s="1"/>
  <c r="AC398" i="1"/>
  <c r="AG398" i="1" s="1"/>
  <c r="AF398" i="1"/>
  <c r="AH398" i="1" s="1"/>
  <c r="AC390" i="1"/>
  <c r="AG390" i="1" s="1"/>
  <c r="AF374" i="1"/>
  <c r="AH374" i="1" s="1"/>
  <c r="AC328" i="1"/>
  <c r="AG328" i="1" s="1"/>
  <c r="AC312" i="1"/>
  <c r="AG312" i="1" s="1"/>
  <c r="AF296" i="1"/>
  <c r="AH296" i="1" s="1"/>
  <c r="AC296" i="1"/>
  <c r="AG296" i="1" s="1"/>
  <c r="AF280" i="1"/>
  <c r="AH280" i="1" s="1"/>
  <c r="AC280" i="1"/>
  <c r="AG280" i="1" s="1"/>
  <c r="AF262" i="1"/>
  <c r="AH262" i="1" s="1"/>
  <c r="AC262" i="1"/>
  <c r="AG262" i="1" s="1"/>
  <c r="AC246" i="1"/>
  <c r="AG246" i="1" s="1"/>
  <c r="AF230" i="1"/>
  <c r="AH230" i="1" s="1"/>
  <c r="AF214" i="1"/>
  <c r="AH214" i="1" s="1"/>
  <c r="AC198" i="1"/>
  <c r="AG198" i="1" s="1"/>
  <c r="S26" i="4" s="1"/>
  <c r="AF108" i="1"/>
  <c r="AA108" i="1" s="1"/>
  <c r="S16" i="4" s="1"/>
  <c r="AF60" i="1"/>
  <c r="AH60" i="1" s="1"/>
  <c r="AF44" i="1"/>
  <c r="AH44" i="1" s="1"/>
  <c r="AF28" i="1"/>
  <c r="AH28" i="1" s="1"/>
  <c r="AF12" i="1"/>
  <c r="AH12" i="1" s="1"/>
  <c r="AC12" i="1"/>
  <c r="AC837" i="1"/>
  <c r="AG837" i="1" s="1"/>
  <c r="AF821" i="1"/>
  <c r="AH821" i="1" s="1"/>
  <c r="AC821" i="1"/>
  <c r="AG821" i="1" s="1"/>
  <c r="AD801" i="1"/>
  <c r="AC801" i="1"/>
  <c r="AG801" i="1" s="1"/>
  <c r="AD785" i="1"/>
  <c r="AF785" i="1"/>
  <c r="AH785" i="1" s="1"/>
  <c r="AC785" i="1"/>
  <c r="AG785" i="1" s="1"/>
  <c r="AA785" i="1" s="1"/>
  <c r="F35" i="4" s="1"/>
  <c r="AF769" i="1"/>
  <c r="AC769" i="1"/>
  <c r="AG769" i="1" s="1"/>
  <c r="AD753" i="1"/>
  <c r="AC753" i="1"/>
  <c r="AG753" i="1" s="1"/>
  <c r="AD737" i="1"/>
  <c r="AC737" i="1"/>
  <c r="AG737" i="1" s="1"/>
  <c r="R28" i="4" s="1"/>
  <c r="AC721" i="1"/>
  <c r="AG721" i="1" s="1"/>
  <c r="AF705" i="1"/>
  <c r="AH705" i="1" s="1"/>
  <c r="AC705" i="1"/>
  <c r="AG705" i="1" s="1"/>
  <c r="AF647" i="1"/>
  <c r="AH647" i="1" s="1"/>
  <c r="AC647" i="1"/>
  <c r="AG647" i="1" s="1"/>
  <c r="AF627" i="1"/>
  <c r="AA627" i="1" s="1"/>
  <c r="AB6" i="4" s="1"/>
  <c r="AF611" i="1"/>
  <c r="AA611" i="1" s="1"/>
  <c r="L6" i="4" s="1"/>
  <c r="AF593" i="1"/>
  <c r="AH593" i="1" s="1"/>
  <c r="AF577" i="1"/>
  <c r="AA577" i="1" s="1"/>
  <c r="H12" i="4" s="1"/>
  <c r="AF545" i="1"/>
  <c r="AA545" i="1" s="1"/>
  <c r="F24" i="4" s="1"/>
  <c r="AF529" i="1"/>
  <c r="AH529" i="1" s="1"/>
  <c r="AC529" i="1"/>
  <c r="AG529" i="1" s="1"/>
  <c r="AD513" i="1"/>
  <c r="AC513" i="1"/>
  <c r="AG513" i="1" s="1"/>
  <c r="AF465" i="1"/>
  <c r="AA465" i="1" s="1"/>
  <c r="P7" i="4" s="1"/>
  <c r="AF429" i="1"/>
  <c r="AH429" i="1" s="1"/>
  <c r="AF413" i="1"/>
  <c r="AH413" i="1" s="1"/>
  <c r="AC413" i="1"/>
  <c r="AG413" i="1" s="1"/>
  <c r="AC397" i="1"/>
  <c r="AG397" i="1" s="1"/>
  <c r="AC373" i="1"/>
  <c r="AG373" i="1" s="1"/>
  <c r="AF359" i="1"/>
  <c r="AA359" i="1" s="1"/>
  <c r="AD18" i="4" s="1"/>
  <c r="AF343" i="1"/>
  <c r="AA343" i="1" s="1"/>
  <c r="N18" i="4" s="1"/>
  <c r="AF327" i="1"/>
  <c r="AH327" i="1" s="1"/>
  <c r="AC327" i="1"/>
  <c r="AG327" i="1" s="1"/>
  <c r="AF311" i="1"/>
  <c r="AH311" i="1" s="1"/>
  <c r="AC311" i="1"/>
  <c r="AG311" i="1" s="1"/>
  <c r="AC295" i="1"/>
  <c r="AG295" i="1" s="1"/>
  <c r="AF295" i="1"/>
  <c r="AH295" i="1" s="1"/>
  <c r="AD279" i="1"/>
  <c r="AC279" i="1"/>
  <c r="AG279" i="1" s="1"/>
  <c r="AF261" i="1"/>
  <c r="AH261" i="1" s="1"/>
  <c r="AC261" i="1"/>
  <c r="AG261" i="1" s="1"/>
  <c r="AD245" i="1"/>
  <c r="AF245" i="1"/>
  <c r="AH245" i="1" s="1"/>
  <c r="AC245" i="1"/>
  <c r="AG245" i="1" s="1"/>
  <c r="AA245" i="1" s="1"/>
  <c r="F32" i="4" s="1"/>
  <c r="AF229" i="1"/>
  <c r="AA229" i="1" s="1"/>
  <c r="T8" i="4" s="1"/>
  <c r="AF197" i="1"/>
  <c r="AH197" i="1" s="1"/>
  <c r="AC197" i="1"/>
  <c r="AG197" i="1" s="1"/>
  <c r="AF107" i="1"/>
  <c r="AA107" i="1" s="1"/>
  <c r="R16" i="4" s="1"/>
  <c r="AF91" i="1"/>
  <c r="AH91" i="1" s="1"/>
  <c r="AF75" i="1"/>
  <c r="AA75" i="1" s="1"/>
  <c r="P19" i="4" s="1"/>
  <c r="AF59" i="1"/>
  <c r="AA59" i="1" s="1"/>
  <c r="AD20" i="4" s="1"/>
  <c r="AF43" i="1"/>
  <c r="AA43" i="1" s="1"/>
  <c r="N20" i="4" s="1"/>
  <c r="AF27" i="1"/>
  <c r="AH27" i="1" s="1"/>
  <c r="AF11" i="1"/>
  <c r="AH11" i="1" s="1"/>
  <c r="AC11" i="1"/>
  <c r="AG11" i="1" s="1"/>
  <c r="AF836" i="1"/>
  <c r="AH836" i="1" s="1"/>
  <c r="AC836" i="1"/>
  <c r="AG836" i="1" s="1"/>
  <c r="AF820" i="1"/>
  <c r="AH820" i="1" s="1"/>
  <c r="AC820" i="1"/>
  <c r="AG820" i="1" s="1"/>
  <c r="AD800" i="1"/>
  <c r="AF800" i="1"/>
  <c r="AH800" i="1" s="1"/>
  <c r="AC800" i="1"/>
  <c r="AG800" i="1" s="1"/>
  <c r="AD784" i="1"/>
  <c r="AF784" i="1"/>
  <c r="AH784" i="1" s="1"/>
  <c r="AC784" i="1"/>
  <c r="AG784" i="1" s="1"/>
  <c r="AF768" i="1"/>
  <c r="AC768" i="1"/>
  <c r="AG768" i="1" s="1"/>
  <c r="AF752" i="1"/>
  <c r="AH752" i="1" s="1"/>
  <c r="AC752" i="1"/>
  <c r="AG752" i="1" s="1"/>
  <c r="AD736" i="1"/>
  <c r="AF736" i="1"/>
  <c r="AH736" i="1" s="1"/>
  <c r="AC736" i="1"/>
  <c r="AG736" i="1" s="1"/>
  <c r="AD720" i="1"/>
  <c r="AC720" i="1"/>
  <c r="AG720" i="1" s="1"/>
  <c r="AC704" i="1"/>
  <c r="AG704" i="1" s="1"/>
  <c r="AF682" i="1"/>
  <c r="AA682" i="1" s="1"/>
  <c r="W25" i="4" s="1"/>
  <c r="AF666" i="1"/>
  <c r="AA666" i="1" s="1"/>
  <c r="G25" i="4" s="1"/>
  <c r="AC662" i="1"/>
  <c r="AG662" i="1" s="1"/>
  <c r="AD646" i="1"/>
  <c r="AC646" i="1"/>
  <c r="AG646" i="1" s="1"/>
  <c r="AF610" i="1"/>
  <c r="AA610" i="1" s="1"/>
  <c r="K6" i="4" s="1"/>
  <c r="AF592" i="1"/>
  <c r="AA592" i="1" s="1"/>
  <c r="W12" i="4" s="1"/>
  <c r="AF576" i="1"/>
  <c r="AA576" i="1" s="1"/>
  <c r="G12" i="4" s="1"/>
  <c r="AF560" i="1"/>
  <c r="AA560" i="1" s="1"/>
  <c r="U24" i="4" s="1"/>
  <c r="AF544" i="1"/>
  <c r="AH544" i="1" s="1"/>
  <c r="AF528" i="1"/>
  <c r="AH528" i="1" s="1"/>
  <c r="AC528" i="1"/>
  <c r="AG528" i="1" s="1"/>
  <c r="AF504" i="1"/>
  <c r="AA504" i="1" s="1"/>
  <c r="Y11" i="4" s="1"/>
  <c r="AF488" i="1"/>
  <c r="AA488" i="1" s="1"/>
  <c r="I11" i="4" s="1"/>
  <c r="AF464" i="1"/>
  <c r="AH464" i="1" s="1"/>
  <c r="AF428" i="1"/>
  <c r="AA428" i="1" s="1"/>
  <c r="I10" i="4" s="1"/>
  <c r="AH412" i="1"/>
  <c r="AC396" i="1"/>
  <c r="AG396" i="1" s="1"/>
  <c r="AF388" i="1"/>
  <c r="AH388" i="1" s="1"/>
  <c r="AC388" i="1"/>
  <c r="AG388" i="1" s="1"/>
  <c r="AF372" i="1"/>
  <c r="AC372" i="1"/>
  <c r="AG372" i="1" s="1"/>
  <c r="AF358" i="1"/>
  <c r="AA358" i="1" s="1"/>
  <c r="AC18" i="4" s="1"/>
  <c r="AA342" i="1"/>
  <c r="M18" i="4" s="1"/>
  <c r="AF326" i="1"/>
  <c r="AH326" i="1" s="1"/>
  <c r="AC326" i="1"/>
  <c r="AG326" i="1" s="1"/>
  <c r="AC310" i="1"/>
  <c r="AG310" i="1" s="1"/>
  <c r="AF310" i="1"/>
  <c r="AH310" i="1" s="1"/>
  <c r="AC294" i="1"/>
  <c r="AG294" i="1" s="1"/>
  <c r="AF294" i="1"/>
  <c r="AH294" i="1" s="1"/>
  <c r="AF278" i="1"/>
  <c r="AH278" i="1" s="1"/>
  <c r="AC278" i="1"/>
  <c r="AG278" i="1" s="1"/>
  <c r="AC260" i="1"/>
  <c r="AG260" i="1" s="1"/>
  <c r="AD244" i="1"/>
  <c r="AC244" i="1"/>
  <c r="AG244" i="1" s="1"/>
  <c r="AF212" i="1"/>
  <c r="AH212" i="1" s="1"/>
  <c r="AC212" i="1"/>
  <c r="AG212" i="1" s="1"/>
  <c r="AD196" i="1"/>
  <c r="AF196" i="1"/>
  <c r="AH196" i="1" s="1"/>
  <c r="AC196" i="1"/>
  <c r="AG196" i="1" s="1"/>
  <c r="AF180" i="1"/>
  <c r="AH180" i="1" s="1"/>
  <c r="AF164" i="1"/>
  <c r="AA164" i="1" s="1"/>
  <c r="O9" i="4" s="1"/>
  <c r="AF138" i="1"/>
  <c r="AA138" i="1" s="1"/>
  <c r="S17" i="4" s="1"/>
  <c r="AF122" i="1"/>
  <c r="AA122" i="1" s="1"/>
  <c r="AG16" i="4" s="1"/>
  <c r="AF106" i="1"/>
  <c r="AH106" i="1" s="1"/>
  <c r="AF90" i="1"/>
  <c r="AH90" i="1" s="1"/>
  <c r="AF74" i="1"/>
  <c r="AH74" i="1" s="1"/>
  <c r="AF58" i="1"/>
  <c r="AA58" i="1" s="1"/>
  <c r="AC20" i="4" s="1"/>
  <c r="AF26" i="1"/>
  <c r="AH26" i="1" s="1"/>
  <c r="AC26" i="1"/>
  <c r="AG26" i="1" s="1"/>
  <c r="AF10" i="1"/>
  <c r="AH10" i="1" s="1"/>
  <c r="AC10" i="1"/>
  <c r="AF835" i="1"/>
  <c r="AH835" i="1" s="1"/>
  <c r="AC835" i="1"/>
  <c r="AG835" i="1" s="1"/>
  <c r="AD819" i="1"/>
  <c r="AF819" i="1"/>
  <c r="AH819" i="1" s="1"/>
  <c r="AC819" i="1"/>
  <c r="AG819" i="1" s="1"/>
  <c r="AD799" i="1"/>
  <c r="AC799" i="1"/>
  <c r="AG799" i="1" s="1"/>
  <c r="AD783" i="1"/>
  <c r="AC783" i="1"/>
  <c r="AG783" i="1" s="1"/>
  <c r="AC767" i="1"/>
  <c r="AG767" i="1" s="1"/>
  <c r="AC751" i="1"/>
  <c r="AG751" i="1" s="1"/>
  <c r="AD735" i="1"/>
  <c r="AF735" i="1"/>
  <c r="AH735" i="1" s="1"/>
  <c r="AG735" i="1"/>
  <c r="P28" i="4" s="1"/>
  <c r="AF719" i="1"/>
  <c r="AH719" i="1" s="1"/>
  <c r="AC719" i="1"/>
  <c r="AG719" i="1" s="1"/>
  <c r="AF703" i="1"/>
  <c r="AH703" i="1" s="1"/>
  <c r="AC703" i="1"/>
  <c r="AG703" i="1" s="1"/>
  <c r="AF681" i="1"/>
  <c r="AA681" i="1" s="1"/>
  <c r="V25" i="4" s="1"/>
  <c r="AF665" i="1"/>
  <c r="AA665" i="1" s="1"/>
  <c r="F25" i="4" s="1"/>
  <c r="AD661" i="1"/>
  <c r="AC661" i="1"/>
  <c r="AG661" i="1" s="1"/>
  <c r="AA661" i="1" s="1"/>
  <c r="AF34" i="4" s="1"/>
  <c r="AF645" i="1"/>
  <c r="AH645" i="1" s="1"/>
  <c r="AC645" i="1"/>
  <c r="AG645" i="1" s="1"/>
  <c r="AF591" i="1"/>
  <c r="AA591" i="1" s="1"/>
  <c r="V12" i="4" s="1"/>
  <c r="AF575" i="1"/>
  <c r="AA575" i="1" s="1"/>
  <c r="F12" i="4" s="1"/>
  <c r="AF527" i="1"/>
  <c r="AH527" i="1" s="1"/>
  <c r="AC527" i="1"/>
  <c r="AG527" i="1" s="1"/>
  <c r="AF479" i="1"/>
  <c r="AA479" i="1" s="1"/>
  <c r="AD7" i="4" s="1"/>
  <c r="AF463" i="1"/>
  <c r="AA463" i="1" s="1"/>
  <c r="N7" i="4" s="1"/>
  <c r="AC411" i="1"/>
  <c r="AG411" i="1" s="1"/>
  <c r="AC395" i="1"/>
  <c r="AG395" i="1" s="1"/>
  <c r="AF387" i="1"/>
  <c r="AH387" i="1" s="1"/>
  <c r="AC387" i="1"/>
  <c r="AG387" i="1" s="1"/>
  <c r="AF371" i="1"/>
  <c r="AH371" i="1" s="1"/>
  <c r="AF357" i="1"/>
  <c r="AA357" i="1" s="1"/>
  <c r="AB18" i="4" s="1"/>
  <c r="AF341" i="1"/>
  <c r="AA341" i="1" s="1"/>
  <c r="L18" i="4" s="1"/>
  <c r="AF325" i="1"/>
  <c r="AH325" i="1" s="1"/>
  <c r="AC325" i="1"/>
  <c r="AG325" i="1" s="1"/>
  <c r="AD309" i="1"/>
  <c r="AC309" i="1"/>
  <c r="AG309" i="1" s="1"/>
  <c r="AF309" i="1"/>
  <c r="AH309" i="1" s="1"/>
  <c r="AD293" i="1"/>
  <c r="AC293" i="1"/>
  <c r="AG293" i="1" s="1"/>
  <c r="AF293" i="1"/>
  <c r="AH293" i="1" s="1"/>
  <c r="AF277" i="1"/>
  <c r="AH277" i="1" s="1"/>
  <c r="AC277" i="1"/>
  <c r="AG277" i="1" s="1"/>
  <c r="AF259" i="1"/>
  <c r="AH259" i="1" s="1"/>
  <c r="AC259" i="1"/>
  <c r="AG259" i="1" s="1"/>
  <c r="AD243" i="1"/>
  <c r="AC243" i="1"/>
  <c r="AG243" i="1" s="1"/>
  <c r="AF227" i="1"/>
  <c r="AA227" i="1" s="1"/>
  <c r="R8" i="4" s="1"/>
  <c r="AF211" i="1"/>
  <c r="AH211" i="1" s="1"/>
  <c r="AC211" i="1"/>
  <c r="AG211" i="1" s="1"/>
  <c r="AC195" i="1"/>
  <c r="AG195" i="1" s="1"/>
  <c r="AF179" i="1"/>
  <c r="AH179" i="1" s="1"/>
  <c r="AF137" i="1"/>
  <c r="AA137" i="1" s="1"/>
  <c r="R17" i="4" s="1"/>
  <c r="AF121" i="1"/>
  <c r="AA121" i="1" s="1"/>
  <c r="AF16" i="4" s="1"/>
  <c r="AF105" i="1"/>
  <c r="AA105" i="1" s="1"/>
  <c r="P16" i="4" s="1"/>
  <c r="AF89" i="1"/>
  <c r="AH89" i="1" s="1"/>
  <c r="AF73" i="1"/>
  <c r="AA73" i="1" s="1"/>
  <c r="N19" i="4" s="1"/>
  <c r="AF57" i="1"/>
  <c r="AA57" i="1" s="1"/>
  <c r="AB20" i="4" s="1"/>
  <c r="AC25" i="1"/>
  <c r="AG25" i="1" s="1"/>
  <c r="AD9" i="1"/>
  <c r="AC9" i="1"/>
  <c r="AG9" i="1" s="1"/>
  <c r="AC834" i="1"/>
  <c r="AG834" i="1" s="1"/>
  <c r="AF818" i="1"/>
  <c r="AH818" i="1" s="1"/>
  <c r="AC798" i="1"/>
  <c r="AG798" i="1" s="1"/>
  <c r="AF782" i="1"/>
  <c r="AC782" i="1"/>
  <c r="AG782" i="1" s="1"/>
  <c r="AF766" i="1"/>
  <c r="AH766" i="1" s="1"/>
  <c r="AC766" i="1"/>
  <c r="AG766" i="1" s="1"/>
  <c r="AF750" i="1"/>
  <c r="AH750" i="1" s="1"/>
  <c r="AC750" i="1"/>
  <c r="AG750" i="1" s="1"/>
  <c r="AF734" i="1"/>
  <c r="AH734" i="1" s="1"/>
  <c r="AC734" i="1"/>
  <c r="AG734" i="1" s="1"/>
  <c r="AF718" i="1"/>
  <c r="AH718" i="1" s="1"/>
  <c r="AC718" i="1"/>
  <c r="AG718" i="1" s="1"/>
  <c r="AF702" i="1"/>
  <c r="AH702" i="1" s="1"/>
  <c r="AC702" i="1"/>
  <c r="AG702" i="1" s="1"/>
  <c r="AF680" i="1"/>
  <c r="AA680" i="1" s="1"/>
  <c r="U25" i="4" s="1"/>
  <c r="AF664" i="1"/>
  <c r="AH664" i="1" s="1"/>
  <c r="AF660" i="1"/>
  <c r="AH660" i="1" s="1"/>
  <c r="AC660" i="1"/>
  <c r="AG660" i="1" s="1"/>
  <c r="AF644" i="1"/>
  <c r="AH644" i="1" s="1"/>
  <c r="AC644" i="1"/>
  <c r="AG644" i="1" s="1"/>
  <c r="AF624" i="1"/>
  <c r="AA624" i="1" s="1"/>
  <c r="Y6" i="4" s="1"/>
  <c r="AF574" i="1"/>
  <c r="AH574" i="1" s="1"/>
  <c r="AC542" i="1"/>
  <c r="AG542" i="1" s="1"/>
  <c r="AC526" i="1"/>
  <c r="AG526" i="1" s="1"/>
  <c r="AF526" i="1"/>
  <c r="AH526" i="1" s="1"/>
  <c r="AF486" i="1"/>
  <c r="AA486" i="1" s="1"/>
  <c r="G11" i="4" s="1"/>
  <c r="AF478" i="1"/>
  <c r="AH478" i="1" s="1"/>
  <c r="AF462" i="1"/>
  <c r="AA462" i="1" s="1"/>
  <c r="M7" i="4" s="1"/>
  <c r="AF426" i="1"/>
  <c r="AA426" i="1" s="1"/>
  <c r="G10" i="4" s="1"/>
  <c r="AF410" i="1"/>
  <c r="AH410" i="1" s="1"/>
  <c r="AC410" i="1"/>
  <c r="AG410" i="1" s="1"/>
  <c r="AF394" i="1"/>
  <c r="AH394" i="1" s="1"/>
  <c r="AC394" i="1"/>
  <c r="AG394" i="1" s="1"/>
  <c r="AF386" i="1"/>
  <c r="AH386" i="1" s="1"/>
  <c r="AC386" i="1"/>
  <c r="AG386" i="1" s="1"/>
  <c r="AC370" i="1"/>
  <c r="AG370" i="1" s="1"/>
  <c r="AF356" i="1"/>
  <c r="AA356" i="1" s="1"/>
  <c r="AA18" i="4" s="1"/>
  <c r="AF340" i="1"/>
  <c r="AA340" i="1" s="1"/>
  <c r="K18" i="4" s="1"/>
  <c r="AF324" i="1"/>
  <c r="AH324" i="1" s="1"/>
  <c r="AC324" i="1"/>
  <c r="AG324" i="1" s="1"/>
  <c r="AF308" i="1"/>
  <c r="AH308" i="1" s="1"/>
  <c r="AC308" i="1"/>
  <c r="AG308" i="1" s="1"/>
  <c r="AF292" i="1"/>
  <c r="AH292" i="1" s="1"/>
  <c r="AC292" i="1"/>
  <c r="AG292" i="1" s="1"/>
  <c r="AC276" i="1"/>
  <c r="AG276" i="1" s="1"/>
  <c r="AF258" i="1"/>
  <c r="AH258" i="1" s="1"/>
  <c r="AC258" i="1"/>
  <c r="AG258" i="1" s="1"/>
  <c r="AF242" i="1"/>
  <c r="AA242" i="1" s="1"/>
  <c r="AG8" i="4" s="1"/>
  <c r="AF226" i="1"/>
  <c r="AH226" i="1" s="1"/>
  <c r="AF210" i="1"/>
  <c r="AH210" i="1" s="1"/>
  <c r="AC210" i="1"/>
  <c r="AG210" i="1" s="1"/>
  <c r="AF194" i="1"/>
  <c r="AH194" i="1" s="1"/>
  <c r="AC194" i="1"/>
  <c r="AG194" i="1" s="1"/>
  <c r="AF178" i="1"/>
  <c r="AA178" i="1" s="1"/>
  <c r="AC9" i="4" s="1"/>
  <c r="AF162" i="1"/>
  <c r="AA162" i="1" s="1"/>
  <c r="M9" i="4" s="1"/>
  <c r="AF152" i="1"/>
  <c r="AH152" i="1" s="1"/>
  <c r="AF136" i="1"/>
  <c r="AH136" i="1" s="1"/>
  <c r="AF40" i="1"/>
  <c r="AA40" i="1" s="1"/>
  <c r="K20" i="4" s="1"/>
  <c r="AF24" i="1"/>
  <c r="AH24" i="1" s="1"/>
  <c r="AC24" i="1"/>
  <c r="AG24" i="1" s="1"/>
  <c r="AF8" i="1"/>
  <c r="AH8" i="1" s="1"/>
  <c r="AC8" i="1"/>
  <c r="AG8" i="1" s="1"/>
  <c r="AF833" i="1"/>
  <c r="AH833" i="1" s="1"/>
  <c r="AC833" i="1"/>
  <c r="AG833" i="1" s="1"/>
  <c r="AF817" i="1"/>
  <c r="AH817" i="1" s="1"/>
  <c r="AC817" i="1"/>
  <c r="AG817" i="1" s="1"/>
  <c r="AF797" i="1"/>
  <c r="AH797" i="1" s="1"/>
  <c r="AC797" i="1"/>
  <c r="AG797" i="1" s="1"/>
  <c r="AF781" i="1"/>
  <c r="AC781" i="1"/>
  <c r="AG781" i="1" s="1"/>
  <c r="AF765" i="1"/>
  <c r="AH765" i="1" s="1"/>
  <c r="AC765" i="1"/>
  <c r="AF749" i="1"/>
  <c r="AH749" i="1" s="1"/>
  <c r="AC749" i="1"/>
  <c r="AG749" i="1" s="1"/>
  <c r="AF733" i="1"/>
  <c r="AH733" i="1" s="1"/>
  <c r="AC733" i="1"/>
  <c r="AG733" i="1" s="1"/>
  <c r="AF717" i="1"/>
  <c r="AH717" i="1" s="1"/>
  <c r="AC717" i="1"/>
  <c r="AG717" i="1" s="1"/>
  <c r="AF701" i="1"/>
  <c r="AH701" i="1" s="1"/>
  <c r="AC701" i="1"/>
  <c r="AG701" i="1" s="1"/>
  <c r="AF679" i="1"/>
  <c r="AA679" i="1" s="1"/>
  <c r="T25" i="4" s="1"/>
  <c r="AC659" i="1"/>
  <c r="AG659" i="1" s="1"/>
  <c r="AA659" i="1" s="1"/>
  <c r="AD34" i="4" s="1"/>
  <c r="AF643" i="1"/>
  <c r="AH643" i="1" s="1"/>
  <c r="AC643" i="1"/>
  <c r="AG643" i="1" s="1"/>
  <c r="AF623" i="1"/>
  <c r="AH623" i="1" s="1"/>
  <c r="AF607" i="1"/>
  <c r="AA607" i="1" s="1"/>
  <c r="H6" i="4" s="1"/>
  <c r="AF557" i="1"/>
  <c r="AA557" i="1" s="1"/>
  <c r="R24" i="4" s="1"/>
  <c r="AF541" i="1"/>
  <c r="AH541" i="1" s="1"/>
  <c r="AC541" i="1"/>
  <c r="AG541" i="1" s="1"/>
  <c r="AC525" i="1"/>
  <c r="AG525" i="1" s="1"/>
  <c r="AF525" i="1"/>
  <c r="AH525" i="1" s="1"/>
  <c r="AF501" i="1"/>
  <c r="AA501" i="1" s="1"/>
  <c r="V11" i="4" s="1"/>
  <c r="AF485" i="1"/>
  <c r="AA485" i="1" s="1"/>
  <c r="F11" i="4" s="1"/>
  <c r="AF477" i="1"/>
  <c r="AA477" i="1" s="1"/>
  <c r="AB7" i="4" s="1"/>
  <c r="AF461" i="1"/>
  <c r="AA461" i="1" s="1"/>
  <c r="L7" i="4" s="1"/>
  <c r="AF441" i="1"/>
  <c r="AA441" i="1" s="1"/>
  <c r="V10" i="4" s="1"/>
  <c r="AF425" i="1"/>
  <c r="AA425" i="1" s="1"/>
  <c r="F10" i="4" s="1"/>
  <c r="AF409" i="1"/>
  <c r="AH409" i="1" s="1"/>
  <c r="AC409" i="1"/>
  <c r="AG409" i="1" s="1"/>
  <c r="AC393" i="1"/>
  <c r="AG393" i="1" s="1"/>
  <c r="AF385" i="1"/>
  <c r="AC385" i="1"/>
  <c r="AG385" i="1" s="1"/>
  <c r="AF369" i="1"/>
  <c r="AH369" i="1" s="1"/>
  <c r="AC369" i="1"/>
  <c r="AG369" i="1" s="1"/>
  <c r="AF355" i="1"/>
  <c r="AA355" i="1" s="1"/>
  <c r="Z18" i="4" s="1"/>
  <c r="AF339" i="1"/>
  <c r="AH339" i="1" s="1"/>
  <c r="AF323" i="1"/>
  <c r="AH323" i="1" s="1"/>
  <c r="AC323" i="1"/>
  <c r="AG323" i="1" s="1"/>
  <c r="AF307" i="1"/>
  <c r="AH307" i="1" s="1"/>
  <c r="AC307" i="1"/>
  <c r="AG307" i="1" s="1"/>
  <c r="AF291" i="1"/>
  <c r="AH291" i="1" s="1"/>
  <c r="AC291" i="1"/>
  <c r="AG291" i="1" s="1"/>
  <c r="AF275" i="1"/>
  <c r="AH275" i="1" s="1"/>
  <c r="AC275" i="1"/>
  <c r="AG275" i="1" s="1"/>
  <c r="AC257" i="1"/>
  <c r="AG257" i="1" s="1"/>
  <c r="AF241" i="1"/>
  <c r="AA241" i="1" s="1"/>
  <c r="AF8" i="4" s="1"/>
  <c r="AF225" i="1"/>
  <c r="AA225" i="1" s="1"/>
  <c r="P8" i="4" s="1"/>
  <c r="AF209" i="1"/>
  <c r="AH209" i="1" s="1"/>
  <c r="AC209" i="1"/>
  <c r="AG209" i="1" s="1"/>
  <c r="AF193" i="1"/>
  <c r="AH193" i="1" s="1"/>
  <c r="AC193" i="1"/>
  <c r="AG193" i="1" s="1"/>
  <c r="AF177" i="1"/>
  <c r="AA177" i="1" s="1"/>
  <c r="AB9" i="4" s="1"/>
  <c r="AF161" i="1"/>
  <c r="AA161" i="1" s="1"/>
  <c r="L9" i="4" s="1"/>
  <c r="AF151" i="1"/>
  <c r="AA151" i="1" s="1"/>
  <c r="AF17" i="4" s="1"/>
  <c r="AF135" i="1"/>
  <c r="AA135" i="1" s="1"/>
  <c r="P17" i="4" s="1"/>
  <c r="AF119" i="1"/>
  <c r="AD16" i="4" s="1"/>
  <c r="AF103" i="1"/>
  <c r="N16" i="4" s="1"/>
  <c r="AF87" i="1"/>
  <c r="AA87" i="1" s="1"/>
  <c r="AB19" i="4" s="1"/>
  <c r="AF71" i="1"/>
  <c r="AH71" i="1" s="1"/>
  <c r="AF55" i="1"/>
  <c r="AA55" i="1" s="1"/>
  <c r="Z20" i="4" s="1"/>
  <c r="AF39" i="1"/>
  <c r="AH39" i="1" s="1"/>
  <c r="AC23" i="1"/>
  <c r="AG23" i="1" s="1"/>
  <c r="AC7" i="1"/>
  <c r="AG7" i="1" s="1"/>
  <c r="AC832" i="1"/>
  <c r="AG832" i="1" s="1"/>
  <c r="AC816" i="1"/>
  <c r="AG816" i="1" s="1"/>
  <c r="AF812" i="1"/>
  <c r="AH812" i="1" s="1"/>
  <c r="AC812" i="1"/>
  <c r="AG812" i="1" s="1"/>
  <c r="AF796" i="1"/>
  <c r="AH796" i="1" s="1"/>
  <c r="AC796" i="1"/>
  <c r="AG796" i="1" s="1"/>
  <c r="AF780" i="1"/>
  <c r="AH780" i="1" s="1"/>
  <c r="AC780" i="1"/>
  <c r="AG780" i="1" s="1"/>
  <c r="AF764" i="1"/>
  <c r="AC764" i="1"/>
  <c r="AG764" i="1" s="1"/>
  <c r="AF748" i="1"/>
  <c r="AH748" i="1" s="1"/>
  <c r="AC748" i="1"/>
  <c r="AG748" i="1" s="1"/>
  <c r="AF732" i="1"/>
  <c r="AH732" i="1" s="1"/>
  <c r="AC732" i="1"/>
  <c r="AG732" i="1" s="1"/>
  <c r="AF716" i="1"/>
  <c r="AH716" i="1" s="1"/>
  <c r="AC716" i="1"/>
  <c r="AG716" i="1" s="1"/>
  <c r="AF700" i="1"/>
  <c r="AH700" i="1" s="1"/>
  <c r="AC700" i="1"/>
  <c r="AG700" i="1" s="1"/>
  <c r="AF658" i="1"/>
  <c r="AH658" i="1" s="1"/>
  <c r="AC658" i="1"/>
  <c r="AF642" i="1"/>
  <c r="AH642" i="1" s="1"/>
  <c r="AC642" i="1"/>
  <c r="AG642" i="1" s="1"/>
  <c r="M34" i="4" s="1"/>
  <c r="AF622" i="1"/>
  <c r="AA622" i="1" s="1"/>
  <c r="W6" i="4" s="1"/>
  <c r="AF606" i="1"/>
  <c r="AA606" i="1" s="1"/>
  <c r="G6" i="4" s="1"/>
  <c r="AF572" i="1"/>
  <c r="AA572" i="1" s="1"/>
  <c r="AG24" i="4" s="1"/>
  <c r="AF556" i="1"/>
  <c r="AH556" i="1" s="1"/>
  <c r="AF540" i="1"/>
  <c r="AH540" i="1" s="1"/>
  <c r="AC540" i="1"/>
  <c r="AG540" i="1" s="1"/>
  <c r="AC524" i="1"/>
  <c r="AG524" i="1" s="1"/>
  <c r="AF524" i="1"/>
  <c r="AH524" i="1" s="1"/>
  <c r="AF476" i="1"/>
  <c r="AA476" i="1" s="1"/>
  <c r="AA7" i="4" s="1"/>
  <c r="AF460" i="1"/>
  <c r="AA460" i="1" s="1"/>
  <c r="K7" i="4" s="1"/>
  <c r="AF440" i="1"/>
  <c r="AA440" i="1" s="1"/>
  <c r="U10" i="4" s="1"/>
  <c r="AF424" i="1"/>
  <c r="AH424" i="1" s="1"/>
  <c r="AF408" i="1"/>
  <c r="AH408" i="1" s="1"/>
  <c r="AC408" i="1"/>
  <c r="AG408" i="1" s="1"/>
  <c r="AC384" i="1"/>
  <c r="AG384" i="1" s="1"/>
  <c r="AF368" i="1"/>
  <c r="AH368" i="1" s="1"/>
  <c r="AC368" i="1"/>
  <c r="AG368" i="1" s="1"/>
  <c r="AF354" i="1"/>
  <c r="AA354" i="1" s="1"/>
  <c r="Y18" i="4" s="1"/>
  <c r="AC322" i="1"/>
  <c r="AG322" i="1" s="1"/>
  <c r="AF306" i="1"/>
  <c r="AH306" i="1" s="1"/>
  <c r="AC306" i="1"/>
  <c r="AG306" i="1" s="1"/>
  <c r="AF290" i="1"/>
  <c r="AH290" i="1" s="1"/>
  <c r="AC290" i="1"/>
  <c r="AG290" i="1" s="1"/>
  <c r="AF274" i="1"/>
  <c r="AH274" i="1" s="1"/>
  <c r="AC274" i="1"/>
  <c r="AG274" i="1" s="1"/>
  <c r="AF272" i="1"/>
  <c r="AH272" i="1" s="1"/>
  <c r="AC272" i="1"/>
  <c r="AG272" i="1" s="1"/>
  <c r="AF256" i="1"/>
  <c r="AH256" i="1" s="1"/>
  <c r="AC256" i="1"/>
  <c r="AG256" i="1" s="1"/>
  <c r="AF240" i="1"/>
  <c r="AH240" i="1" s="1"/>
  <c r="AF208" i="1"/>
  <c r="AH208" i="1" s="1"/>
  <c r="AC208" i="1"/>
  <c r="AG208" i="1" s="1"/>
  <c r="AF192" i="1"/>
  <c r="AH192" i="1" s="1"/>
  <c r="AC192" i="1"/>
  <c r="AG192" i="1" s="1"/>
  <c r="AF176" i="1"/>
  <c r="AA176" i="1" s="1"/>
  <c r="AA9" i="4" s="1"/>
  <c r="AF160" i="1"/>
  <c r="AH160" i="1" s="1"/>
  <c r="AF118" i="1"/>
  <c r="AA118" i="1" s="1"/>
  <c r="AC16" i="4" s="1"/>
  <c r="AF102" i="1"/>
  <c r="AA102" i="1" s="1"/>
  <c r="M16" i="4" s="1"/>
  <c r="AF86" i="1"/>
  <c r="AA86" i="1" s="1"/>
  <c r="AA19" i="4" s="1"/>
  <c r="AF70" i="1"/>
  <c r="AH70" i="1" s="1"/>
  <c r="AF54" i="1"/>
  <c r="AH54" i="1" s="1"/>
  <c r="AF38" i="1"/>
  <c r="AH38" i="1" s="1"/>
  <c r="AF22" i="1"/>
  <c r="AH22" i="1" s="1"/>
  <c r="AC22" i="1"/>
  <c r="AG22" i="1" s="1"/>
  <c r="AF6" i="1"/>
  <c r="AH6" i="1" s="1"/>
  <c r="AF831" i="1"/>
  <c r="AH831" i="1" s="1"/>
  <c r="AC831" i="1"/>
  <c r="AG831" i="1" s="1"/>
  <c r="AF815" i="1"/>
  <c r="AH815" i="1" s="1"/>
  <c r="AC815" i="1"/>
  <c r="AG815" i="1" s="1"/>
  <c r="AF811" i="1"/>
  <c r="AH811" i="1" s="1"/>
  <c r="AC811" i="1"/>
  <c r="AF795" i="1"/>
  <c r="AH795" i="1" s="1"/>
  <c r="AC795" i="1"/>
  <c r="AG795" i="1" s="1"/>
  <c r="AF779" i="1"/>
  <c r="AH779" i="1" s="1"/>
  <c r="AC779" i="1"/>
  <c r="AG779" i="1" s="1"/>
  <c r="AF763" i="1"/>
  <c r="AC763" i="1"/>
  <c r="AG763" i="1" s="1"/>
  <c r="AF747" i="1"/>
  <c r="AH747" i="1" s="1"/>
  <c r="AC747" i="1"/>
  <c r="AG747" i="1" s="1"/>
  <c r="AF731" i="1"/>
  <c r="AH731" i="1" s="1"/>
  <c r="AC731" i="1"/>
  <c r="AG731" i="1" s="1"/>
  <c r="AF715" i="1"/>
  <c r="AH715" i="1" s="1"/>
  <c r="AC715" i="1"/>
  <c r="AG715" i="1" s="1"/>
  <c r="AC699" i="1"/>
  <c r="AG699" i="1" s="1"/>
  <c r="AF677" i="1"/>
  <c r="AA677" i="1" s="1"/>
  <c r="R25" i="4" s="1"/>
  <c r="AF657" i="1"/>
  <c r="AH657" i="1" s="1"/>
  <c r="AC657" i="1"/>
  <c r="AG657" i="1" s="1"/>
  <c r="AC641" i="1"/>
  <c r="AG641" i="1" s="1"/>
  <c r="L34" i="4" s="1"/>
  <c r="AF621" i="1"/>
  <c r="AH621" i="1" s="1"/>
  <c r="AF587" i="1"/>
  <c r="AA587" i="1" s="1"/>
  <c r="R12" i="4" s="1"/>
  <c r="AF571" i="1"/>
  <c r="AA571" i="1" s="1"/>
  <c r="AF24" i="4" s="1"/>
  <c r="AF555" i="1"/>
  <c r="AA555" i="1" s="1"/>
  <c r="P24" i="4" s="1"/>
  <c r="AF539" i="1"/>
  <c r="AH539" i="1" s="1"/>
  <c r="AC539" i="1"/>
  <c r="AG539" i="1" s="1"/>
  <c r="AC523" i="1"/>
  <c r="AG523" i="1" s="1"/>
  <c r="AF523" i="1"/>
  <c r="AH523" i="1" s="1"/>
  <c r="AF499" i="1"/>
  <c r="T11" i="4" s="1"/>
  <c r="AF475" i="1"/>
  <c r="AA475" i="1" s="1"/>
  <c r="Z7" i="4" s="1"/>
  <c r="AF459" i="1"/>
  <c r="AH459" i="1" s="1"/>
  <c r="AF439" i="1"/>
  <c r="AA439" i="1" s="1"/>
  <c r="T10" i="4" s="1"/>
  <c r="AF407" i="1"/>
  <c r="AH407" i="1" s="1"/>
  <c r="AC407" i="1"/>
  <c r="AG407" i="1" s="1"/>
  <c r="AF383" i="1"/>
  <c r="AH383" i="1" s="1"/>
  <c r="AC383" i="1"/>
  <c r="AG383" i="1" s="1"/>
  <c r="AF367" i="1"/>
  <c r="AH367" i="1" s="1"/>
  <c r="AC367" i="1"/>
  <c r="AG367" i="1" s="1"/>
  <c r="AF337" i="1"/>
  <c r="AA337" i="1" s="1"/>
  <c r="H18" i="4" s="1"/>
  <c r="AF321" i="1"/>
  <c r="AH321" i="1" s="1"/>
  <c r="AC321" i="1"/>
  <c r="AG321" i="1" s="1"/>
  <c r="AF305" i="1"/>
  <c r="AH305" i="1" s="1"/>
  <c r="AC305" i="1"/>
  <c r="AG305" i="1" s="1"/>
  <c r="AF289" i="1"/>
  <c r="AH289" i="1" s="1"/>
  <c r="AC289" i="1"/>
  <c r="AG289" i="1" s="1"/>
  <c r="AF273" i="1"/>
  <c r="AH273" i="1" s="1"/>
  <c r="AC273" i="1"/>
  <c r="AG273" i="1" s="1"/>
  <c r="AF271" i="1"/>
  <c r="AH271" i="1" s="1"/>
  <c r="AC271" i="1"/>
  <c r="AG271" i="1" s="1"/>
  <c r="AC255" i="1"/>
  <c r="AG255" i="1" s="1"/>
  <c r="AF223" i="1"/>
  <c r="AA223" i="1" s="1"/>
  <c r="N8" i="4" s="1"/>
  <c r="AF207" i="1"/>
  <c r="AH207" i="1" s="1"/>
  <c r="AC207" i="1"/>
  <c r="AG207" i="1" s="1"/>
  <c r="AF191" i="1"/>
  <c r="AH191" i="1" s="1"/>
  <c r="AC191" i="1"/>
  <c r="AG191" i="1" s="1"/>
  <c r="AF175" i="1"/>
  <c r="AA175" i="1" s="1"/>
  <c r="Z9" i="4" s="1"/>
  <c r="AF159" i="1"/>
  <c r="AH159" i="1" s="1"/>
  <c r="AF149" i="1"/>
  <c r="AA149" i="1" s="1"/>
  <c r="AD17" i="4" s="1"/>
  <c r="AF101" i="1"/>
  <c r="AA101" i="1" s="1"/>
  <c r="L16" i="4" s="1"/>
  <c r="AF85" i="1"/>
  <c r="AH85" i="1" s="1"/>
  <c r="AF69" i="1"/>
  <c r="AH69" i="1" s="1"/>
  <c r="AF53" i="1"/>
  <c r="AH53" i="1" s="1"/>
  <c r="AF37" i="1"/>
  <c r="AA37" i="1" s="1"/>
  <c r="H20" i="4" s="1"/>
  <c r="AF21" i="1"/>
  <c r="AH21" i="1" s="1"/>
  <c r="AC21" i="1"/>
  <c r="AG21" i="1" s="1"/>
  <c r="AC5" i="1"/>
  <c r="AG5" i="1" s="1"/>
  <c r="AF5" i="1"/>
  <c r="AH5" i="1" s="1"/>
  <c r="AF830" i="1"/>
  <c r="AH830" i="1" s="1"/>
  <c r="AC830" i="1"/>
  <c r="AG830" i="1" s="1"/>
  <c r="AC814" i="1"/>
  <c r="AG814" i="1" s="1"/>
  <c r="AF814" i="1"/>
  <c r="AH814" i="1" s="1"/>
  <c r="AF810" i="1"/>
  <c r="AH810" i="1" s="1"/>
  <c r="AC810" i="1"/>
  <c r="AG810" i="1" s="1"/>
  <c r="AF794" i="1"/>
  <c r="AH794" i="1" s="1"/>
  <c r="AC794" i="1"/>
  <c r="AG794" i="1" s="1"/>
  <c r="AF778" i="1"/>
  <c r="AC778" i="1"/>
  <c r="AG778" i="1" s="1"/>
  <c r="AC762" i="1"/>
  <c r="AG762" i="1" s="1"/>
  <c r="AC746" i="1"/>
  <c r="AG746" i="1" s="1"/>
  <c r="AC730" i="1"/>
  <c r="AG730" i="1" s="1"/>
  <c r="AC714" i="1"/>
  <c r="AG714" i="1" s="1"/>
  <c r="AC698" i="1"/>
  <c r="AG698" i="1" s="1"/>
  <c r="AF692" i="1"/>
  <c r="AA692" i="1" s="1"/>
  <c r="AG25" i="4" s="1"/>
  <c r="AF676" i="1"/>
  <c r="AH676" i="1" s="1"/>
  <c r="AF656" i="1"/>
  <c r="AH656" i="1" s="1"/>
  <c r="AC656" i="1"/>
  <c r="AG656" i="1" s="1"/>
  <c r="AF640" i="1"/>
  <c r="AH640" i="1" s="1"/>
  <c r="AC640" i="1"/>
  <c r="AG640" i="1" s="1"/>
  <c r="AF620" i="1"/>
  <c r="AA620" i="1" s="1"/>
  <c r="U6" i="4" s="1"/>
  <c r="AF586" i="1"/>
  <c r="AH586" i="1" s="1"/>
  <c r="AF570" i="1"/>
  <c r="AH570" i="1" s="1"/>
  <c r="AF554" i="1"/>
  <c r="AA554" i="1" s="1"/>
  <c r="O24" i="4" s="1"/>
  <c r="AF538" i="1"/>
  <c r="AH538" i="1" s="1"/>
  <c r="AC538" i="1"/>
  <c r="AG538" i="1" s="1"/>
  <c r="AF522" i="1"/>
  <c r="AH522" i="1" s="1"/>
  <c r="AC522" i="1"/>
  <c r="AG522" i="1" s="1"/>
  <c r="AF498" i="1"/>
  <c r="AA498" i="1" s="1"/>
  <c r="S11" i="4" s="1"/>
  <c r="AC422" i="1"/>
  <c r="AG422" i="1" s="1"/>
  <c r="AC406" i="1"/>
  <c r="AG406" i="1" s="1"/>
  <c r="AF382" i="1"/>
  <c r="AH382" i="1" s="1"/>
  <c r="AC382" i="1"/>
  <c r="AG382" i="1" s="1"/>
  <c r="AC366" i="1"/>
  <c r="AG366" i="1" s="1"/>
  <c r="AF366" i="1"/>
  <c r="AH366" i="1" s="1"/>
  <c r="AF336" i="1"/>
  <c r="AA336" i="1" s="1"/>
  <c r="G18" i="4" s="1"/>
  <c r="AF320" i="1"/>
  <c r="AH320" i="1" s="1"/>
  <c r="AC320" i="1"/>
  <c r="AG320" i="1" s="1"/>
  <c r="AF304" i="1"/>
  <c r="AH304" i="1" s="1"/>
  <c r="AC304" i="1"/>
  <c r="AG304" i="1" s="1"/>
  <c r="AF288" i="1"/>
  <c r="AH288" i="1" s="1"/>
  <c r="AC288" i="1"/>
  <c r="AG288" i="1" s="1"/>
  <c r="AF270" i="1"/>
  <c r="AH270" i="1" s="1"/>
  <c r="AC270" i="1"/>
  <c r="AG270" i="1" s="1"/>
  <c r="AF254" i="1"/>
  <c r="AH254" i="1" s="1"/>
  <c r="AC254" i="1"/>
  <c r="AG254" i="1" s="1"/>
  <c r="AF238" i="1"/>
  <c r="AA238" i="1" s="1"/>
  <c r="AC8" i="4" s="1"/>
  <c r="AF222" i="1"/>
  <c r="AA222" i="1" s="1"/>
  <c r="M8" i="4" s="1"/>
  <c r="AF206" i="1"/>
  <c r="AH206" i="1" s="1"/>
  <c r="AC206" i="1"/>
  <c r="AG206" i="1" s="1"/>
  <c r="AF190" i="1"/>
  <c r="AH190" i="1" s="1"/>
  <c r="AC190" i="1"/>
  <c r="AG190" i="1" s="1"/>
  <c r="AF174" i="1"/>
  <c r="AA174" i="1" s="1"/>
  <c r="Y9" i="4" s="1"/>
  <c r="AF158" i="1"/>
  <c r="AA158" i="1" s="1"/>
  <c r="I9" i="4" s="1"/>
  <c r="AF148" i="1"/>
  <c r="AA148" i="1" s="1"/>
  <c r="AC17" i="4" s="1"/>
  <c r="AF132" i="1"/>
  <c r="AA132" i="1" s="1"/>
  <c r="M17" i="4" s="1"/>
  <c r="AF116" i="1"/>
  <c r="AA116" i="1" s="1"/>
  <c r="AA16" i="4" s="1"/>
  <c r="AF100" i="1"/>
  <c r="AA100" i="1" s="1"/>
  <c r="K16" i="4" s="1"/>
  <c r="AF84" i="1"/>
  <c r="AH84" i="1" s="1"/>
  <c r="AF68" i="1"/>
  <c r="AH68" i="1" s="1"/>
  <c r="AF52" i="1"/>
  <c r="AA52" i="1" s="1"/>
  <c r="W20" i="4" s="1"/>
  <c r="AF36" i="1"/>
  <c r="AA36" i="1" s="1"/>
  <c r="G20" i="4" s="1"/>
  <c r="AC20" i="1"/>
  <c r="AG20" i="1" s="1"/>
  <c r="AF4" i="1"/>
  <c r="AH4" i="1" s="1"/>
  <c r="AC4" i="1"/>
  <c r="AG4" i="1" s="1"/>
  <c r="AF829" i="1"/>
  <c r="AH829" i="1" s="1"/>
  <c r="AC829" i="1"/>
  <c r="AG829" i="1" s="1"/>
  <c r="AD813" i="1"/>
  <c r="AC813" i="1"/>
  <c r="AG813" i="1" s="1"/>
  <c r="AD809" i="1"/>
  <c r="AF809" i="1"/>
  <c r="AH809" i="1" s="1"/>
  <c r="AC809" i="1"/>
  <c r="AG809" i="1" s="1"/>
  <c r="AD793" i="1"/>
  <c r="AC793" i="1"/>
  <c r="AG793" i="1" s="1"/>
  <c r="AD777" i="1"/>
  <c r="AF777" i="1"/>
  <c r="AH777" i="1" s="1"/>
  <c r="AC777" i="1"/>
  <c r="AG777" i="1" s="1"/>
  <c r="AA777" i="1" s="1"/>
  <c r="AB30" i="4" s="1"/>
  <c r="AF761" i="1"/>
  <c r="AC761" i="1"/>
  <c r="AG761" i="1" s="1"/>
  <c r="AC745" i="1"/>
  <c r="AG745" i="1" s="1"/>
  <c r="AD729" i="1"/>
  <c r="AF729" i="1"/>
  <c r="AH729" i="1" s="1"/>
  <c r="AC729" i="1"/>
  <c r="AG729" i="1" s="1"/>
  <c r="AD713" i="1"/>
  <c r="AF713" i="1"/>
  <c r="AH713" i="1" s="1"/>
  <c r="AC713" i="1"/>
  <c r="AG713" i="1" s="1"/>
  <c r="AF697" i="1"/>
  <c r="AC697" i="1"/>
  <c r="AG697" i="1" s="1"/>
  <c r="AF691" i="1"/>
  <c r="AA691" i="1" s="1"/>
  <c r="AF25" i="4" s="1"/>
  <c r="AF655" i="1"/>
  <c r="AH655" i="1" s="1"/>
  <c r="AC655" i="1"/>
  <c r="AG655" i="1" s="1"/>
  <c r="AD639" i="1"/>
  <c r="AF639" i="1"/>
  <c r="AH639" i="1" s="1"/>
  <c r="AC639" i="1"/>
  <c r="AG639" i="1" s="1"/>
  <c r="AF619" i="1"/>
  <c r="AA619" i="1" s="1"/>
  <c r="T6" i="4" s="1"/>
  <c r="AF601" i="1"/>
  <c r="AA601" i="1" s="1"/>
  <c r="AF12" i="4" s="1"/>
  <c r="AF585" i="1"/>
  <c r="AA585" i="1" s="1"/>
  <c r="P12" i="4" s="1"/>
  <c r="AF569" i="1"/>
  <c r="AA569" i="1" s="1"/>
  <c r="AD24" i="4" s="1"/>
  <c r="AF553" i="1"/>
  <c r="AA553" i="1" s="1"/>
  <c r="N24" i="4" s="1"/>
  <c r="AC537" i="1"/>
  <c r="AG537" i="1" s="1"/>
  <c r="AC521" i="1"/>
  <c r="AG521" i="1" s="1"/>
  <c r="AF497" i="1"/>
  <c r="AA497" i="1" s="1"/>
  <c r="R11" i="4" s="1"/>
  <c r="AF473" i="1"/>
  <c r="AH473" i="1" s="1"/>
  <c r="AF457" i="1"/>
  <c r="AA457" i="1" s="1"/>
  <c r="H7" i="4" s="1"/>
  <c r="AF437" i="1"/>
  <c r="AA437" i="1" s="1"/>
  <c r="R10" i="4" s="1"/>
  <c r="AC421" i="1"/>
  <c r="AG421" i="1" s="1"/>
  <c r="AF405" i="1"/>
  <c r="AH405" i="1" s="1"/>
  <c r="AC405" i="1"/>
  <c r="AG405" i="1" s="1"/>
  <c r="AF365" i="1"/>
  <c r="AH365" i="1" s="1"/>
  <c r="AC365" i="1"/>
  <c r="AG365" i="1" s="1"/>
  <c r="AF351" i="1"/>
  <c r="AA351" i="1" s="1"/>
  <c r="V18" i="4" s="1"/>
  <c r="AF335" i="1"/>
  <c r="AA335" i="1" s="1"/>
  <c r="F18" i="4" s="1"/>
  <c r="AF319" i="1"/>
  <c r="AH319" i="1" s="1"/>
  <c r="AC319" i="1"/>
  <c r="AG319" i="1" s="1"/>
  <c r="AC303" i="1"/>
  <c r="AG303" i="1" s="1"/>
  <c r="AC287" i="1"/>
  <c r="AG287" i="1" s="1"/>
  <c r="AF269" i="1"/>
  <c r="AH269" i="1" s="1"/>
  <c r="AC269" i="1"/>
  <c r="AG269" i="1" s="1"/>
  <c r="AF253" i="1"/>
  <c r="AH253" i="1" s="1"/>
  <c r="AC253" i="1"/>
  <c r="AG253" i="1" s="1"/>
  <c r="AF237" i="1"/>
  <c r="AA237" i="1" s="1"/>
  <c r="AB8" i="4" s="1"/>
  <c r="AF221" i="1"/>
  <c r="AA221" i="1" s="1"/>
  <c r="L8" i="4" s="1"/>
  <c r="AF205" i="1"/>
  <c r="AH205" i="1" s="1"/>
  <c r="AC205" i="1"/>
  <c r="AG205" i="1" s="1"/>
  <c r="AF189" i="1"/>
  <c r="AH189" i="1" s="1"/>
  <c r="AC189" i="1"/>
  <c r="AG189" i="1" s="1"/>
  <c r="AF173" i="1"/>
  <c r="AH173" i="1" s="1"/>
  <c r="AF157" i="1"/>
  <c r="AA157" i="1" s="1"/>
  <c r="H9" i="4" s="1"/>
  <c r="AF131" i="1"/>
  <c r="AA131" i="1" s="1"/>
  <c r="L17" i="4" s="1"/>
  <c r="AF115" i="1"/>
  <c r="AA115" i="1" s="1"/>
  <c r="Z16" i="4" s="1"/>
  <c r="AF99" i="1"/>
  <c r="AH99" i="1" s="1"/>
  <c r="AF83" i="1"/>
  <c r="AH83" i="1" s="1"/>
  <c r="AF67" i="1"/>
  <c r="AH67" i="1" s="1"/>
  <c r="AF51" i="1"/>
  <c r="AA51" i="1" s="1"/>
  <c r="V20" i="4" s="1"/>
  <c r="AF35" i="1"/>
  <c r="AA35" i="1" s="1"/>
  <c r="F20" i="4" s="1"/>
  <c r="AC19" i="1"/>
  <c r="AG19" i="1" s="1"/>
  <c r="AF19" i="1"/>
  <c r="AH19" i="1" s="1"/>
  <c r="AC3" i="1"/>
  <c r="AF828" i="1"/>
  <c r="AH828" i="1" s="1"/>
  <c r="AC828" i="1"/>
  <c r="AG828" i="1" s="1"/>
  <c r="AF808" i="1"/>
  <c r="AH808" i="1" s="1"/>
  <c r="AC808" i="1"/>
  <c r="AG808" i="1" s="1"/>
  <c r="AF792" i="1"/>
  <c r="AH792" i="1" s="1"/>
  <c r="AC792" i="1"/>
  <c r="AG792" i="1" s="1"/>
  <c r="AF776" i="1"/>
  <c r="AC776" i="1"/>
  <c r="AG776" i="1" s="1"/>
  <c r="AF760" i="1"/>
  <c r="AC760" i="1"/>
  <c r="AG760" i="1" s="1"/>
  <c r="AF744" i="1"/>
  <c r="AH744" i="1" s="1"/>
  <c r="AC744" i="1"/>
  <c r="AG744" i="1" s="1"/>
  <c r="AF728" i="1"/>
  <c r="AH728" i="1" s="1"/>
  <c r="AC728" i="1"/>
  <c r="AG728" i="1" s="1"/>
  <c r="AF712" i="1"/>
  <c r="AH712" i="1" s="1"/>
  <c r="AC712" i="1"/>
  <c r="AG712" i="1" s="1"/>
  <c r="AF696" i="1"/>
  <c r="AC696" i="1"/>
  <c r="AG696" i="1" s="1"/>
  <c r="AF690" i="1"/>
  <c r="AH690" i="1" s="1"/>
  <c r="AF674" i="1"/>
  <c r="AA674" i="1" s="1"/>
  <c r="O25" i="4" s="1"/>
  <c r="AF654" i="1"/>
  <c r="AH654" i="1" s="1"/>
  <c r="AC654" i="1"/>
  <c r="AG654" i="1" s="1"/>
  <c r="AF638" i="1"/>
  <c r="AH638" i="1" s="1"/>
  <c r="AC638" i="1"/>
  <c r="AG638" i="1" s="1"/>
  <c r="AF618" i="1"/>
  <c r="AA618" i="1" s="1"/>
  <c r="S6" i="4" s="1"/>
  <c r="AF552" i="1"/>
  <c r="AA552" i="1" s="1"/>
  <c r="M24" i="4" s="1"/>
  <c r="AF536" i="1"/>
  <c r="AH536" i="1" s="1"/>
  <c r="AC536" i="1"/>
  <c r="AG536" i="1" s="1"/>
  <c r="AA33" i="4" s="1"/>
  <c r="AF520" i="1"/>
  <c r="AH520" i="1" s="1"/>
  <c r="AC520" i="1"/>
  <c r="AG520" i="1" s="1"/>
  <c r="AF496" i="1"/>
  <c r="AH496" i="1" s="1"/>
  <c r="AF472" i="1"/>
  <c r="AA472" i="1" s="1"/>
  <c r="W7" i="4" s="1"/>
  <c r="AF456" i="1"/>
  <c r="AA456" i="1" s="1"/>
  <c r="G7" i="4" s="1"/>
  <c r="AF452" i="1"/>
  <c r="AA452" i="1" s="1"/>
  <c r="AG10" i="4" s="1"/>
  <c r="AF436" i="1"/>
  <c r="AH436" i="1" s="1"/>
  <c r="AF420" i="1"/>
  <c r="AH420" i="1" s="1"/>
  <c r="AC420" i="1"/>
  <c r="AG420" i="1" s="1"/>
  <c r="AF404" i="1"/>
  <c r="AH404" i="1" s="1"/>
  <c r="AC404" i="1"/>
  <c r="AG404" i="1" s="1"/>
  <c r="AC380" i="1"/>
  <c r="AG380" i="1" s="1"/>
  <c r="AF364" i="1"/>
  <c r="AH364" i="1" s="1"/>
  <c r="AC364" i="1"/>
  <c r="AG364" i="1" s="1"/>
  <c r="AF350" i="1"/>
  <c r="AA350" i="1" s="1"/>
  <c r="U18" i="4" s="1"/>
  <c r="AF318" i="1"/>
  <c r="AH318" i="1" s="1"/>
  <c r="AC318" i="1"/>
  <c r="AG318" i="1" s="1"/>
  <c r="AF302" i="1"/>
  <c r="AH302" i="1" s="1"/>
  <c r="AC302" i="1"/>
  <c r="AG302" i="1" s="1"/>
  <c r="AC286" i="1"/>
  <c r="AG286" i="1" s="1"/>
  <c r="AF268" i="1"/>
  <c r="AH268" i="1" s="1"/>
  <c r="AC268" i="1"/>
  <c r="AG268" i="1" s="1"/>
  <c r="AF252" i="1"/>
  <c r="AH252" i="1" s="1"/>
  <c r="AC252" i="1"/>
  <c r="AG252" i="1" s="1"/>
  <c r="AF236" i="1"/>
  <c r="AA236" i="1" s="1"/>
  <c r="AA8" i="4" s="1"/>
  <c r="AF220" i="1"/>
  <c r="AA220" i="1" s="1"/>
  <c r="K8" i="4" s="1"/>
  <c r="AF204" i="1"/>
  <c r="AH204" i="1" s="1"/>
  <c r="AC204" i="1"/>
  <c r="AG204" i="1" s="1"/>
  <c r="AF188" i="1"/>
  <c r="AH188" i="1" s="1"/>
  <c r="AC188" i="1"/>
  <c r="AG188" i="1" s="1"/>
  <c r="AF172" i="1"/>
  <c r="AH172" i="1" s="1"/>
  <c r="AF156" i="1"/>
  <c r="AA156" i="1" s="1"/>
  <c r="G9" i="4" s="1"/>
  <c r="AF146" i="1"/>
  <c r="AA146" i="1" s="1"/>
  <c r="AA17" i="4" s="1"/>
  <c r="AF130" i="1"/>
  <c r="AA130" i="1" s="1"/>
  <c r="K17" i="4" s="1"/>
  <c r="AF98" i="1"/>
  <c r="AA98" i="1" s="1"/>
  <c r="I16" i="4" s="1"/>
  <c r="AF50" i="1"/>
  <c r="AA50" i="1" s="1"/>
  <c r="U20" i="4" s="1"/>
  <c r="AF34" i="1"/>
  <c r="AH34" i="1" s="1"/>
  <c r="AF18" i="1"/>
  <c r="AH18" i="1" s="1"/>
  <c r="AC18" i="1"/>
  <c r="AD803" i="1"/>
  <c r="AD514" i="1"/>
  <c r="AD390" i="1"/>
  <c r="AD413" i="1"/>
  <c r="AD787" i="1"/>
  <c r="AD723" i="1"/>
  <c r="AD198" i="1"/>
  <c r="AD249" i="1"/>
  <c r="AD201" i="1"/>
  <c r="AE377" i="1"/>
  <c r="AD835" i="1"/>
  <c r="AD767" i="1"/>
  <c r="AD751" i="1"/>
  <c r="AD719" i="1"/>
  <c r="AD703" i="1"/>
  <c r="AD645" i="1"/>
  <c r="AD527" i="1"/>
  <c r="AD808" i="1"/>
  <c r="AD792" i="1"/>
  <c r="AD536" i="1"/>
  <c r="AD420" i="1"/>
  <c r="AD364" i="1"/>
  <c r="AD807" i="1"/>
  <c r="AD791" i="1"/>
  <c r="AD759" i="1"/>
  <c r="AD743" i="1"/>
  <c r="AD695" i="1"/>
  <c r="AD653" i="1"/>
  <c r="AD535" i="1"/>
  <c r="AD519" i="1"/>
  <c r="AD363" i="1"/>
  <c r="AE776" i="1"/>
  <c r="AE301" i="1"/>
  <c r="AE285" i="1"/>
  <c r="AE251" i="1"/>
  <c r="AE203" i="1"/>
  <c r="AE187" i="1"/>
  <c r="AD203" i="1"/>
  <c r="AD16" i="1"/>
  <c r="AD796" i="1"/>
  <c r="AD780" i="1"/>
  <c r="AD732" i="1"/>
  <c r="AD286" i="1"/>
  <c r="AD814" i="1"/>
  <c r="AD810" i="1"/>
  <c r="AD794" i="1"/>
  <c r="AD640" i="1"/>
  <c r="AD406" i="1"/>
  <c r="AD304" i="1"/>
  <c r="AD270" i="1"/>
  <c r="AD303" i="1"/>
  <c r="AD189" i="1"/>
  <c r="AD3" i="1"/>
  <c r="AD840" i="1"/>
  <c r="AD804" i="1"/>
  <c r="AD788" i="1"/>
  <c r="AD756" i="1"/>
  <c r="AD724" i="1"/>
  <c r="AD650" i="1"/>
  <c r="AD634" i="1"/>
  <c r="AD649" i="1"/>
  <c r="AD633" i="1"/>
  <c r="AD399" i="1"/>
  <c r="AD263" i="1"/>
  <c r="AD199" i="1"/>
  <c r="AD183" i="1"/>
  <c r="AD836" i="1"/>
  <c r="AD820" i="1"/>
  <c r="AD768" i="1"/>
  <c r="AD752" i="1"/>
  <c r="AD704" i="1"/>
  <c r="AD662" i="1"/>
  <c r="AD528" i="1"/>
  <c r="AD412" i="1"/>
  <c r="AD396" i="1"/>
  <c r="AD388" i="1"/>
  <c r="AD372" i="1"/>
  <c r="AD326" i="1"/>
  <c r="AD310" i="1"/>
  <c r="AD294" i="1"/>
  <c r="AD278" i="1"/>
  <c r="AD260" i="1"/>
  <c r="AD212" i="1"/>
  <c r="AD26" i="1"/>
  <c r="AD10" i="1"/>
  <c r="AD4" i="1"/>
  <c r="AD805" i="1"/>
  <c r="AD789" i="1"/>
  <c r="AD773" i="1"/>
  <c r="AD693" i="1"/>
  <c r="AD533" i="1"/>
  <c r="AD795" i="1"/>
  <c r="AD731" i="1"/>
  <c r="AD699" i="1"/>
  <c r="AD641" i="1"/>
  <c r="AD376" i="1"/>
  <c r="AD330" i="1"/>
  <c r="AD200" i="1"/>
  <c r="AD184" i="1"/>
  <c r="AD30" i="1"/>
  <c r="AD833" i="1"/>
  <c r="AD797" i="1"/>
  <c r="AD659" i="1"/>
  <c r="AD642" i="1"/>
  <c r="AD540" i="1"/>
  <c r="AD383" i="1"/>
  <c r="AD273" i="1"/>
  <c r="AD834" i="1"/>
  <c r="AD818" i="1"/>
  <c r="AD798" i="1"/>
  <c r="AD782" i="1"/>
  <c r="AD766" i="1"/>
  <c r="AD750" i="1"/>
  <c r="AD830" i="1"/>
  <c r="AD778" i="1"/>
  <c r="AD762" i="1"/>
  <c r="AD746" i="1"/>
  <c r="AD730" i="1"/>
  <c r="AD714" i="1"/>
  <c r="AD698" i="1"/>
  <c r="AD656" i="1"/>
  <c r="AD538" i="1"/>
  <c r="AD522" i="1"/>
  <c r="AD827" i="1"/>
  <c r="AD775" i="1"/>
  <c r="AD727" i="1"/>
  <c r="AD711" i="1"/>
  <c r="AD637" i="1"/>
  <c r="AD419" i="1"/>
  <c r="AD403" i="1"/>
  <c r="AD379" i="1"/>
  <c r="AD841" i="1"/>
  <c r="AD825" i="1"/>
  <c r="AD757" i="1"/>
  <c r="AD741" i="1"/>
  <c r="AD725" i="1"/>
  <c r="AD709" i="1"/>
  <c r="AD651" i="1"/>
  <c r="AD635" i="1"/>
  <c r="AD517" i="1"/>
  <c r="AD411" i="1"/>
  <c r="AD395" i="1"/>
  <c r="AD387" i="1"/>
  <c r="AD371" i="1"/>
  <c r="AD325" i="1"/>
  <c r="AD277" i="1"/>
  <c r="AD259" i="1"/>
  <c r="AD211" i="1"/>
  <c r="AD195" i="1"/>
  <c r="AD25" i="1"/>
  <c r="AD734" i="1"/>
  <c r="AD718" i="1"/>
  <c r="AD702" i="1"/>
  <c r="AD660" i="1"/>
  <c r="AD644" i="1"/>
  <c r="AD542" i="1"/>
  <c r="AD526" i="1"/>
  <c r="AD410" i="1"/>
  <c r="AD394" i="1"/>
  <c r="AD386" i="1"/>
  <c r="AD370" i="1"/>
  <c r="AD324" i="1"/>
  <c r="AD308" i="1"/>
  <c r="AD292" i="1"/>
  <c r="AD276" i="1"/>
  <c r="AD258" i="1"/>
  <c r="AD210" i="1"/>
  <c r="AD194" i="1"/>
  <c r="AD24" i="1"/>
  <c r="AD8" i="1"/>
  <c r="AD817" i="1"/>
  <c r="AD781" i="1"/>
  <c r="AD765" i="1"/>
  <c r="AD749" i="1"/>
  <c r="AD733" i="1"/>
  <c r="AD717" i="1"/>
  <c r="AD701" i="1"/>
  <c r="AD643" i="1"/>
  <c r="AD541" i="1"/>
  <c r="AD525" i="1"/>
  <c r="AD409" i="1"/>
  <c r="AD393" i="1"/>
  <c r="AD385" i="1"/>
  <c r="AD369" i="1"/>
  <c r="AD323" i="1"/>
  <c r="AD307" i="1"/>
  <c r="AD291" i="1"/>
  <c r="AD275" i="1"/>
  <c r="AD257" i="1"/>
  <c r="AD209" i="1"/>
  <c r="AD193" i="1"/>
  <c r="AD23" i="1"/>
  <c r="AD7" i="1"/>
  <c r="AD832" i="1"/>
  <c r="AD816" i="1"/>
  <c r="AD812" i="1"/>
  <c r="AD764" i="1"/>
  <c r="AD748" i="1"/>
  <c r="AD716" i="1"/>
  <c r="AD700" i="1"/>
  <c r="AD658" i="1"/>
  <c r="AD524" i="1"/>
  <c r="AD408" i="1"/>
  <c r="AD384" i="1"/>
  <c r="AD368" i="1"/>
  <c r="AD322" i="1"/>
  <c r="AD306" i="1"/>
  <c r="AD290" i="1"/>
  <c r="AD274" i="1"/>
  <c r="AD272" i="1"/>
  <c r="AD256" i="1"/>
  <c r="AD208" i="1"/>
  <c r="AD192" i="1"/>
  <c r="AD22" i="1"/>
  <c r="AD6" i="1"/>
  <c r="AD831" i="1"/>
  <c r="AD815" i="1"/>
  <c r="AD811" i="1"/>
  <c r="AD779" i="1"/>
  <c r="AD763" i="1"/>
  <c r="AD747" i="1"/>
  <c r="AD715" i="1"/>
  <c r="AD657" i="1"/>
  <c r="AD539" i="1"/>
  <c r="AD523" i="1"/>
  <c r="AD407" i="1"/>
  <c r="AD367" i="1"/>
  <c r="AD321" i="1"/>
  <c r="AD305" i="1"/>
  <c r="AD289" i="1"/>
  <c r="AD271" i="1"/>
  <c r="AD255" i="1"/>
  <c r="AD207" i="1"/>
  <c r="AD191" i="1"/>
  <c r="AD21" i="1"/>
  <c r="AD5" i="1"/>
  <c r="AD422" i="1"/>
  <c r="AD382" i="1"/>
  <c r="AD366" i="1"/>
  <c r="AD320" i="1"/>
  <c r="AD288" i="1"/>
  <c r="AD254" i="1"/>
  <c r="AD206" i="1"/>
  <c r="AD190" i="1"/>
  <c r="AD20" i="1"/>
  <c r="AD829" i="1"/>
  <c r="AD761" i="1"/>
  <c r="AD745" i="1"/>
  <c r="AD697" i="1"/>
  <c r="AD655" i="1"/>
  <c r="AD537" i="1"/>
  <c r="AD521" i="1"/>
  <c r="AD421" i="1"/>
  <c r="AD405" i="1"/>
  <c r="AD381" i="1"/>
  <c r="AD365" i="1"/>
  <c r="AD319" i="1"/>
  <c r="AD287" i="1"/>
  <c r="AD269" i="1"/>
  <c r="AD253" i="1"/>
  <c r="AD205" i="1"/>
  <c r="AD19" i="1"/>
  <c r="AD828" i="1"/>
  <c r="AD776" i="1"/>
  <c r="AD760" i="1"/>
  <c r="AD744" i="1"/>
  <c r="AD728" i="1"/>
  <c r="AD712" i="1"/>
  <c r="AD696" i="1"/>
  <c r="AD654" i="1"/>
  <c r="AD638" i="1"/>
  <c r="AD520" i="1"/>
  <c r="AD404" i="1"/>
  <c r="AD380" i="1"/>
  <c r="AD318" i="1"/>
  <c r="AD302" i="1"/>
  <c r="AD268" i="1"/>
  <c r="AD252" i="1"/>
  <c r="AD204" i="1"/>
  <c r="AD188" i="1"/>
  <c r="AD18" i="1"/>
  <c r="AD317" i="1"/>
  <c r="AD301" i="1"/>
  <c r="AD285" i="1"/>
  <c r="AD267" i="1"/>
  <c r="AD251" i="1"/>
  <c r="AD187" i="1"/>
  <c r="AD17" i="1"/>
  <c r="AD842" i="1"/>
  <c r="AD774" i="1"/>
  <c r="AD758" i="1"/>
  <c r="AD742" i="1"/>
  <c r="AD726" i="1"/>
  <c r="AD710" i="1"/>
  <c r="AD652" i="1"/>
  <c r="AD636" i="1"/>
  <c r="AD534" i="1"/>
  <c r="AD518" i="1"/>
  <c r="AD418" i="1"/>
  <c r="AD402" i="1"/>
  <c r="AD378" i="1"/>
  <c r="AD332" i="1"/>
  <c r="AD284" i="1"/>
  <c r="AD266" i="1"/>
  <c r="AD250" i="1"/>
  <c r="AD186" i="1"/>
  <c r="AD32" i="1"/>
  <c r="AD417" i="1"/>
  <c r="AD401" i="1"/>
  <c r="AD377" i="1"/>
  <c r="AD331" i="1"/>
  <c r="AD315" i="1"/>
  <c r="AD299" i="1"/>
  <c r="AD283" i="1"/>
  <c r="AD265" i="1"/>
  <c r="AD185" i="1"/>
  <c r="AD31" i="1"/>
  <c r="AD15" i="1"/>
  <c r="AD824" i="1"/>
  <c r="AD772" i="1"/>
  <c r="AD740" i="1"/>
  <c r="AD708" i="1"/>
  <c r="AD532" i="1"/>
  <c r="AD516" i="1"/>
  <c r="AD416" i="1"/>
  <c r="AD400" i="1"/>
  <c r="AD392" i="1"/>
  <c r="AD314" i="1"/>
  <c r="AD298" i="1"/>
  <c r="AD282" i="1"/>
  <c r="AD264" i="1"/>
  <c r="AD248" i="1"/>
  <c r="AD14" i="1"/>
  <c r="AD839" i="1"/>
  <c r="AD823" i="1"/>
  <c r="AD771" i="1"/>
  <c r="AD755" i="1"/>
  <c r="AD739" i="1"/>
  <c r="AD707" i="1"/>
  <c r="AD531" i="1"/>
  <c r="AD515" i="1"/>
  <c r="AD415" i="1"/>
  <c r="AD391" i="1"/>
  <c r="AD375" i="1"/>
  <c r="AD329" i="1"/>
  <c r="AD313" i="1"/>
  <c r="AD297" i="1"/>
  <c r="AD281" i="1"/>
  <c r="AD247" i="1"/>
  <c r="AD29" i="1"/>
  <c r="AD13" i="1"/>
  <c r="AD838" i="1"/>
  <c r="AD822" i="1"/>
  <c r="AD770" i="1"/>
  <c r="AD738" i="1"/>
  <c r="AD722" i="1"/>
  <c r="AD530" i="1"/>
  <c r="AD414" i="1"/>
  <c r="AD398" i="1"/>
  <c r="AD374" i="1"/>
  <c r="AD328" i="1"/>
  <c r="AD312" i="1"/>
  <c r="AD296" i="1"/>
  <c r="AD280" i="1"/>
  <c r="AD262" i="1"/>
  <c r="AD246" i="1"/>
  <c r="AD28" i="1"/>
  <c r="AD12" i="1"/>
  <c r="AD837" i="1"/>
  <c r="AD821" i="1"/>
  <c r="AD769" i="1"/>
  <c r="AD721" i="1"/>
  <c r="AD705" i="1"/>
  <c r="AD647" i="1"/>
  <c r="AD529" i="1"/>
  <c r="AD397" i="1"/>
  <c r="AD389" i="1"/>
  <c r="AD373" i="1"/>
  <c r="AD327" i="1"/>
  <c r="AD311" i="1"/>
  <c r="AD295" i="1"/>
  <c r="AD261" i="1"/>
  <c r="AD197" i="1"/>
  <c r="AD27" i="1"/>
  <c r="AD11" i="1"/>
  <c r="AE797" i="1"/>
  <c r="AE542" i="1"/>
  <c r="AE394" i="1"/>
  <c r="AE370" i="1"/>
  <c r="AE275" i="1"/>
  <c r="AE819" i="1"/>
  <c r="AE108" i="1"/>
  <c r="AE397" i="1"/>
  <c r="AE372" i="1"/>
  <c r="AE393" i="1"/>
  <c r="AE324" i="1"/>
  <c r="AE276" i="1"/>
  <c r="AE258" i="1"/>
  <c r="AE210" i="1"/>
  <c r="AE808" i="1"/>
  <c r="AE600" i="1"/>
  <c r="AE552" i="1"/>
  <c r="AE512" i="1"/>
  <c r="AE456" i="1"/>
  <c r="AE452" i="1"/>
  <c r="AE436" i="1"/>
  <c r="AE420" i="1"/>
  <c r="AE404" i="1"/>
  <c r="AE380" i="1"/>
  <c r="AE364" i="1"/>
  <c r="AE601" i="1"/>
  <c r="AE828" i="1"/>
  <c r="AE827" i="1"/>
  <c r="AE807" i="1"/>
  <c r="AE791" i="1"/>
  <c r="AE775" i="1"/>
  <c r="AE759" i="1"/>
  <c r="AE711" i="1"/>
  <c r="AE695" i="1"/>
  <c r="AE689" i="1"/>
  <c r="AE673" i="1"/>
  <c r="AE653" i="1"/>
  <c r="AE637" i="1"/>
  <c r="AE599" i="1"/>
  <c r="AE583" i="1"/>
  <c r="AE567" i="1"/>
  <c r="AE551" i="1"/>
  <c r="AE535" i="1"/>
  <c r="AE519" i="1"/>
  <c r="AE511" i="1"/>
  <c r="AE495" i="1"/>
  <c r="AE471" i="1"/>
  <c r="AE455" i="1"/>
  <c r="AE451" i="1"/>
  <c r="AE435" i="1"/>
  <c r="AE419" i="1"/>
  <c r="AE403" i="1"/>
  <c r="AE379" i="1"/>
  <c r="AE363" i="1"/>
  <c r="AE553" i="1"/>
  <c r="AE792" i="1"/>
  <c r="AE696" i="1"/>
  <c r="AE674" i="1"/>
  <c r="AE568" i="1"/>
  <c r="AE520" i="1"/>
  <c r="AE496" i="1"/>
  <c r="AE842" i="1"/>
  <c r="AE826" i="1"/>
  <c r="AE806" i="1"/>
  <c r="AE790" i="1"/>
  <c r="AE774" i="1"/>
  <c r="AE758" i="1"/>
  <c r="AE710" i="1"/>
  <c r="AE694" i="1"/>
  <c r="AE688" i="1"/>
  <c r="AE672" i="1"/>
  <c r="AE652" i="1"/>
  <c r="AE636" i="1"/>
  <c r="AE598" i="1"/>
  <c r="AE582" i="1"/>
  <c r="AE566" i="1"/>
  <c r="AE550" i="1"/>
  <c r="AE510" i="1"/>
  <c r="AE494" i="1"/>
  <c r="AE473" i="1"/>
  <c r="AE335" i="1"/>
  <c r="AE157" i="1"/>
  <c r="AE712" i="1"/>
  <c r="AE654" i="1"/>
  <c r="AE841" i="1"/>
  <c r="AE825" i="1"/>
  <c r="AE805" i="1"/>
  <c r="AE789" i="1"/>
  <c r="AE773" i="1"/>
  <c r="AE757" i="1"/>
  <c r="AE709" i="1"/>
  <c r="AE693" i="1"/>
  <c r="AE687" i="1"/>
  <c r="AE671" i="1"/>
  <c r="AE651" i="1"/>
  <c r="AE635" i="1"/>
  <c r="AE597" i="1"/>
  <c r="AE581" i="1"/>
  <c r="AE565" i="1"/>
  <c r="AE549" i="1"/>
  <c r="AE533" i="1"/>
  <c r="AE517" i="1"/>
  <c r="AE509" i="1"/>
  <c r="AE469" i="1"/>
  <c r="AE453" i="1"/>
  <c r="AE449" i="1"/>
  <c r="AE433" i="1"/>
  <c r="AE417" i="1"/>
  <c r="AE401" i="1"/>
  <c r="AE829" i="1"/>
  <c r="AE437" i="1"/>
  <c r="AE760" i="1"/>
  <c r="AE690" i="1"/>
  <c r="AE638" i="1"/>
  <c r="AE584" i="1"/>
  <c r="AE536" i="1"/>
  <c r="AE840" i="1"/>
  <c r="AE824" i="1"/>
  <c r="AE686" i="1"/>
  <c r="AE670" i="1"/>
  <c r="AE596" i="1"/>
  <c r="AE580" i="1"/>
  <c r="AE548" i="1"/>
  <c r="AE508" i="1"/>
  <c r="AE685" i="1"/>
  <c r="AE669" i="1"/>
  <c r="AE595" i="1"/>
  <c r="AE579" i="1"/>
  <c r="AE563" i="1"/>
  <c r="AE547" i="1"/>
  <c r="AE507" i="1"/>
  <c r="AE491" i="1"/>
  <c r="AE467" i="1"/>
  <c r="AE447" i="1"/>
  <c r="AE431" i="1"/>
  <c r="AE361" i="1"/>
  <c r="AE345" i="1"/>
  <c r="AE231" i="1"/>
  <c r="AE215" i="1"/>
  <c r="AE167" i="1"/>
  <c r="AE141" i="1"/>
  <c r="AE125" i="1"/>
  <c r="AE109" i="1"/>
  <c r="AE93" i="1"/>
  <c r="AE77" i="1"/>
  <c r="AE61" i="1"/>
  <c r="AE45" i="1"/>
  <c r="AE569" i="1"/>
  <c r="AE838" i="1"/>
  <c r="AE822" i="1"/>
  <c r="AE802" i="1"/>
  <c r="AE786" i="1"/>
  <c r="AE770" i="1"/>
  <c r="AE754" i="1"/>
  <c r="AE722" i="1"/>
  <c r="AE706" i="1"/>
  <c r="AE684" i="1"/>
  <c r="AE668" i="1"/>
  <c r="AE594" i="1"/>
  <c r="AE578" i="1"/>
  <c r="AE562" i="1"/>
  <c r="AE546" i="1"/>
  <c r="AE530" i="1"/>
  <c r="AE506" i="1"/>
  <c r="AE490" i="1"/>
  <c r="AE482" i="1"/>
  <c r="AE466" i="1"/>
  <c r="AE446" i="1"/>
  <c r="AE430" i="1"/>
  <c r="AE414" i="1"/>
  <c r="AE398" i="1"/>
  <c r="AE675" i="1"/>
  <c r="AE837" i="1"/>
  <c r="AE821" i="1"/>
  <c r="AE801" i="1"/>
  <c r="AE785" i="1"/>
  <c r="AE769" i="1"/>
  <c r="AE753" i="1"/>
  <c r="AE721" i="1"/>
  <c r="AE705" i="1"/>
  <c r="AE683" i="1"/>
  <c r="AE667" i="1"/>
  <c r="AE647" i="1"/>
  <c r="AE593" i="1"/>
  <c r="AE577" i="1"/>
  <c r="AE561" i="1"/>
  <c r="AE545" i="1"/>
  <c r="AE529" i="1"/>
  <c r="AE513" i="1"/>
  <c r="AE505" i="1"/>
  <c r="AE489" i="1"/>
  <c r="AE481" i="1"/>
  <c r="AE465" i="1"/>
  <c r="AE813" i="1"/>
  <c r="AE820" i="1"/>
  <c r="AE800" i="1"/>
  <c r="AE784" i="1"/>
  <c r="AE768" i="1"/>
  <c r="AE720" i="1"/>
  <c r="AE704" i="1"/>
  <c r="AE666" i="1"/>
  <c r="AE662" i="1"/>
  <c r="AE646" i="1"/>
  <c r="AE576" i="1"/>
  <c r="AE560" i="1"/>
  <c r="AE544" i="1"/>
  <c r="AE528" i="1"/>
  <c r="AE504" i="1"/>
  <c r="AE488" i="1"/>
  <c r="AE809" i="1"/>
  <c r="AE457" i="1"/>
  <c r="AE351" i="1"/>
  <c r="AE173" i="1"/>
  <c r="AE835" i="1"/>
  <c r="AE799" i="1"/>
  <c r="AE783" i="1"/>
  <c r="AE767" i="1"/>
  <c r="AE719" i="1"/>
  <c r="AE703" i="1"/>
  <c r="AE681" i="1"/>
  <c r="AE665" i="1"/>
  <c r="AE661" i="1"/>
  <c r="AE645" i="1"/>
  <c r="AE591" i="1"/>
  <c r="AE575" i="1"/>
  <c r="AE559" i="1"/>
  <c r="AE543" i="1"/>
  <c r="AE527" i="1"/>
  <c r="AE503" i="1"/>
  <c r="AE487" i="1"/>
  <c r="AE479" i="1"/>
  <c r="AE463" i="1"/>
  <c r="AE443" i="1"/>
  <c r="AE427" i="1"/>
  <c r="AE411" i="1"/>
  <c r="AE395" i="1"/>
  <c r="AE237" i="1"/>
  <c r="AE834" i="1"/>
  <c r="AE818" i="1"/>
  <c r="AE798" i="1"/>
  <c r="AE782" i="1"/>
  <c r="AE766" i="1"/>
  <c r="AE718" i="1"/>
  <c r="AE702" i="1"/>
  <c r="AE680" i="1"/>
  <c r="AE664" i="1"/>
  <c r="AE660" i="1"/>
  <c r="AE644" i="1"/>
  <c r="AE590" i="1"/>
  <c r="AE574" i="1"/>
  <c r="AE558" i="1"/>
  <c r="AE526" i="1"/>
  <c r="AE502" i="1"/>
  <c r="AE486" i="1"/>
  <c r="AE478" i="1"/>
  <c r="AE462" i="1"/>
  <c r="AE442" i="1"/>
  <c r="AE426" i="1"/>
  <c r="AE410" i="1"/>
  <c r="AE691" i="1"/>
  <c r="AE833" i="1"/>
  <c r="AE817" i="1"/>
  <c r="AE781" i="1"/>
  <c r="AE765" i="1"/>
  <c r="AE717" i="1"/>
  <c r="AE701" i="1"/>
  <c r="AE679" i="1"/>
  <c r="AE663" i="1"/>
  <c r="AE659" i="1"/>
  <c r="AE643" i="1"/>
  <c r="AE589" i="1"/>
  <c r="AE573" i="1"/>
  <c r="AE557" i="1"/>
  <c r="AE541" i="1"/>
  <c r="AE525" i="1"/>
  <c r="AE585" i="1"/>
  <c r="AE832" i="1"/>
  <c r="AE816" i="1"/>
  <c r="AE812" i="1"/>
  <c r="AE796" i="1"/>
  <c r="AE780" i="1"/>
  <c r="AE764" i="1"/>
  <c r="AE716" i="1"/>
  <c r="AE700" i="1"/>
  <c r="AE678" i="1"/>
  <c r="AE658" i="1"/>
  <c r="AE642" i="1"/>
  <c r="AE588" i="1"/>
  <c r="AE572" i="1"/>
  <c r="AE556" i="1"/>
  <c r="AE540" i="1"/>
  <c r="AE524" i="1"/>
  <c r="AE500" i="1"/>
  <c r="AE484" i="1"/>
  <c r="AE476" i="1"/>
  <c r="AE460" i="1"/>
  <c r="AE440" i="1"/>
  <c r="AE408" i="1"/>
  <c r="AE384" i="1"/>
  <c r="AE368" i="1"/>
  <c r="AE354" i="1"/>
  <c r="AE338" i="1"/>
  <c r="AE322" i="1"/>
  <c r="AE306" i="1"/>
  <c r="AE290" i="1"/>
  <c r="AE274" i="1"/>
  <c r="AE272" i="1"/>
  <c r="AE256" i="1"/>
  <c r="AE240" i="1"/>
  <c r="AE224" i="1"/>
  <c r="AE208" i="1"/>
  <c r="AE192" i="1"/>
  <c r="AE176" i="1"/>
  <c r="AE160" i="1"/>
  <c r="AE150" i="1"/>
  <c r="AE134" i="1"/>
  <c r="AE118" i="1"/>
  <c r="AE102" i="1"/>
  <c r="AE86" i="1"/>
  <c r="AE70" i="1"/>
  <c r="AE54" i="1"/>
  <c r="AE38" i="1"/>
  <c r="AE497" i="1"/>
  <c r="AE677" i="1"/>
  <c r="AE587" i="1"/>
  <c r="AE571" i="1"/>
  <c r="AE555" i="1"/>
  <c r="AE499" i="1"/>
  <c r="AE483" i="1"/>
  <c r="AE221" i="1"/>
  <c r="AE692" i="1"/>
  <c r="AE676" i="1"/>
  <c r="AE602" i="1"/>
  <c r="AE586" i="1"/>
  <c r="AE570" i="1"/>
  <c r="AE554" i="1"/>
  <c r="AE498" i="1"/>
  <c r="AE474" i="1"/>
  <c r="AE458" i="1"/>
  <c r="AE438" i="1"/>
  <c r="AE352" i="1"/>
  <c r="AE238" i="1"/>
  <c r="AE222" i="1"/>
  <c r="AE174" i="1"/>
  <c r="AE158" i="1"/>
  <c r="AE148" i="1"/>
  <c r="AE132" i="1"/>
  <c r="AE116" i="1"/>
  <c r="AE100" i="1"/>
  <c r="AE84" i="1"/>
  <c r="AE68" i="1"/>
  <c r="AE52" i="1"/>
  <c r="AE36" i="1"/>
  <c r="AE475" i="1"/>
  <c r="AE459" i="1"/>
  <c r="AE439" i="1"/>
  <c r="AE423" i="1"/>
  <c r="AE353" i="1"/>
  <c r="AE337" i="1"/>
  <c r="AE239" i="1"/>
  <c r="AE223" i="1"/>
  <c r="AE175" i="1"/>
  <c r="AE159" i="1"/>
  <c r="AE149" i="1"/>
  <c r="AE133" i="1"/>
  <c r="AE117" i="1"/>
  <c r="AE101" i="1"/>
  <c r="AE85" i="1"/>
  <c r="AE69" i="1"/>
  <c r="AE53" i="1"/>
  <c r="AE37" i="1"/>
  <c r="AE147" i="1"/>
  <c r="AE131" i="1"/>
  <c r="AE115" i="1"/>
  <c r="AE99" i="1"/>
  <c r="AE83" i="1"/>
  <c r="AE67" i="1"/>
  <c r="AE51" i="1"/>
  <c r="AE35" i="1"/>
  <c r="AE350" i="1"/>
  <c r="AE318" i="1"/>
  <c r="AE302" i="1"/>
  <c r="AE286" i="1"/>
  <c r="AE268" i="1"/>
  <c r="AE252" i="1"/>
  <c r="AE220" i="1"/>
  <c r="AE204" i="1"/>
  <c r="AE188" i="1"/>
  <c r="AE172" i="1"/>
  <c r="AE156" i="1"/>
  <c r="AE146" i="1"/>
  <c r="AE130" i="1"/>
  <c r="AE114" i="1"/>
  <c r="AE98" i="1"/>
  <c r="AE82" i="1"/>
  <c r="AE50" i="1"/>
  <c r="AE349" i="1"/>
  <c r="AE317" i="1"/>
  <c r="AE267" i="1"/>
  <c r="AE235" i="1"/>
  <c r="AE219" i="1"/>
  <c r="AE171" i="1"/>
  <c r="AE155" i="1"/>
  <c r="AE145" i="1"/>
  <c r="AE113" i="1"/>
  <c r="AE97" i="1"/>
  <c r="AE81" i="1"/>
  <c r="AE454" i="1"/>
  <c r="AE450" i="1"/>
  <c r="AE348" i="1"/>
  <c r="AE234" i="1"/>
  <c r="AE218" i="1"/>
  <c r="AE154" i="1"/>
  <c r="AE144" i="1"/>
  <c r="AE128" i="1"/>
  <c r="AE112" i="1"/>
  <c r="AE80" i="1"/>
  <c r="AE331" i="1"/>
  <c r="AE315" i="1"/>
  <c r="AE299" i="1"/>
  <c r="AE283" i="1"/>
  <c r="AE265" i="1"/>
  <c r="AE249" i="1"/>
  <c r="AE201" i="1"/>
  <c r="AE185" i="1"/>
  <c r="AE143" i="1"/>
  <c r="AE127" i="1"/>
  <c r="AE111" i="1"/>
  <c r="AE79" i="1"/>
  <c r="AE47" i="1"/>
  <c r="AE468" i="1"/>
  <c r="AE432" i="1"/>
  <c r="AE142" i="1"/>
  <c r="AE126" i="1"/>
  <c r="AE78" i="1"/>
  <c r="AE62" i="1"/>
  <c r="AE46" i="1"/>
  <c r="AE374" i="1"/>
  <c r="AE312" i="1"/>
  <c r="AE296" i="1"/>
  <c r="AE262" i="1"/>
  <c r="AE230" i="1"/>
  <c r="AE198" i="1"/>
  <c r="AE166" i="1"/>
  <c r="AE124" i="1"/>
  <c r="AE92" i="1"/>
  <c r="AE76" i="1"/>
  <c r="AE60" i="1"/>
  <c r="AE44" i="1"/>
  <c r="AE429" i="1"/>
  <c r="AE413" i="1"/>
  <c r="AE343" i="1"/>
  <c r="AE311" i="1"/>
  <c r="AE295" i="1"/>
  <c r="AE279" i="1"/>
  <c r="AE261" i="1"/>
  <c r="AE245" i="1"/>
  <c r="AE229" i="1"/>
  <c r="AE181" i="1"/>
  <c r="AE165" i="1"/>
  <c r="AE123" i="1"/>
  <c r="AE75" i="1"/>
  <c r="AE412" i="1"/>
  <c r="AE358" i="1"/>
  <c r="AE342" i="1"/>
  <c r="AE326" i="1"/>
  <c r="AE310" i="1"/>
  <c r="AE294" i="1"/>
  <c r="AE278" i="1"/>
  <c r="AE260" i="1"/>
  <c r="AE244" i="1"/>
  <c r="AE228" i="1"/>
  <c r="AE212" i="1"/>
  <c r="AE196" i="1"/>
  <c r="AE180" i="1"/>
  <c r="AE164" i="1"/>
  <c r="AE138" i="1"/>
  <c r="AE122" i="1"/>
  <c r="AE106" i="1"/>
  <c r="AE90" i="1"/>
  <c r="AE74" i="1"/>
  <c r="AE58" i="1"/>
  <c r="AE42" i="1"/>
  <c r="AE387" i="1"/>
  <c r="AE371" i="1"/>
  <c r="AE357" i="1"/>
  <c r="AE341" i="1"/>
  <c r="AE325" i="1"/>
  <c r="AE309" i="1"/>
  <c r="AE293" i="1"/>
  <c r="AE277" i="1"/>
  <c r="AE259" i="1"/>
  <c r="AE243" i="1"/>
  <c r="AE227" i="1"/>
  <c r="AE211" i="1"/>
  <c r="AE195" i="1"/>
  <c r="AE179" i="1"/>
  <c r="AE163" i="1"/>
  <c r="AE57" i="1"/>
  <c r="AE386" i="1"/>
  <c r="AE340" i="1"/>
  <c r="AE308" i="1"/>
  <c r="AE292" i="1"/>
  <c r="AE242" i="1"/>
  <c r="AE226" i="1"/>
  <c r="AE194" i="1"/>
  <c r="AE178" i="1"/>
  <c r="AE162" i="1"/>
  <c r="AE152" i="1"/>
  <c r="AE104" i="1"/>
  <c r="AE56" i="1"/>
  <c r="AE40" i="1"/>
  <c r="AE501" i="1"/>
  <c r="AE477" i="1"/>
  <c r="AE409" i="1"/>
  <c r="AE385" i="1"/>
  <c r="AE369" i="1"/>
  <c r="AE339" i="1"/>
  <c r="AE323" i="1"/>
  <c r="AE307" i="1"/>
  <c r="AE291" i="1"/>
  <c r="AE257" i="1"/>
  <c r="AE241" i="1"/>
  <c r="AE225" i="1"/>
  <c r="AE209" i="1"/>
  <c r="AE193" i="1"/>
  <c r="AE177" i="1"/>
  <c r="AE151" i="1"/>
  <c r="AE103" i="1"/>
  <c r="AE87" i="1"/>
  <c r="AE55" i="1"/>
  <c r="AE539" i="1"/>
  <c r="AE523" i="1"/>
  <c r="AE407" i="1"/>
  <c r="AE383" i="1"/>
  <c r="AE367" i="1"/>
  <c r="AE321" i="1"/>
  <c r="AE305" i="1"/>
  <c r="AE289" i="1"/>
  <c r="AE273" i="1"/>
  <c r="AE271" i="1"/>
  <c r="AE255" i="1"/>
  <c r="AE207" i="1"/>
  <c r="AE191" i="1"/>
  <c r="AE815" i="1"/>
  <c r="AE763" i="1"/>
  <c r="AE830" i="1"/>
  <c r="AE814" i="1"/>
  <c r="AE810" i="1"/>
  <c r="AE778" i="1"/>
  <c r="AE640" i="1"/>
  <c r="AE422" i="1"/>
  <c r="AE406" i="1"/>
  <c r="AE382" i="1"/>
  <c r="AE366" i="1"/>
  <c r="AE320" i="1"/>
  <c r="AE304" i="1"/>
  <c r="AE288" i="1"/>
  <c r="AE270" i="1"/>
  <c r="AE254" i="1"/>
  <c r="AE206" i="1"/>
  <c r="AE190" i="1"/>
  <c r="AE795" i="1"/>
  <c r="AE715" i="1"/>
  <c r="AE794" i="1"/>
  <c r="AE762" i="1"/>
  <c r="AE714" i="1"/>
  <c r="AE698" i="1"/>
  <c r="AE656" i="1"/>
  <c r="AE538" i="1"/>
  <c r="AE522" i="1"/>
  <c r="AE793" i="1"/>
  <c r="AE779" i="1"/>
  <c r="AE699" i="1"/>
  <c r="AE811" i="1"/>
  <c r="AE831" i="1"/>
  <c r="AE641" i="1"/>
  <c r="AE804" i="1"/>
  <c r="AE788" i="1"/>
  <c r="AE772" i="1"/>
  <c r="AE756" i="1"/>
  <c r="AE657" i="1"/>
  <c r="AE839" i="1"/>
  <c r="AE823" i="1"/>
  <c r="AE803" i="1"/>
  <c r="AE787" i="1"/>
  <c r="AE771" i="1"/>
  <c r="AE755" i="1"/>
  <c r="AE707" i="1"/>
  <c r="AE777" i="1"/>
  <c r="AE761" i="1"/>
  <c r="AE713" i="1"/>
  <c r="AE697" i="1"/>
  <c r="AE655" i="1"/>
  <c r="AE639" i="1"/>
  <c r="AE537" i="1"/>
  <c r="AE521" i="1"/>
  <c r="AE421" i="1"/>
  <c r="AE405" i="1"/>
  <c r="AE381" i="1"/>
  <c r="AE365" i="1"/>
  <c r="AE319" i="1"/>
  <c r="AE303" i="1"/>
  <c r="AE287" i="1"/>
  <c r="AE269" i="1"/>
  <c r="AE253" i="1"/>
  <c r="AE205" i="1"/>
  <c r="AE189" i="1"/>
  <c r="AE534" i="1"/>
  <c r="AE518" i="1"/>
  <c r="AE418" i="1"/>
  <c r="AE402" i="1"/>
  <c r="AE378" i="1"/>
  <c r="AE332" i="1"/>
  <c r="AE316" i="1"/>
  <c r="AE300" i="1"/>
  <c r="AE284" i="1"/>
  <c r="AE266" i="1"/>
  <c r="AE250" i="1"/>
  <c r="AE202" i="1"/>
  <c r="AE186" i="1"/>
  <c r="AE708" i="1"/>
  <c r="AE650" i="1"/>
  <c r="AE634" i="1"/>
  <c r="AE532" i="1"/>
  <c r="AE516" i="1"/>
  <c r="AE416" i="1"/>
  <c r="AE400" i="1"/>
  <c r="AE392" i="1"/>
  <c r="AE376" i="1"/>
  <c r="AE330" i="1"/>
  <c r="AE314" i="1"/>
  <c r="AE298" i="1"/>
  <c r="AE282" i="1"/>
  <c r="AE264" i="1"/>
  <c r="AE248" i="1"/>
  <c r="AE200" i="1"/>
  <c r="AE184" i="1"/>
  <c r="AE649" i="1"/>
  <c r="AE633" i="1"/>
  <c r="AE531" i="1"/>
  <c r="AE515" i="1"/>
  <c r="AE415" i="1"/>
  <c r="AE399" i="1"/>
  <c r="AE391" i="1"/>
  <c r="AE375" i="1"/>
  <c r="AE329" i="1"/>
  <c r="AE313" i="1"/>
  <c r="AE297" i="1"/>
  <c r="AE281" i="1"/>
  <c r="AE263" i="1"/>
  <c r="AE247" i="1"/>
  <c r="AE199" i="1"/>
  <c r="AE183" i="1"/>
  <c r="AK32" i="4" l="1"/>
  <c r="AK35" i="4"/>
  <c r="AK18" i="4"/>
  <c r="AK31" i="4"/>
  <c r="AK10" i="4"/>
  <c r="AK24" i="4"/>
  <c r="AK23" i="4"/>
  <c r="AK19" i="4"/>
  <c r="AK34" i="4"/>
  <c r="AK17" i="4"/>
  <c r="AK15" i="4"/>
  <c r="AK13" i="4"/>
  <c r="AK26" i="4"/>
  <c r="AK25" i="4"/>
  <c r="AK7" i="4"/>
  <c r="AK21" i="4"/>
  <c r="AK33" i="4"/>
  <c r="AK16" i="4"/>
  <c r="AK30" i="4"/>
  <c r="AK12" i="4"/>
  <c r="AK29" i="4"/>
  <c r="AK11" i="4"/>
  <c r="AK28" i="4"/>
  <c r="AK9" i="4"/>
  <c r="AK8" i="4"/>
  <c r="AK6" i="4"/>
  <c r="AK22" i="4"/>
  <c r="AK20" i="4"/>
  <c r="AN7" i="4" a="1"/>
  <c r="AN7" i="4" s="1"/>
  <c r="AF602" i="1"/>
  <c r="AA602" i="1" s="1"/>
  <c r="AG12" i="4" s="1"/>
  <c r="AA640" i="1"/>
  <c r="K34" i="4" s="1"/>
  <c r="AA648" i="1"/>
  <c r="S34" i="4" s="1"/>
  <c r="AA649" i="1"/>
  <c r="T34" i="4" s="1"/>
  <c r="AA650" i="1"/>
  <c r="U34" i="4" s="1"/>
  <c r="AA734" i="1"/>
  <c r="O28" i="4" s="1"/>
  <c r="AA802" i="1"/>
  <c r="W35" i="4" s="1"/>
  <c r="AA799" i="1"/>
  <c r="T35" i="4" s="1"/>
  <c r="AA806" i="1"/>
  <c r="AA35" i="4" s="1"/>
  <c r="AA711" i="1"/>
  <c r="V29" i="4" s="1"/>
  <c r="AA380" i="1"/>
  <c r="U23" i="4" s="1"/>
  <c r="AA320" i="1"/>
  <c r="U21" i="4" s="1"/>
  <c r="AA522" i="1"/>
  <c r="M33" i="4" s="1"/>
  <c r="AA698" i="1"/>
  <c r="I29" i="4" s="1"/>
  <c r="AA305" i="1"/>
  <c r="F21" i="4" s="1"/>
  <c r="AA815" i="1"/>
  <c r="F31" i="4" s="1"/>
  <c r="AA306" i="1"/>
  <c r="G21" i="4" s="1"/>
  <c r="AA700" i="1"/>
  <c r="K29" i="4" s="1"/>
  <c r="AA816" i="1"/>
  <c r="G31" i="4" s="1"/>
  <c r="AA702" i="1"/>
  <c r="M29" i="4" s="1"/>
  <c r="AA834" i="1"/>
  <c r="Y31" i="4" s="1"/>
  <c r="AA752" i="1"/>
  <c r="AG28" i="4" s="1"/>
  <c r="AA529" i="1"/>
  <c r="T33" i="4" s="1"/>
  <c r="AA837" i="1"/>
  <c r="AB31" i="4" s="1"/>
  <c r="AA822" i="1"/>
  <c r="M31" i="4" s="1"/>
  <c r="AA807" i="1"/>
  <c r="AB35" i="4" s="1"/>
  <c r="AA792" i="1"/>
  <c r="M35" i="4" s="1"/>
  <c r="AA800" i="1"/>
  <c r="U35" i="4" s="1"/>
  <c r="AA292" i="1"/>
  <c r="W22" i="4" s="1"/>
  <c r="AA197" i="1"/>
  <c r="R26" i="4" s="1"/>
  <c r="AA327" i="1"/>
  <c r="AB21" i="4" s="1"/>
  <c r="AA801" i="1"/>
  <c r="V35" i="4" s="1"/>
  <c r="AA312" i="1"/>
  <c r="M21" i="4" s="1"/>
  <c r="AA298" i="1"/>
  <c r="AC22" i="4" s="1"/>
  <c r="AA299" i="1"/>
  <c r="AD22" i="4" s="1"/>
  <c r="AA636" i="1"/>
  <c r="G34" i="4" s="1"/>
  <c r="AA251" i="1"/>
  <c r="L32" i="4" s="1"/>
  <c r="AA403" i="1"/>
  <c r="N13" i="4" s="1"/>
  <c r="AA809" i="1"/>
  <c r="AD35" i="4" s="1"/>
  <c r="AA760" i="1"/>
  <c r="K30" i="4" s="1"/>
  <c r="AA269" i="1"/>
  <c r="AD32" i="4" s="1"/>
  <c r="AA421" i="1"/>
  <c r="AF13" i="4" s="1"/>
  <c r="AA523" i="1"/>
  <c r="N33" i="4" s="1"/>
  <c r="AA524" i="1"/>
  <c r="O33" i="4" s="1"/>
  <c r="AA525" i="1"/>
  <c r="P33" i="4" s="1"/>
  <c r="AA717" i="1"/>
  <c r="AB29" i="4" s="1"/>
  <c r="AA8" i="1"/>
  <c r="I15" i="4" s="1"/>
  <c r="AA370" i="1"/>
  <c r="K23" i="4" s="1"/>
  <c r="AA542" i="1"/>
  <c r="AG33" i="4" s="1"/>
  <c r="AA703" i="1"/>
  <c r="N29" i="4" s="1"/>
  <c r="AA397" i="1"/>
  <c r="H13" i="4" s="1"/>
  <c r="AA531" i="1"/>
  <c r="V33" i="4" s="1"/>
  <c r="AA534" i="1"/>
  <c r="Y33" i="4" s="1"/>
  <c r="AA310" i="1"/>
  <c r="K21" i="4" s="1"/>
  <c r="AA797" i="1"/>
  <c r="R35" i="4" s="1"/>
  <c r="AA823" i="1"/>
  <c r="N31" i="4" s="1"/>
  <c r="AA185" i="1"/>
  <c r="F26" i="4" s="1"/>
  <c r="AA331" i="1"/>
  <c r="AF21" i="4" s="1"/>
  <c r="AA186" i="1"/>
  <c r="G26" i="4" s="1"/>
  <c r="AA285" i="1"/>
  <c r="P22" i="4" s="1"/>
  <c r="AA794" i="1"/>
  <c r="O35" i="4" s="1"/>
  <c r="AA795" i="1"/>
  <c r="P35" i="4" s="1"/>
  <c r="AA798" i="1"/>
  <c r="S35" i="4" s="1"/>
  <c r="AA804" i="1"/>
  <c r="Y35" i="4" s="1"/>
  <c r="AA805" i="1"/>
  <c r="Z35" i="4" s="1"/>
  <c r="AA808" i="1"/>
  <c r="AC35" i="4" s="1"/>
  <c r="AA793" i="1"/>
  <c r="N35" i="4" s="1"/>
  <c r="AA728" i="1"/>
  <c r="I28" i="4" s="1"/>
  <c r="AA817" i="1"/>
  <c r="H31" i="4" s="1"/>
  <c r="AA324" i="1"/>
  <c r="Y21" i="4" s="1"/>
  <c r="AA260" i="1"/>
  <c r="U32" i="4" s="1"/>
  <c r="AA373" i="1"/>
  <c r="N23" i="4" s="1"/>
  <c r="AA329" i="1"/>
  <c r="AD21" i="4" s="1"/>
  <c r="AA516" i="1"/>
  <c r="G33" i="4" s="1"/>
  <c r="S29" i="4"/>
  <c r="AA709" i="1"/>
  <c r="T29" i="4" s="1"/>
  <c r="AA841" i="1"/>
  <c r="AF31" i="4" s="1"/>
  <c r="AA317" i="1"/>
  <c r="R21" i="4" s="1"/>
  <c r="AA740" i="1"/>
  <c r="U28" i="4" s="1"/>
  <c r="AA401" i="1"/>
  <c r="L13" i="4" s="1"/>
  <c r="AA32" i="1"/>
  <c r="AG15" i="4" s="1"/>
  <c r="AA710" i="1"/>
  <c r="U29" i="4" s="1"/>
  <c r="AA827" i="1"/>
  <c r="R31" i="4" s="1"/>
  <c r="AA655" i="1"/>
  <c r="Z34" i="4" s="1"/>
  <c r="AA20" i="1"/>
  <c r="U15" i="4" s="1"/>
  <c r="AA382" i="1"/>
  <c r="W23" i="4" s="1"/>
  <c r="AA746" i="1"/>
  <c r="AA28" i="4" s="1"/>
  <c r="AA21" i="1"/>
  <c r="V15" i="4" s="1"/>
  <c r="AA367" i="1"/>
  <c r="H23" i="4" s="1"/>
  <c r="AA747" i="1"/>
  <c r="AB28" i="4" s="1"/>
  <c r="AA22" i="1"/>
  <c r="W15" i="4" s="1"/>
  <c r="AA368" i="1"/>
  <c r="I23" i="4" s="1"/>
  <c r="AA748" i="1"/>
  <c r="AC28" i="4" s="1"/>
  <c r="AA385" i="1"/>
  <c r="Z23" i="4" s="1"/>
  <c r="AA769" i="1"/>
  <c r="T30" i="4" s="1"/>
  <c r="AA29" i="1"/>
  <c r="AD15" i="4" s="1"/>
  <c r="AA247" i="1"/>
  <c r="H32" i="4" s="1"/>
  <c r="AA391" i="1"/>
  <c r="AF23" i="4" s="1"/>
  <c r="AA417" i="1"/>
  <c r="AB13" i="4" s="1"/>
  <c r="AA757" i="1"/>
  <c r="H30" i="4" s="1"/>
  <c r="AA250" i="1"/>
  <c r="K32" i="4" s="1"/>
  <c r="AA295" i="1"/>
  <c r="Z22" i="4" s="1"/>
  <c r="AA276" i="1"/>
  <c r="G22" i="4" s="1"/>
  <c r="AA528" i="1"/>
  <c r="S33" i="4" s="1"/>
  <c r="AA296" i="1"/>
  <c r="AA22" i="4" s="1"/>
  <c r="AA283" i="1"/>
  <c r="N22" i="4" s="1"/>
  <c r="AA318" i="1"/>
  <c r="S21" i="4" s="1"/>
  <c r="AA697" i="1"/>
  <c r="H29" i="4" s="1"/>
  <c r="AA422" i="1"/>
  <c r="AG13" i="4" s="1"/>
  <c r="AA778" i="1"/>
  <c r="AC30" i="4" s="1"/>
  <c r="AA271" i="1"/>
  <c r="AF32" i="4" s="1"/>
  <c r="AA407" i="1"/>
  <c r="R13" i="4" s="1"/>
  <c r="AA779" i="1"/>
  <c r="AD30" i="4" s="1"/>
  <c r="AA272" i="1"/>
  <c r="AG32" i="4" s="1"/>
  <c r="AA275" i="1"/>
  <c r="F22" i="4" s="1"/>
  <c r="AA644" i="1"/>
  <c r="O34" i="4" s="1"/>
  <c r="AA782" i="1"/>
  <c r="AG30" i="4" s="1"/>
  <c r="AA277" i="1"/>
  <c r="H22" i="4" s="1"/>
  <c r="AA751" i="1"/>
  <c r="AF28" i="4" s="1"/>
  <c r="AA281" i="1"/>
  <c r="L22" i="4" s="1"/>
  <c r="AA651" i="1"/>
  <c r="V34" i="4" s="1"/>
  <c r="AA415" i="1"/>
  <c r="Z13" i="4" s="1"/>
  <c r="AA758" i="1"/>
  <c r="I30" i="4" s="1"/>
  <c r="AA712" i="1"/>
  <c r="W29" i="4" s="1"/>
  <c r="AA205" i="1"/>
  <c r="Z26" i="4" s="1"/>
  <c r="AA365" i="1"/>
  <c r="F23" i="4" s="1"/>
  <c r="AA657" i="1"/>
  <c r="AB34" i="4" s="1"/>
  <c r="AA308" i="1"/>
  <c r="I21" i="4" s="1"/>
  <c r="AA388" i="1"/>
  <c r="AC23" i="4" s="1"/>
  <c r="AA328" i="1"/>
  <c r="AC21" i="4" s="1"/>
  <c r="AA314" i="1"/>
  <c r="O21" i="4" s="1"/>
  <c r="AA315" i="1"/>
  <c r="P21" i="4" s="1"/>
  <c r="AA652" i="1"/>
  <c r="W34" i="4" s="1"/>
  <c r="AA267" i="1"/>
  <c r="AB32" i="4" s="1"/>
  <c r="AA419" i="1"/>
  <c r="AD13" i="4" s="1"/>
  <c r="AA530" i="1"/>
  <c r="U33" i="4" s="1"/>
  <c r="AH783" i="1"/>
  <c r="AA366" i="1"/>
  <c r="G23" i="4" s="1"/>
  <c r="AA398" i="1"/>
  <c r="I13" i="4" s="1"/>
  <c r="AJ35" i="4"/>
  <c r="AA828" i="1"/>
  <c r="S31" i="4" s="1"/>
  <c r="AA291" i="1"/>
  <c r="V22" i="4" s="1"/>
  <c r="AA645" i="1"/>
  <c r="P34" i="4" s="1"/>
  <c r="AA774" i="1"/>
  <c r="Y30" i="4" s="1"/>
  <c r="AA204" i="1"/>
  <c r="Y26" i="4" s="1"/>
  <c r="AA289" i="1"/>
  <c r="T22" i="4" s="1"/>
  <c r="AA290" i="1"/>
  <c r="U22" i="4" s="1"/>
  <c r="AA812" i="1"/>
  <c r="AG35" i="4" s="1"/>
  <c r="AA11" i="1"/>
  <c r="L15" i="4" s="1"/>
  <c r="AA721" i="1"/>
  <c r="AF29" i="4" s="1"/>
  <c r="AA821" i="1"/>
  <c r="L31" i="4" s="1"/>
  <c r="AA313" i="1"/>
  <c r="N21" i="4" s="1"/>
  <c r="AA517" i="1"/>
  <c r="H33" i="4" s="1"/>
  <c r="AA825" i="1"/>
  <c r="P31" i="4" s="1"/>
  <c r="AA637" i="1"/>
  <c r="H34" i="4" s="1"/>
  <c r="AA538" i="1"/>
  <c r="AC33" i="4" s="1"/>
  <c r="AA268" i="1"/>
  <c r="AC32" i="4" s="1"/>
  <c r="AA761" i="1"/>
  <c r="L30" i="4" s="1"/>
  <c r="AA206" i="1"/>
  <c r="AA26" i="4" s="1"/>
  <c r="AA730" i="1"/>
  <c r="K28" i="4" s="1"/>
  <c r="AA207" i="1"/>
  <c r="AB26" i="4" s="1"/>
  <c r="AA539" i="1"/>
  <c r="AD33" i="4" s="1"/>
  <c r="AA731" i="1"/>
  <c r="L28" i="4" s="1"/>
  <c r="AA208" i="1"/>
  <c r="AC26" i="4" s="1"/>
  <c r="AA732" i="1"/>
  <c r="M28" i="4" s="1"/>
  <c r="AA7" i="1"/>
  <c r="H15" i="4" s="1"/>
  <c r="AA209" i="1"/>
  <c r="AD26" i="4" s="1"/>
  <c r="AA541" i="1"/>
  <c r="AF33" i="4" s="1"/>
  <c r="AA527" i="1"/>
  <c r="R33" i="4" s="1"/>
  <c r="AA662" i="1"/>
  <c r="AG34" i="4" s="1"/>
  <c r="AA741" i="1"/>
  <c r="V28" i="4" s="1"/>
  <c r="AA280" i="1"/>
  <c r="K22" i="4" s="1"/>
  <c r="AA755" i="1"/>
  <c r="F30" i="4" s="1"/>
  <c r="AA264" i="1"/>
  <c r="Y32" i="4" s="1"/>
  <c r="AA265" i="1"/>
  <c r="Z32" i="4" s="1"/>
  <c r="AA402" i="1"/>
  <c r="M13" i="4" s="1"/>
  <c r="AA842" i="1"/>
  <c r="AG31" i="4" s="1"/>
  <c r="AA302" i="1"/>
  <c r="AG22" i="4" s="1"/>
  <c r="AA254" i="1"/>
  <c r="O32" i="4" s="1"/>
  <c r="AA762" i="1"/>
  <c r="M30" i="4" s="1"/>
  <c r="AA255" i="1"/>
  <c r="P32" i="4" s="1"/>
  <c r="AA763" i="1"/>
  <c r="N30" i="4" s="1"/>
  <c r="AA384" i="1"/>
  <c r="Y23" i="4" s="1"/>
  <c r="AA764" i="1"/>
  <c r="O30" i="4" s="1"/>
  <c r="AA257" i="1"/>
  <c r="R32" i="4" s="1"/>
  <c r="AA259" i="1"/>
  <c r="T32" i="4" s="1"/>
  <c r="AA387" i="1"/>
  <c r="AB23" i="4" s="1"/>
  <c r="AA704" i="1"/>
  <c r="O29" i="4" s="1"/>
  <c r="AA647" i="1"/>
  <c r="R34" i="4" s="1"/>
  <c r="AA770" i="1"/>
  <c r="U30" i="4" s="1"/>
  <c r="AA772" i="1"/>
  <c r="W30" i="4" s="1"/>
  <c r="AA635" i="1"/>
  <c r="F34" i="4" s="1"/>
  <c r="AA266" i="1"/>
  <c r="AA32" i="4" s="1"/>
  <c r="AA742" i="1"/>
  <c r="W28" i="4" s="1"/>
  <c r="AA727" i="1"/>
  <c r="H28" i="4" s="1"/>
  <c r="AA696" i="1"/>
  <c r="G29" i="4" s="1"/>
  <c r="AA537" i="1"/>
  <c r="AB33" i="4" s="1"/>
  <c r="AA643" i="1"/>
  <c r="N34" i="4" s="1"/>
  <c r="AA781" i="1"/>
  <c r="AF30" i="4" s="1"/>
  <c r="AA26" i="1"/>
  <c r="AA15" i="4" s="1"/>
  <c r="AA372" i="1"/>
  <c r="M23" i="4" s="1"/>
  <c r="AA188" i="1"/>
  <c r="I26" i="4" s="1"/>
  <c r="AA656" i="1"/>
  <c r="AA34" i="4" s="1"/>
  <c r="AA411" i="1"/>
  <c r="V13" i="4" s="1"/>
  <c r="AA767" i="1"/>
  <c r="R30" i="4" s="1"/>
  <c r="AA836" i="1"/>
  <c r="AA31" i="4" s="1"/>
  <c r="AA705" i="1"/>
  <c r="P29" i="4" s="1"/>
  <c r="AA190" i="1"/>
  <c r="K26" i="4" s="1"/>
  <c r="AA416" i="1"/>
  <c r="AA13" i="4" s="1"/>
  <c r="AA396" i="1"/>
  <c r="G13" i="4" s="1"/>
  <c r="AA744" i="1"/>
  <c r="Y28" i="4" s="1"/>
  <c r="AA253" i="1"/>
  <c r="N32" i="4" s="1"/>
  <c r="AA405" i="1"/>
  <c r="P13" i="4" s="1"/>
  <c r="AA701" i="1"/>
  <c r="L29" i="4" s="1"/>
  <c r="AA194" i="1"/>
  <c r="O26" i="4" s="1"/>
  <c r="AA722" i="1"/>
  <c r="AG29" i="4" s="1"/>
  <c r="AA515" i="1"/>
  <c r="F33" i="4" s="1"/>
  <c r="AA707" i="1"/>
  <c r="R29" i="4" s="1"/>
  <c r="AA839" i="1"/>
  <c r="AD31" i="4" s="1"/>
  <c r="AA518" i="1"/>
  <c r="I33" i="4" s="1"/>
  <c r="AA301" i="1"/>
  <c r="AF22" i="4" s="1"/>
  <c r="AA252" i="1"/>
  <c r="M32" i="4" s="1"/>
  <c r="AA404" i="1"/>
  <c r="O13" i="4" s="1"/>
  <c r="AA745" i="1"/>
  <c r="Z28" i="4" s="1"/>
  <c r="AA829" i="1"/>
  <c r="T31" i="4" s="1"/>
  <c r="AA830" i="1"/>
  <c r="U31" i="4" s="1"/>
  <c r="AA191" i="1"/>
  <c r="L26" i="4" s="1"/>
  <c r="AA321" i="1"/>
  <c r="V21" i="4" s="1"/>
  <c r="AA715" i="1"/>
  <c r="Z29" i="4" s="1"/>
  <c r="AA831" i="1"/>
  <c r="V31" i="4" s="1"/>
  <c r="AA192" i="1"/>
  <c r="M26" i="4" s="1"/>
  <c r="AA322" i="1"/>
  <c r="W21" i="4" s="1"/>
  <c r="AA716" i="1"/>
  <c r="AA29" i="4" s="1"/>
  <c r="AA193" i="1"/>
  <c r="N26" i="4" s="1"/>
  <c r="AA718" i="1"/>
  <c r="AC29" i="4" s="1"/>
  <c r="AA211" i="1"/>
  <c r="AF26" i="4" s="1"/>
  <c r="AA325" i="1"/>
  <c r="Z21" i="4" s="1"/>
  <c r="AA768" i="1"/>
  <c r="S30" i="4" s="1"/>
  <c r="AA261" i="1"/>
  <c r="V32" i="4" s="1"/>
  <c r="AA838" i="1"/>
  <c r="AC31" i="4" s="1"/>
  <c r="AA532" i="1"/>
  <c r="W33" i="4" s="1"/>
  <c r="AA15" i="1"/>
  <c r="P15" i="4" s="1"/>
  <c r="AA377" i="1"/>
  <c r="R23" i="4" s="1"/>
  <c r="AA725" i="1"/>
  <c r="F28" i="4" s="1"/>
  <c r="AA332" i="1"/>
  <c r="AG21" i="4" s="1"/>
  <c r="AA832" i="1"/>
  <c r="W31" i="4" s="1"/>
  <c r="AA294" i="1"/>
  <c r="Y22" i="4" s="1"/>
  <c r="AA776" i="1"/>
  <c r="AA30" i="4" s="1"/>
  <c r="AA287" i="1"/>
  <c r="R22" i="4" s="1"/>
  <c r="AA5" i="1"/>
  <c r="F15" i="4" s="1"/>
  <c r="AA733" i="1"/>
  <c r="N28" i="4" s="1"/>
  <c r="AA24" i="1"/>
  <c r="Y15" i="4" s="1"/>
  <c r="AA386" i="1"/>
  <c r="AA23" i="4" s="1"/>
  <c r="AA25" i="1"/>
  <c r="Z15" i="4" s="1"/>
  <c r="AA719" i="1"/>
  <c r="AD29" i="4" s="1"/>
  <c r="AA13" i="1"/>
  <c r="N15" i="4" s="1"/>
  <c r="AA739" i="1"/>
  <c r="T28" i="4" s="1"/>
  <c r="AA248" i="1"/>
  <c r="I32" i="4" s="1"/>
  <c r="AA31" i="1"/>
  <c r="AF15" i="4" s="1"/>
  <c r="AA187" i="1"/>
  <c r="H26" i="4" s="1"/>
  <c r="AA726" i="1"/>
  <c r="G28" i="4" s="1"/>
  <c r="AA654" i="1"/>
  <c r="Y34" i="4" s="1"/>
  <c r="AA749" i="1"/>
  <c r="AD28" i="4" s="1"/>
  <c r="AA258" i="1"/>
  <c r="S32" i="4" s="1"/>
  <c r="AA414" i="1"/>
  <c r="Y13" i="4" s="1"/>
  <c r="AA319" i="1"/>
  <c r="T21" i="4" s="1"/>
  <c r="AA521" i="1"/>
  <c r="L33" i="4" s="1"/>
  <c r="AA410" i="1"/>
  <c r="U13" i="4" s="1"/>
  <c r="AA212" i="1"/>
  <c r="AG26" i="4" s="1"/>
  <c r="AA311" i="1"/>
  <c r="L21" i="4" s="1"/>
  <c r="AA282" i="1"/>
  <c r="M22" i="4" s="1"/>
  <c r="AA17" i="1"/>
  <c r="R15" i="4" s="1"/>
  <c r="AA379" i="1"/>
  <c r="T23" i="4" s="1"/>
  <c r="AA714" i="1"/>
  <c r="Y29" i="4" s="1"/>
  <c r="AA195" i="1"/>
  <c r="P26" i="4" s="1"/>
  <c r="AA278" i="1"/>
  <c r="I22" i="4" s="1"/>
  <c r="AA835" i="1"/>
  <c r="Z31" i="4" s="1"/>
  <c r="AA284" i="1"/>
  <c r="O22" i="4" s="1"/>
  <c r="AA246" i="1"/>
  <c r="G32" i="4" s="1"/>
  <c r="AA738" i="1"/>
  <c r="S28" i="4" s="1"/>
  <c r="AA638" i="1"/>
  <c r="I34" i="4" s="1"/>
  <c r="AA262" i="1"/>
  <c r="W32" i="4" s="1"/>
  <c r="AA392" i="1"/>
  <c r="AG23" i="4" s="1"/>
  <c r="AA326" i="1"/>
  <c r="AA21" i="4" s="1"/>
  <c r="AA19" i="1"/>
  <c r="T15" i="4" s="1"/>
  <c r="AA824" i="1"/>
  <c r="O31" i="4" s="1"/>
  <c r="AA771" i="1"/>
  <c r="V30" i="4" s="1"/>
  <c r="AA418" i="1"/>
  <c r="AC13" i="4" s="1"/>
  <c r="AA408" i="1"/>
  <c r="S13" i="4" s="1"/>
  <c r="AA409" i="1"/>
  <c r="T13" i="4" s="1"/>
  <c r="AA395" i="1"/>
  <c r="F13" i="4" s="1"/>
  <c r="AA820" i="1"/>
  <c r="K31" i="4" s="1"/>
  <c r="AA520" i="1"/>
  <c r="K33" i="4" s="1"/>
  <c r="AA288" i="1"/>
  <c r="S22" i="4" s="1"/>
  <c r="AA297" i="1"/>
  <c r="AB22" i="4" s="1"/>
  <c r="AA307" i="1"/>
  <c r="H21" i="4" s="1"/>
  <c r="AA775" i="1"/>
  <c r="Z30" i="4" s="1"/>
  <c r="AH462" i="1"/>
  <c r="AH220" i="1"/>
  <c r="AH552" i="1"/>
  <c r="AH237" i="1"/>
  <c r="AH601" i="1"/>
  <c r="AH158" i="1"/>
  <c r="AH161" i="1"/>
  <c r="AH679" i="1"/>
  <c r="AH178" i="1"/>
  <c r="AH502" i="1"/>
  <c r="AH463" i="1"/>
  <c r="AH626" i="1"/>
  <c r="AH507" i="1"/>
  <c r="AH685" i="1"/>
  <c r="AH688" i="1"/>
  <c r="AH451" i="1"/>
  <c r="AH670" i="1"/>
  <c r="AH347" i="1"/>
  <c r="AH455" i="1"/>
  <c r="AH553" i="1"/>
  <c r="AH116" i="1"/>
  <c r="AH439" i="1"/>
  <c r="AH134" i="1"/>
  <c r="AH460" i="1"/>
  <c r="AH163" i="1"/>
  <c r="AH182" i="1"/>
  <c r="AH678" i="1"/>
  <c r="AH686" i="1"/>
  <c r="AH672" i="1"/>
  <c r="AH51" i="1"/>
  <c r="AH336" i="1"/>
  <c r="AH356" i="1"/>
  <c r="AH487" i="1"/>
  <c r="AH681" i="1"/>
  <c r="AH122" i="1"/>
  <c r="AH43" i="1"/>
  <c r="AH545" i="1"/>
  <c r="AH345" i="1"/>
  <c r="AH362" i="1"/>
  <c r="AH145" i="1"/>
  <c r="AH576" i="1"/>
  <c r="AH592" i="1"/>
  <c r="AH508" i="1"/>
  <c r="AH175" i="1"/>
  <c r="AH177" i="1"/>
  <c r="AH501" i="1"/>
  <c r="AH50" i="1"/>
  <c r="AH352" i="1"/>
  <c r="AH355" i="1"/>
  <c r="AH138" i="1"/>
  <c r="AH428" i="1"/>
  <c r="AH59" i="1"/>
  <c r="AH561" i="1"/>
  <c r="AH546" i="1"/>
  <c r="AH361" i="1"/>
  <c r="AH216" i="1"/>
  <c r="AH217" i="1"/>
  <c r="AH565" i="1"/>
  <c r="AH155" i="1"/>
  <c r="AH689" i="1"/>
  <c r="AH221" i="1"/>
  <c r="AH475" i="1"/>
  <c r="AH162" i="1"/>
  <c r="AH66" i="1"/>
  <c r="AH337" i="1"/>
  <c r="AH338" i="1"/>
  <c r="AH227" i="1"/>
  <c r="AH341" i="1"/>
  <c r="AH444" i="1"/>
  <c r="AH75" i="1"/>
  <c r="AH577" i="1"/>
  <c r="AH562" i="1"/>
  <c r="AH215" i="1"/>
  <c r="AH548" i="1"/>
  <c r="AH581" i="1"/>
  <c r="AH348" i="1"/>
  <c r="AH171" i="1"/>
  <c r="AH511" i="1"/>
  <c r="AH458" i="1"/>
  <c r="AH118" i="1"/>
  <c r="AH440" i="1"/>
  <c r="AH441" i="1"/>
  <c r="AH343" i="1"/>
  <c r="AH610" i="1"/>
  <c r="AH340" i="1"/>
  <c r="AH437" i="1"/>
  <c r="AH354" i="1"/>
  <c r="AH357" i="1"/>
  <c r="AH578" i="1"/>
  <c r="AH547" i="1"/>
  <c r="AH564" i="1"/>
  <c r="AH597" i="1"/>
  <c r="AH550" i="1"/>
  <c r="AH132" i="1"/>
  <c r="AH479" i="1"/>
  <c r="AH98" i="1"/>
  <c r="AH115" i="1"/>
  <c r="AH457" i="1"/>
  <c r="AH222" i="1"/>
  <c r="AH223" i="1"/>
  <c r="AH555" i="1"/>
  <c r="AH225" i="1"/>
  <c r="AH242" i="1"/>
  <c r="AH666" i="1"/>
  <c r="AH107" i="1"/>
  <c r="AH611" i="1"/>
  <c r="AH594" i="1"/>
  <c r="AH580" i="1"/>
  <c r="AH47" i="1"/>
  <c r="AH615" i="1"/>
  <c r="AH48" i="1"/>
  <c r="AH566" i="1"/>
  <c r="AH349" i="1"/>
  <c r="AH137" i="1"/>
  <c r="AH141" i="1"/>
  <c r="AH467" i="1"/>
  <c r="AH168" i="1"/>
  <c r="AH169" i="1"/>
  <c r="AH148" i="1"/>
  <c r="AH149" i="1"/>
  <c r="AH477" i="1"/>
  <c r="AH680" i="1"/>
  <c r="AH114" i="1"/>
  <c r="AH452" i="1"/>
  <c r="AH131" i="1"/>
  <c r="AH238" i="1"/>
  <c r="AH571" i="1"/>
  <c r="AH572" i="1"/>
  <c r="AH241" i="1"/>
  <c r="AH40" i="1"/>
  <c r="AH590" i="1"/>
  <c r="AH41" i="1"/>
  <c r="AH559" i="1"/>
  <c r="AH488" i="1"/>
  <c r="AH682" i="1"/>
  <c r="AH627" i="1"/>
  <c r="AH612" i="1"/>
  <c r="AH596" i="1"/>
  <c r="AH631" i="1"/>
  <c r="AH582" i="1"/>
  <c r="AH135" i="1"/>
  <c r="AH58" i="1"/>
  <c r="AH229" i="1"/>
  <c r="AH130" i="1"/>
  <c r="AH456" i="1"/>
  <c r="AH147" i="1"/>
  <c r="AH497" i="1"/>
  <c r="AH675" i="1"/>
  <c r="AH36" i="1"/>
  <c r="AH37" i="1"/>
  <c r="AH589" i="1"/>
  <c r="AH56" i="1"/>
  <c r="AH608" i="1"/>
  <c r="AH57" i="1"/>
  <c r="AH575" i="1"/>
  <c r="AH504" i="1"/>
  <c r="AH139" i="1"/>
  <c r="AH445" i="1"/>
  <c r="AH628" i="1"/>
  <c r="AH595" i="1"/>
  <c r="AH62" i="1"/>
  <c r="AH614" i="1"/>
  <c r="AH433" i="1"/>
  <c r="AH598" i="1"/>
  <c r="AH684" i="1"/>
  <c r="AH359" i="1"/>
  <c r="AH692" i="1"/>
  <c r="AH486" i="1"/>
  <c r="AH236" i="1"/>
  <c r="AH568" i="1"/>
  <c r="AH35" i="1"/>
  <c r="AH176" i="1"/>
  <c r="AH665" i="1"/>
  <c r="AH146" i="1"/>
  <c r="AH472" i="1"/>
  <c r="AH674" i="1"/>
  <c r="AH157" i="1"/>
  <c r="AH691" i="1"/>
  <c r="AH52" i="1"/>
  <c r="AH620" i="1"/>
  <c r="AH605" i="1"/>
  <c r="AH606" i="1"/>
  <c r="AH55" i="1"/>
  <c r="AH73" i="1"/>
  <c r="AH165" i="1"/>
  <c r="AH465" i="1"/>
  <c r="AH430" i="1"/>
  <c r="AH61" i="1"/>
  <c r="AH613" i="1"/>
  <c r="AH95" i="1"/>
  <c r="AH96" i="1"/>
  <c r="AH551" i="1"/>
  <c r="AH427" i="1"/>
  <c r="AH506" i="1"/>
  <c r="AH470" i="1"/>
  <c r="AH498" i="1"/>
  <c r="AH494" i="1"/>
  <c r="AH156" i="1"/>
  <c r="AH622" i="1"/>
  <c r="AH358" i="1"/>
  <c r="AH181" i="1"/>
  <c r="AH481" i="1"/>
  <c r="AH667" i="1"/>
  <c r="AH108" i="1"/>
  <c r="AH446" i="1"/>
  <c r="AH77" i="1"/>
  <c r="AH629" i="1"/>
  <c r="AH111" i="1"/>
  <c r="AH112" i="1"/>
  <c r="AH632" i="1"/>
  <c r="AH235" i="1"/>
  <c r="AH567" i="1"/>
  <c r="AH350" i="1"/>
  <c r="AH492" i="1"/>
  <c r="AH170" i="1"/>
  <c r="AH491" i="1"/>
  <c r="AH435" i="1"/>
  <c r="AH512" i="1"/>
  <c r="AH335" i="1"/>
  <c r="AH87" i="1"/>
  <c r="AH104" i="1"/>
  <c r="AH426" i="1"/>
  <c r="AH105" i="1"/>
  <c r="AF625" i="1"/>
  <c r="AA625" i="1" s="1"/>
  <c r="Z6" i="4" s="1"/>
  <c r="AH228" i="1"/>
  <c r="AH110" i="1"/>
  <c r="AH432" i="1"/>
  <c r="AH469" i="1"/>
  <c r="AH128" i="1"/>
  <c r="AH42" i="1"/>
  <c r="AH490" i="1"/>
  <c r="AH569" i="1"/>
  <c r="AH474" i="1"/>
  <c r="AH133" i="1"/>
  <c r="AH677" i="1"/>
  <c r="AH476" i="1"/>
  <c r="AH97" i="1"/>
  <c r="AH499" i="1"/>
  <c r="AH351" i="1"/>
  <c r="AH100" i="1"/>
  <c r="AH438" i="1"/>
  <c r="AH101" i="1"/>
  <c r="AH102" i="1"/>
  <c r="AH103" i="1"/>
  <c r="AH425" i="1"/>
  <c r="AH121" i="1"/>
  <c r="AH560" i="1"/>
  <c r="AH505" i="1"/>
  <c r="AH140" i="1"/>
  <c r="AH668" i="1"/>
  <c r="AH109" i="1"/>
  <c r="AH431" i="1"/>
  <c r="AH448" i="1"/>
  <c r="AH493" i="1"/>
  <c r="AH671" i="1"/>
  <c r="AH144" i="1"/>
  <c r="AH49" i="1"/>
  <c r="AH117" i="1"/>
  <c r="AH119" i="1"/>
  <c r="AH125" i="1"/>
  <c r="AH447" i="1"/>
  <c r="AH142" i="1"/>
  <c r="AH468" i="1"/>
  <c r="AH687" i="1"/>
  <c r="AH617" i="1"/>
  <c r="AJ9" i="4"/>
  <c r="AJ33" i="4"/>
  <c r="AF753" i="1"/>
  <c r="AH753" i="1" s="1"/>
  <c r="AF723" i="1"/>
  <c r="AJ20" i="4"/>
  <c r="AF558" i="1"/>
  <c r="AA558" i="1" s="1"/>
  <c r="S24" i="4" s="1"/>
  <c r="AP18" i="4"/>
  <c r="AF603" i="1"/>
  <c r="AF183" i="1"/>
  <c r="AJ8" i="4"/>
  <c r="AJ19" i="4"/>
  <c r="AF243" i="1"/>
  <c r="AF543" i="1"/>
  <c r="AJ26" i="4"/>
  <c r="AF573" i="1"/>
  <c r="AF123" i="1"/>
  <c r="AF63" i="1"/>
  <c r="AF303" i="1"/>
  <c r="AF363" i="1"/>
  <c r="AH363" i="1" s="1"/>
  <c r="AF393" i="1"/>
  <c r="AH393" i="1" s="1"/>
  <c r="AF453" i="1"/>
  <c r="AF93" i="1"/>
  <c r="AF33" i="1"/>
  <c r="AF423" i="1"/>
  <c r="AF633" i="1"/>
  <c r="AH633" i="1" s="1"/>
  <c r="AP22" i="4"/>
  <c r="AF213" i="1"/>
  <c r="AP9" i="4"/>
  <c r="AJ18" i="4"/>
  <c r="AF3" i="1"/>
  <c r="AH3" i="1" s="1"/>
  <c r="AF513" i="1"/>
  <c r="AF663" i="1"/>
  <c r="AP29" i="4"/>
  <c r="AF813" i="1"/>
  <c r="AH813" i="1" s="1"/>
  <c r="AF483" i="1"/>
  <c r="AJ21" i="4"/>
  <c r="AJ7" i="4"/>
  <c r="AJ32" i="4"/>
  <c r="AJ11" i="4"/>
  <c r="AJ25" i="4"/>
  <c r="AJ23" i="4"/>
  <c r="AJ17" i="4"/>
  <c r="AJ13" i="4"/>
  <c r="AJ10" i="4"/>
  <c r="AJ24" i="4"/>
  <c r="AJ31" i="4"/>
  <c r="AJ30" i="4"/>
  <c r="AJ29" i="4"/>
  <c r="AJ22" i="4"/>
  <c r="AJ34" i="4"/>
  <c r="AJ12" i="4"/>
  <c r="AJ16" i="4"/>
  <c r="G3" i="4"/>
  <c r="AG3" i="1"/>
  <c r="AG12" i="1"/>
  <c r="AA12" i="1" s="1"/>
  <c r="M15" i="4" s="1"/>
  <c r="AG10" i="1"/>
  <c r="AA10" i="1" s="1"/>
  <c r="K15" i="4" s="1"/>
  <c r="AG18" i="1"/>
  <c r="AA18" i="1" s="1"/>
  <c r="S15" i="4" s="1"/>
  <c r="AN33" i="4" l="1" a="1"/>
  <c r="AN33" i="4" s="1"/>
  <c r="AN32" i="4" a="1"/>
  <c r="AN32" i="4" s="1"/>
  <c r="AN28" i="4" a="1"/>
  <c r="AN28" i="4" s="1"/>
  <c r="AP11" i="4"/>
  <c r="AH483" i="1"/>
  <c r="AP25" i="4"/>
  <c r="AH663" i="1"/>
  <c r="AP19" i="4"/>
  <c r="AH63" i="1"/>
  <c r="AH558" i="1"/>
  <c r="AP21" i="4"/>
  <c r="AH303" i="1"/>
  <c r="AP33" i="4"/>
  <c r="AH513" i="1"/>
  <c r="AP10" i="4"/>
  <c r="AH423" i="1"/>
  <c r="AP17" i="4"/>
  <c r="AH123" i="1"/>
  <c r="AP8" i="4"/>
  <c r="AH213" i="1"/>
  <c r="AP26" i="4"/>
  <c r="AH183" i="1"/>
  <c r="AH33" i="1"/>
  <c r="AP12" i="4"/>
  <c r="AH573" i="1"/>
  <c r="AP28" i="4"/>
  <c r="AH723" i="1"/>
  <c r="AP6" i="4"/>
  <c r="AH603" i="1"/>
  <c r="AP16" i="4"/>
  <c r="AH93" i="1"/>
  <c r="AP24" i="4"/>
  <c r="AH543" i="1"/>
  <c r="AP7" i="4"/>
  <c r="AH453" i="1"/>
  <c r="AP32" i="4"/>
  <c r="AH243" i="1"/>
  <c r="H3" i="4"/>
  <c r="I3" i="4" l="1"/>
  <c r="T4" i="1"/>
  <c r="V4" i="1"/>
  <c r="T5" i="1"/>
  <c r="V5" i="1"/>
  <c r="T6" i="1"/>
  <c r="V6" i="1"/>
  <c r="T7" i="1"/>
  <c r="V7" i="1"/>
  <c r="T8" i="1"/>
  <c r="V8" i="1"/>
  <c r="T9" i="1"/>
  <c r="V9" i="1"/>
  <c r="T10" i="1"/>
  <c r="V10" i="1"/>
  <c r="T11" i="1"/>
  <c r="V11" i="1"/>
  <c r="T12" i="1"/>
  <c r="V12" i="1"/>
  <c r="T13" i="1"/>
  <c r="V13" i="1"/>
  <c r="T14" i="1"/>
  <c r="V14" i="1"/>
  <c r="T15" i="1"/>
  <c r="V15" i="1"/>
  <c r="T16" i="1"/>
  <c r="V16" i="1"/>
  <c r="T17" i="1"/>
  <c r="V17" i="1"/>
  <c r="T18" i="1"/>
  <c r="V18" i="1"/>
  <c r="T19" i="1"/>
  <c r="V19" i="1"/>
  <c r="T20" i="1"/>
  <c r="V20" i="1"/>
  <c r="T21" i="1"/>
  <c r="V21" i="1"/>
  <c r="T22" i="1"/>
  <c r="V22" i="1"/>
  <c r="T23" i="1"/>
  <c r="V23" i="1"/>
  <c r="T24" i="1"/>
  <c r="V24" i="1"/>
  <c r="T25" i="1"/>
  <c r="V25" i="1"/>
  <c r="T26" i="1"/>
  <c r="V26" i="1"/>
  <c r="T27" i="1"/>
  <c r="V27" i="1"/>
  <c r="T28" i="1"/>
  <c r="V28" i="1"/>
  <c r="T29" i="1"/>
  <c r="V29" i="1"/>
  <c r="T30" i="1"/>
  <c r="V30" i="1"/>
  <c r="T31" i="1"/>
  <c r="V31" i="1"/>
  <c r="T32" i="1"/>
  <c r="V32" i="1"/>
  <c r="T33" i="1"/>
  <c r="V33" i="1"/>
  <c r="T34" i="1"/>
  <c r="V34" i="1"/>
  <c r="T35" i="1"/>
  <c r="V35" i="1"/>
  <c r="T36" i="1"/>
  <c r="V36" i="1"/>
  <c r="T37" i="1"/>
  <c r="V37" i="1"/>
  <c r="T38" i="1"/>
  <c r="V38" i="1"/>
  <c r="T39" i="1"/>
  <c r="V39" i="1"/>
  <c r="T40" i="1"/>
  <c r="V40" i="1"/>
  <c r="T41" i="1"/>
  <c r="V41" i="1"/>
  <c r="T42" i="1"/>
  <c r="V42" i="1"/>
  <c r="T43" i="1"/>
  <c r="V43" i="1"/>
  <c r="T44" i="1"/>
  <c r="V44" i="1"/>
  <c r="T45" i="1"/>
  <c r="V45" i="1"/>
  <c r="T46" i="1"/>
  <c r="V46" i="1"/>
  <c r="T47" i="1"/>
  <c r="V47" i="1"/>
  <c r="T48" i="1"/>
  <c r="V48" i="1"/>
  <c r="T49" i="1"/>
  <c r="V49" i="1"/>
  <c r="T50" i="1"/>
  <c r="V50" i="1"/>
  <c r="T51" i="1"/>
  <c r="V51" i="1"/>
  <c r="T52" i="1"/>
  <c r="V52" i="1"/>
  <c r="T53" i="1"/>
  <c r="V53" i="1"/>
  <c r="T54" i="1"/>
  <c r="V54" i="1"/>
  <c r="T55" i="1"/>
  <c r="V55" i="1"/>
  <c r="T56" i="1"/>
  <c r="V56" i="1"/>
  <c r="T57" i="1"/>
  <c r="V57" i="1"/>
  <c r="T58" i="1"/>
  <c r="V58" i="1"/>
  <c r="T59" i="1"/>
  <c r="V59" i="1"/>
  <c r="T60" i="1"/>
  <c r="V60" i="1"/>
  <c r="T61" i="1"/>
  <c r="V61" i="1"/>
  <c r="T62" i="1"/>
  <c r="V62" i="1"/>
  <c r="T63" i="1"/>
  <c r="V63" i="1"/>
  <c r="T64" i="1"/>
  <c r="V64" i="1"/>
  <c r="T65" i="1"/>
  <c r="V65" i="1"/>
  <c r="T66" i="1"/>
  <c r="V66" i="1"/>
  <c r="T67" i="1"/>
  <c r="V67" i="1"/>
  <c r="T68" i="1"/>
  <c r="V68" i="1"/>
  <c r="T69" i="1"/>
  <c r="V69" i="1"/>
  <c r="T70" i="1"/>
  <c r="V70" i="1"/>
  <c r="T71" i="1"/>
  <c r="V71" i="1"/>
  <c r="T72" i="1"/>
  <c r="V72" i="1"/>
  <c r="T73" i="1"/>
  <c r="V73" i="1"/>
  <c r="T74" i="1"/>
  <c r="V74" i="1"/>
  <c r="T75" i="1"/>
  <c r="V75" i="1"/>
  <c r="T76" i="1"/>
  <c r="V76" i="1"/>
  <c r="T77" i="1"/>
  <c r="V77" i="1"/>
  <c r="T78" i="1"/>
  <c r="V78" i="1"/>
  <c r="T79" i="1"/>
  <c r="V79" i="1"/>
  <c r="T80" i="1"/>
  <c r="V80" i="1"/>
  <c r="T81" i="1"/>
  <c r="V81" i="1"/>
  <c r="T82" i="1"/>
  <c r="V82" i="1"/>
  <c r="T83" i="1"/>
  <c r="V83" i="1"/>
  <c r="T84" i="1"/>
  <c r="V84" i="1"/>
  <c r="T85" i="1"/>
  <c r="V85" i="1"/>
  <c r="T86" i="1"/>
  <c r="V86" i="1"/>
  <c r="T87" i="1"/>
  <c r="V87" i="1"/>
  <c r="T88" i="1"/>
  <c r="V88" i="1"/>
  <c r="T89" i="1"/>
  <c r="V89" i="1"/>
  <c r="T90" i="1"/>
  <c r="V90" i="1"/>
  <c r="T91" i="1"/>
  <c r="V91" i="1"/>
  <c r="T92" i="1"/>
  <c r="V92" i="1"/>
  <c r="T93" i="1"/>
  <c r="V93" i="1"/>
  <c r="T94" i="1"/>
  <c r="V94" i="1"/>
  <c r="T95" i="1"/>
  <c r="V95" i="1"/>
  <c r="T96" i="1"/>
  <c r="V96" i="1"/>
  <c r="T97" i="1"/>
  <c r="V97" i="1"/>
  <c r="T98" i="1"/>
  <c r="V98" i="1"/>
  <c r="T99" i="1"/>
  <c r="V99" i="1"/>
  <c r="T100" i="1"/>
  <c r="V100" i="1"/>
  <c r="T101" i="1"/>
  <c r="V101" i="1"/>
  <c r="T102" i="1"/>
  <c r="V102" i="1"/>
  <c r="T103" i="1"/>
  <c r="V103" i="1"/>
  <c r="T104" i="1"/>
  <c r="V104" i="1"/>
  <c r="T105" i="1"/>
  <c r="V105" i="1"/>
  <c r="T106" i="1"/>
  <c r="V106" i="1"/>
  <c r="T107" i="1"/>
  <c r="V107" i="1"/>
  <c r="T108" i="1"/>
  <c r="V108" i="1"/>
  <c r="T109" i="1"/>
  <c r="V109" i="1"/>
  <c r="T110" i="1"/>
  <c r="V110" i="1"/>
  <c r="T111" i="1"/>
  <c r="V111" i="1"/>
  <c r="T112" i="1"/>
  <c r="V112" i="1"/>
  <c r="T113" i="1"/>
  <c r="V113" i="1"/>
  <c r="T114" i="1"/>
  <c r="V114" i="1"/>
  <c r="T115" i="1"/>
  <c r="V115" i="1"/>
  <c r="T116" i="1"/>
  <c r="V116" i="1"/>
  <c r="T117" i="1"/>
  <c r="V117" i="1"/>
  <c r="T118" i="1"/>
  <c r="V118" i="1"/>
  <c r="T119" i="1"/>
  <c r="V119" i="1"/>
  <c r="T120" i="1"/>
  <c r="V120" i="1"/>
  <c r="T121" i="1"/>
  <c r="V121" i="1"/>
  <c r="T122" i="1"/>
  <c r="V122" i="1"/>
  <c r="T123" i="1"/>
  <c r="V123" i="1"/>
  <c r="T124" i="1"/>
  <c r="V124" i="1"/>
  <c r="T125" i="1"/>
  <c r="V125" i="1"/>
  <c r="T126" i="1"/>
  <c r="V126" i="1"/>
  <c r="T127" i="1"/>
  <c r="V127" i="1"/>
  <c r="T128" i="1"/>
  <c r="V128" i="1"/>
  <c r="T129" i="1"/>
  <c r="V129" i="1"/>
  <c r="T130" i="1"/>
  <c r="V130" i="1"/>
  <c r="T131" i="1"/>
  <c r="V131" i="1"/>
  <c r="T132" i="1"/>
  <c r="V132" i="1"/>
  <c r="T133" i="1"/>
  <c r="V133" i="1"/>
  <c r="T134" i="1"/>
  <c r="V134" i="1"/>
  <c r="T135" i="1"/>
  <c r="V135" i="1"/>
  <c r="T136" i="1"/>
  <c r="V136" i="1"/>
  <c r="T137" i="1"/>
  <c r="V137" i="1"/>
  <c r="T138" i="1"/>
  <c r="V138" i="1"/>
  <c r="T139" i="1"/>
  <c r="V139" i="1"/>
  <c r="T140" i="1"/>
  <c r="V140" i="1"/>
  <c r="T141" i="1"/>
  <c r="V141" i="1"/>
  <c r="T142" i="1"/>
  <c r="V142" i="1"/>
  <c r="T143" i="1"/>
  <c r="V143" i="1"/>
  <c r="T144" i="1"/>
  <c r="V144" i="1"/>
  <c r="T145" i="1"/>
  <c r="V145" i="1"/>
  <c r="T146" i="1"/>
  <c r="V146" i="1"/>
  <c r="T147" i="1"/>
  <c r="V147" i="1"/>
  <c r="T148" i="1"/>
  <c r="V148" i="1"/>
  <c r="T149" i="1"/>
  <c r="V149" i="1"/>
  <c r="T150" i="1"/>
  <c r="V150" i="1"/>
  <c r="T151" i="1"/>
  <c r="V151" i="1"/>
  <c r="T152" i="1"/>
  <c r="V152" i="1"/>
  <c r="T153" i="1"/>
  <c r="V153" i="1"/>
  <c r="T154" i="1"/>
  <c r="V154" i="1"/>
  <c r="T155" i="1"/>
  <c r="V155" i="1"/>
  <c r="T156" i="1"/>
  <c r="V156" i="1"/>
  <c r="T157" i="1"/>
  <c r="V157" i="1"/>
  <c r="T158" i="1"/>
  <c r="V158" i="1"/>
  <c r="T159" i="1"/>
  <c r="V159" i="1"/>
  <c r="T160" i="1"/>
  <c r="V160" i="1"/>
  <c r="T161" i="1"/>
  <c r="V161" i="1"/>
  <c r="T162" i="1"/>
  <c r="V162" i="1"/>
  <c r="T163" i="1"/>
  <c r="V163" i="1"/>
  <c r="T164" i="1"/>
  <c r="V164" i="1"/>
  <c r="T165" i="1"/>
  <c r="V165" i="1"/>
  <c r="T166" i="1"/>
  <c r="V166" i="1"/>
  <c r="T167" i="1"/>
  <c r="V167" i="1"/>
  <c r="T168" i="1"/>
  <c r="V168" i="1"/>
  <c r="T169" i="1"/>
  <c r="V169" i="1"/>
  <c r="T170" i="1"/>
  <c r="V170" i="1"/>
  <c r="T171" i="1"/>
  <c r="V171" i="1"/>
  <c r="T172" i="1"/>
  <c r="V172" i="1"/>
  <c r="T173" i="1"/>
  <c r="V173" i="1"/>
  <c r="T174" i="1"/>
  <c r="V174" i="1"/>
  <c r="T175" i="1"/>
  <c r="V175" i="1"/>
  <c r="T176" i="1"/>
  <c r="V176" i="1"/>
  <c r="T177" i="1"/>
  <c r="V177" i="1"/>
  <c r="T178" i="1"/>
  <c r="V178" i="1"/>
  <c r="T179" i="1"/>
  <c r="V179" i="1"/>
  <c r="T180" i="1"/>
  <c r="V180" i="1"/>
  <c r="T181" i="1"/>
  <c r="V181" i="1"/>
  <c r="T182" i="1"/>
  <c r="V182" i="1"/>
  <c r="T183" i="1"/>
  <c r="V183" i="1"/>
  <c r="T184" i="1"/>
  <c r="V184" i="1"/>
  <c r="T185" i="1"/>
  <c r="V185" i="1"/>
  <c r="T186" i="1"/>
  <c r="V186" i="1"/>
  <c r="T187" i="1"/>
  <c r="V187" i="1"/>
  <c r="T188" i="1"/>
  <c r="V188" i="1"/>
  <c r="T189" i="1"/>
  <c r="V189" i="1"/>
  <c r="T190" i="1"/>
  <c r="V190" i="1"/>
  <c r="T191" i="1"/>
  <c r="V191" i="1"/>
  <c r="T192" i="1"/>
  <c r="V192" i="1"/>
  <c r="T193" i="1"/>
  <c r="V193" i="1"/>
  <c r="T194" i="1"/>
  <c r="V194" i="1"/>
  <c r="T195" i="1"/>
  <c r="V195" i="1"/>
  <c r="T196" i="1"/>
  <c r="V196" i="1"/>
  <c r="T197" i="1"/>
  <c r="V197" i="1"/>
  <c r="T198" i="1"/>
  <c r="V198" i="1"/>
  <c r="T199" i="1"/>
  <c r="V199" i="1"/>
  <c r="T200" i="1"/>
  <c r="V200" i="1"/>
  <c r="T201" i="1"/>
  <c r="V201" i="1"/>
  <c r="T202" i="1"/>
  <c r="V202" i="1"/>
  <c r="T203" i="1"/>
  <c r="V203" i="1"/>
  <c r="T204" i="1"/>
  <c r="V204" i="1"/>
  <c r="T205" i="1"/>
  <c r="V205" i="1"/>
  <c r="T206" i="1"/>
  <c r="V206" i="1"/>
  <c r="T207" i="1"/>
  <c r="V207" i="1"/>
  <c r="T208" i="1"/>
  <c r="V208" i="1"/>
  <c r="T209" i="1"/>
  <c r="V209" i="1"/>
  <c r="T210" i="1"/>
  <c r="V210" i="1"/>
  <c r="T211" i="1"/>
  <c r="V211" i="1"/>
  <c r="T212" i="1"/>
  <c r="V212" i="1"/>
  <c r="T213" i="1"/>
  <c r="V213" i="1"/>
  <c r="T214" i="1"/>
  <c r="V214" i="1"/>
  <c r="T215" i="1"/>
  <c r="V215" i="1"/>
  <c r="T216" i="1"/>
  <c r="V216" i="1"/>
  <c r="T217" i="1"/>
  <c r="V217" i="1"/>
  <c r="T218" i="1"/>
  <c r="V218" i="1"/>
  <c r="T219" i="1"/>
  <c r="V219" i="1"/>
  <c r="T220" i="1"/>
  <c r="V220" i="1"/>
  <c r="T221" i="1"/>
  <c r="V221" i="1"/>
  <c r="T222" i="1"/>
  <c r="V222" i="1"/>
  <c r="T223" i="1"/>
  <c r="V223" i="1"/>
  <c r="T224" i="1"/>
  <c r="V224" i="1"/>
  <c r="T225" i="1"/>
  <c r="V225" i="1"/>
  <c r="T226" i="1"/>
  <c r="V226" i="1"/>
  <c r="T227" i="1"/>
  <c r="V227" i="1"/>
  <c r="T228" i="1"/>
  <c r="V228" i="1"/>
  <c r="T229" i="1"/>
  <c r="V229" i="1"/>
  <c r="T230" i="1"/>
  <c r="V230" i="1"/>
  <c r="T231" i="1"/>
  <c r="V231" i="1"/>
  <c r="T232" i="1"/>
  <c r="V232" i="1"/>
  <c r="T233" i="1"/>
  <c r="V233" i="1"/>
  <c r="T234" i="1"/>
  <c r="V234" i="1"/>
  <c r="T235" i="1"/>
  <c r="V235" i="1"/>
  <c r="T236" i="1"/>
  <c r="V236" i="1"/>
  <c r="T237" i="1"/>
  <c r="V237" i="1"/>
  <c r="T238" i="1"/>
  <c r="V238" i="1"/>
  <c r="T239" i="1"/>
  <c r="V239" i="1"/>
  <c r="T240" i="1"/>
  <c r="V240" i="1"/>
  <c r="T241" i="1"/>
  <c r="V241" i="1"/>
  <c r="T242" i="1"/>
  <c r="V242" i="1"/>
  <c r="T243" i="1"/>
  <c r="V243" i="1"/>
  <c r="T244" i="1"/>
  <c r="V244" i="1"/>
  <c r="T245" i="1"/>
  <c r="V245" i="1"/>
  <c r="T246" i="1"/>
  <c r="V246" i="1"/>
  <c r="T247" i="1"/>
  <c r="V247" i="1"/>
  <c r="T248" i="1"/>
  <c r="V248" i="1"/>
  <c r="T249" i="1"/>
  <c r="V249" i="1"/>
  <c r="T250" i="1"/>
  <c r="V250" i="1"/>
  <c r="T251" i="1"/>
  <c r="V251" i="1"/>
  <c r="T252" i="1"/>
  <c r="V252" i="1"/>
  <c r="T253" i="1"/>
  <c r="V253" i="1"/>
  <c r="T254" i="1"/>
  <c r="V254" i="1"/>
  <c r="T255" i="1"/>
  <c r="V255" i="1"/>
  <c r="T256" i="1"/>
  <c r="V256" i="1"/>
  <c r="T257" i="1"/>
  <c r="V257" i="1"/>
  <c r="T258" i="1"/>
  <c r="V258" i="1"/>
  <c r="T259" i="1"/>
  <c r="V259" i="1"/>
  <c r="T260" i="1"/>
  <c r="V260" i="1"/>
  <c r="T261" i="1"/>
  <c r="V261" i="1"/>
  <c r="T262" i="1"/>
  <c r="V262" i="1"/>
  <c r="T263" i="1"/>
  <c r="V263" i="1"/>
  <c r="T264" i="1"/>
  <c r="V264" i="1"/>
  <c r="T265" i="1"/>
  <c r="V265" i="1"/>
  <c r="T266" i="1"/>
  <c r="V266" i="1"/>
  <c r="T267" i="1"/>
  <c r="V267" i="1"/>
  <c r="T268" i="1"/>
  <c r="V268" i="1"/>
  <c r="T269" i="1"/>
  <c r="V269" i="1"/>
  <c r="T270" i="1"/>
  <c r="V270" i="1"/>
  <c r="T271" i="1"/>
  <c r="V271" i="1"/>
  <c r="T272" i="1"/>
  <c r="V272" i="1"/>
  <c r="T273" i="1"/>
  <c r="V273" i="1"/>
  <c r="T274" i="1"/>
  <c r="V274" i="1"/>
  <c r="T275" i="1"/>
  <c r="V275" i="1"/>
  <c r="T276" i="1"/>
  <c r="V276" i="1"/>
  <c r="T277" i="1"/>
  <c r="V277" i="1"/>
  <c r="T278" i="1"/>
  <c r="V278" i="1"/>
  <c r="T279" i="1"/>
  <c r="V279" i="1"/>
  <c r="T280" i="1"/>
  <c r="V280" i="1"/>
  <c r="T281" i="1"/>
  <c r="V281" i="1"/>
  <c r="T282" i="1"/>
  <c r="V282" i="1"/>
  <c r="T283" i="1"/>
  <c r="V283" i="1"/>
  <c r="T284" i="1"/>
  <c r="V284" i="1"/>
  <c r="T285" i="1"/>
  <c r="V285" i="1"/>
  <c r="T286" i="1"/>
  <c r="V286" i="1"/>
  <c r="T287" i="1"/>
  <c r="V287" i="1"/>
  <c r="T288" i="1"/>
  <c r="V288" i="1"/>
  <c r="T289" i="1"/>
  <c r="V289" i="1"/>
  <c r="T290" i="1"/>
  <c r="V290" i="1"/>
  <c r="T291" i="1"/>
  <c r="V291" i="1"/>
  <c r="T292" i="1"/>
  <c r="V292" i="1"/>
  <c r="T293" i="1"/>
  <c r="V293" i="1"/>
  <c r="T294" i="1"/>
  <c r="V294" i="1"/>
  <c r="T295" i="1"/>
  <c r="V295" i="1"/>
  <c r="T296" i="1"/>
  <c r="V296" i="1"/>
  <c r="T297" i="1"/>
  <c r="V297" i="1"/>
  <c r="T298" i="1"/>
  <c r="V298" i="1"/>
  <c r="T299" i="1"/>
  <c r="V299" i="1"/>
  <c r="T300" i="1"/>
  <c r="V300" i="1"/>
  <c r="T301" i="1"/>
  <c r="V301" i="1"/>
  <c r="T302" i="1"/>
  <c r="V302" i="1"/>
  <c r="T303" i="1"/>
  <c r="V303" i="1"/>
  <c r="T304" i="1"/>
  <c r="V304" i="1"/>
  <c r="T305" i="1"/>
  <c r="V305" i="1"/>
  <c r="T306" i="1"/>
  <c r="V306" i="1"/>
  <c r="T307" i="1"/>
  <c r="V307" i="1"/>
  <c r="T308" i="1"/>
  <c r="V308" i="1"/>
  <c r="T309" i="1"/>
  <c r="V309" i="1"/>
  <c r="T310" i="1"/>
  <c r="V310" i="1"/>
  <c r="T311" i="1"/>
  <c r="V311" i="1"/>
  <c r="T312" i="1"/>
  <c r="V312" i="1"/>
  <c r="T313" i="1"/>
  <c r="V313" i="1"/>
  <c r="T314" i="1"/>
  <c r="V314" i="1"/>
  <c r="T315" i="1"/>
  <c r="V315" i="1"/>
  <c r="T316" i="1"/>
  <c r="V316" i="1"/>
  <c r="T317" i="1"/>
  <c r="V317" i="1"/>
  <c r="T318" i="1"/>
  <c r="V318" i="1"/>
  <c r="T319" i="1"/>
  <c r="V319" i="1"/>
  <c r="T320" i="1"/>
  <c r="V320" i="1"/>
  <c r="T321" i="1"/>
  <c r="V321" i="1"/>
  <c r="T322" i="1"/>
  <c r="V322" i="1"/>
  <c r="T323" i="1"/>
  <c r="V323" i="1"/>
  <c r="T324" i="1"/>
  <c r="V324" i="1"/>
  <c r="T325" i="1"/>
  <c r="V325" i="1"/>
  <c r="T326" i="1"/>
  <c r="V326" i="1"/>
  <c r="T327" i="1"/>
  <c r="V327" i="1"/>
  <c r="T328" i="1"/>
  <c r="V328" i="1"/>
  <c r="T329" i="1"/>
  <c r="V329" i="1"/>
  <c r="T330" i="1"/>
  <c r="V330" i="1"/>
  <c r="T331" i="1"/>
  <c r="V331" i="1"/>
  <c r="T332" i="1"/>
  <c r="V332" i="1"/>
  <c r="T333" i="1"/>
  <c r="V333" i="1"/>
  <c r="T334" i="1"/>
  <c r="V334" i="1"/>
  <c r="T335" i="1"/>
  <c r="V335" i="1"/>
  <c r="T336" i="1"/>
  <c r="V336" i="1"/>
  <c r="T337" i="1"/>
  <c r="V337" i="1"/>
  <c r="T338" i="1"/>
  <c r="V338" i="1"/>
  <c r="T339" i="1"/>
  <c r="V339" i="1"/>
  <c r="T340" i="1"/>
  <c r="V340" i="1"/>
  <c r="T341" i="1"/>
  <c r="V341" i="1"/>
  <c r="T342" i="1"/>
  <c r="V342" i="1"/>
  <c r="T343" i="1"/>
  <c r="V343" i="1"/>
  <c r="T344" i="1"/>
  <c r="V344" i="1"/>
  <c r="T345" i="1"/>
  <c r="V345" i="1"/>
  <c r="T346" i="1"/>
  <c r="V346" i="1"/>
  <c r="T347" i="1"/>
  <c r="V347" i="1"/>
  <c r="T348" i="1"/>
  <c r="V348" i="1"/>
  <c r="T349" i="1"/>
  <c r="V349" i="1"/>
  <c r="T350" i="1"/>
  <c r="V350" i="1"/>
  <c r="T351" i="1"/>
  <c r="V351" i="1"/>
  <c r="T352" i="1"/>
  <c r="V352" i="1"/>
  <c r="T353" i="1"/>
  <c r="V353" i="1"/>
  <c r="T354" i="1"/>
  <c r="V354" i="1"/>
  <c r="T355" i="1"/>
  <c r="V355" i="1"/>
  <c r="T356" i="1"/>
  <c r="V356" i="1"/>
  <c r="T357" i="1"/>
  <c r="V357" i="1"/>
  <c r="T358" i="1"/>
  <c r="V358" i="1"/>
  <c r="T359" i="1"/>
  <c r="V359" i="1"/>
  <c r="T360" i="1"/>
  <c r="V360" i="1"/>
  <c r="T361" i="1"/>
  <c r="V361" i="1"/>
  <c r="T362" i="1"/>
  <c r="V362" i="1"/>
  <c r="T363" i="1"/>
  <c r="V363" i="1"/>
  <c r="T364" i="1"/>
  <c r="V364" i="1"/>
  <c r="T365" i="1"/>
  <c r="V365" i="1"/>
  <c r="T366" i="1"/>
  <c r="V366" i="1"/>
  <c r="T367" i="1"/>
  <c r="V367" i="1"/>
  <c r="T368" i="1"/>
  <c r="V368" i="1"/>
  <c r="T369" i="1"/>
  <c r="V369" i="1"/>
  <c r="T370" i="1"/>
  <c r="V370" i="1"/>
  <c r="T371" i="1"/>
  <c r="V371" i="1"/>
  <c r="T372" i="1"/>
  <c r="V372" i="1"/>
  <c r="T373" i="1"/>
  <c r="V373" i="1"/>
  <c r="T374" i="1"/>
  <c r="V374" i="1"/>
  <c r="T375" i="1"/>
  <c r="V375" i="1"/>
  <c r="T376" i="1"/>
  <c r="V376" i="1"/>
  <c r="T377" i="1"/>
  <c r="V377" i="1"/>
  <c r="T378" i="1"/>
  <c r="V378" i="1"/>
  <c r="T379" i="1"/>
  <c r="V379" i="1"/>
  <c r="T380" i="1"/>
  <c r="V380" i="1"/>
  <c r="T381" i="1"/>
  <c r="V381" i="1"/>
  <c r="T382" i="1"/>
  <c r="V382" i="1"/>
  <c r="T383" i="1"/>
  <c r="V383" i="1"/>
  <c r="T384" i="1"/>
  <c r="V384" i="1"/>
  <c r="T385" i="1"/>
  <c r="V385" i="1"/>
  <c r="T386" i="1"/>
  <c r="V386" i="1"/>
  <c r="T387" i="1"/>
  <c r="V387" i="1"/>
  <c r="T388" i="1"/>
  <c r="V388" i="1"/>
  <c r="T389" i="1"/>
  <c r="V389" i="1"/>
  <c r="T390" i="1"/>
  <c r="V390" i="1"/>
  <c r="T391" i="1"/>
  <c r="V391" i="1"/>
  <c r="T392" i="1"/>
  <c r="V392" i="1"/>
  <c r="T393" i="1"/>
  <c r="V393" i="1"/>
  <c r="T394" i="1"/>
  <c r="V394" i="1"/>
  <c r="T395" i="1"/>
  <c r="V395" i="1"/>
  <c r="T396" i="1"/>
  <c r="V396" i="1"/>
  <c r="T397" i="1"/>
  <c r="V397" i="1"/>
  <c r="T398" i="1"/>
  <c r="V398" i="1"/>
  <c r="T399" i="1"/>
  <c r="V399" i="1"/>
  <c r="T400" i="1"/>
  <c r="V400" i="1"/>
  <c r="T401" i="1"/>
  <c r="V401" i="1"/>
  <c r="T402" i="1"/>
  <c r="V402" i="1"/>
  <c r="T403" i="1"/>
  <c r="V403" i="1"/>
  <c r="T404" i="1"/>
  <c r="V404" i="1"/>
  <c r="T405" i="1"/>
  <c r="V405" i="1"/>
  <c r="T406" i="1"/>
  <c r="V406" i="1"/>
  <c r="T407" i="1"/>
  <c r="V407" i="1"/>
  <c r="T408" i="1"/>
  <c r="V408" i="1"/>
  <c r="T409" i="1"/>
  <c r="V409" i="1"/>
  <c r="T410" i="1"/>
  <c r="V410" i="1"/>
  <c r="T411" i="1"/>
  <c r="V411" i="1"/>
  <c r="T412" i="1"/>
  <c r="V412" i="1"/>
  <c r="T413" i="1"/>
  <c r="V413" i="1"/>
  <c r="T414" i="1"/>
  <c r="V414" i="1"/>
  <c r="T415" i="1"/>
  <c r="V415" i="1"/>
  <c r="T416" i="1"/>
  <c r="V416" i="1"/>
  <c r="T417" i="1"/>
  <c r="V417" i="1"/>
  <c r="T418" i="1"/>
  <c r="V418" i="1"/>
  <c r="T419" i="1"/>
  <c r="V419" i="1"/>
  <c r="T420" i="1"/>
  <c r="V420" i="1"/>
  <c r="T421" i="1"/>
  <c r="V421" i="1"/>
  <c r="T422" i="1"/>
  <c r="V422" i="1"/>
  <c r="T423" i="1"/>
  <c r="V423" i="1"/>
  <c r="T424" i="1"/>
  <c r="V424" i="1"/>
  <c r="T425" i="1"/>
  <c r="V425" i="1"/>
  <c r="T426" i="1"/>
  <c r="V426" i="1"/>
  <c r="T427" i="1"/>
  <c r="V427" i="1"/>
  <c r="T428" i="1"/>
  <c r="V428" i="1"/>
  <c r="T429" i="1"/>
  <c r="V429" i="1"/>
  <c r="T430" i="1"/>
  <c r="V430" i="1"/>
  <c r="T431" i="1"/>
  <c r="V431" i="1"/>
  <c r="T432" i="1"/>
  <c r="V432" i="1"/>
  <c r="T433" i="1"/>
  <c r="V433" i="1"/>
  <c r="T434" i="1"/>
  <c r="V434" i="1"/>
  <c r="T435" i="1"/>
  <c r="V435" i="1"/>
  <c r="T436" i="1"/>
  <c r="V436" i="1"/>
  <c r="T437" i="1"/>
  <c r="V437" i="1"/>
  <c r="T438" i="1"/>
  <c r="V438" i="1"/>
  <c r="T439" i="1"/>
  <c r="V439" i="1"/>
  <c r="T440" i="1"/>
  <c r="V440" i="1"/>
  <c r="T441" i="1"/>
  <c r="V441" i="1"/>
  <c r="T442" i="1"/>
  <c r="V442" i="1"/>
  <c r="T443" i="1"/>
  <c r="V443" i="1"/>
  <c r="T444" i="1"/>
  <c r="V444" i="1"/>
  <c r="T445" i="1"/>
  <c r="V445" i="1"/>
  <c r="T446" i="1"/>
  <c r="V446" i="1"/>
  <c r="T447" i="1"/>
  <c r="V447" i="1"/>
  <c r="T448" i="1"/>
  <c r="V448" i="1"/>
  <c r="T449" i="1"/>
  <c r="V449" i="1"/>
  <c r="T450" i="1"/>
  <c r="V450" i="1"/>
  <c r="T451" i="1"/>
  <c r="V451" i="1"/>
  <c r="T452" i="1"/>
  <c r="V452" i="1"/>
  <c r="T453" i="1"/>
  <c r="V453" i="1"/>
  <c r="T454" i="1"/>
  <c r="V454" i="1"/>
  <c r="T455" i="1"/>
  <c r="V455" i="1"/>
  <c r="T456" i="1"/>
  <c r="V456" i="1"/>
  <c r="T457" i="1"/>
  <c r="V457" i="1"/>
  <c r="T458" i="1"/>
  <c r="V458" i="1"/>
  <c r="T459" i="1"/>
  <c r="V459" i="1"/>
  <c r="T460" i="1"/>
  <c r="V460" i="1"/>
  <c r="T461" i="1"/>
  <c r="V461" i="1"/>
  <c r="T462" i="1"/>
  <c r="V462" i="1"/>
  <c r="T463" i="1"/>
  <c r="V463" i="1"/>
  <c r="T464" i="1"/>
  <c r="V464" i="1"/>
  <c r="T465" i="1"/>
  <c r="V465" i="1"/>
  <c r="T466" i="1"/>
  <c r="V466" i="1"/>
  <c r="T467" i="1"/>
  <c r="V467" i="1"/>
  <c r="T468" i="1"/>
  <c r="V468" i="1"/>
  <c r="T469" i="1"/>
  <c r="V469" i="1"/>
  <c r="T470" i="1"/>
  <c r="V470" i="1"/>
  <c r="T471" i="1"/>
  <c r="V471" i="1"/>
  <c r="T472" i="1"/>
  <c r="V472" i="1"/>
  <c r="T473" i="1"/>
  <c r="V473" i="1"/>
  <c r="T474" i="1"/>
  <c r="V474" i="1"/>
  <c r="T475" i="1"/>
  <c r="V475" i="1"/>
  <c r="T476" i="1"/>
  <c r="V476" i="1"/>
  <c r="T477" i="1"/>
  <c r="V477" i="1"/>
  <c r="T478" i="1"/>
  <c r="V478" i="1"/>
  <c r="T479" i="1"/>
  <c r="V479" i="1"/>
  <c r="T480" i="1"/>
  <c r="V480" i="1"/>
  <c r="T481" i="1"/>
  <c r="V481" i="1"/>
  <c r="T482" i="1"/>
  <c r="V482" i="1"/>
  <c r="T483" i="1"/>
  <c r="V483" i="1"/>
  <c r="T484" i="1"/>
  <c r="V484" i="1"/>
  <c r="T485" i="1"/>
  <c r="V485" i="1"/>
  <c r="T486" i="1"/>
  <c r="V486" i="1"/>
  <c r="T487" i="1"/>
  <c r="V487" i="1"/>
  <c r="T488" i="1"/>
  <c r="V488" i="1"/>
  <c r="T489" i="1"/>
  <c r="V489" i="1"/>
  <c r="T490" i="1"/>
  <c r="V490" i="1"/>
  <c r="T491" i="1"/>
  <c r="V491" i="1"/>
  <c r="T492" i="1"/>
  <c r="V492" i="1"/>
  <c r="T493" i="1"/>
  <c r="V493" i="1"/>
  <c r="T494" i="1"/>
  <c r="V494" i="1"/>
  <c r="T495" i="1"/>
  <c r="V495" i="1"/>
  <c r="T496" i="1"/>
  <c r="V496" i="1"/>
  <c r="T497" i="1"/>
  <c r="V497" i="1"/>
  <c r="T498" i="1"/>
  <c r="V498" i="1"/>
  <c r="T499" i="1"/>
  <c r="V499" i="1"/>
  <c r="T500" i="1"/>
  <c r="V500" i="1"/>
  <c r="T501" i="1"/>
  <c r="V501" i="1"/>
  <c r="T502" i="1"/>
  <c r="V502" i="1"/>
  <c r="T503" i="1"/>
  <c r="V503" i="1"/>
  <c r="T504" i="1"/>
  <c r="V504" i="1"/>
  <c r="T505" i="1"/>
  <c r="V505" i="1"/>
  <c r="T506" i="1"/>
  <c r="V506" i="1"/>
  <c r="T507" i="1"/>
  <c r="V507" i="1"/>
  <c r="T508" i="1"/>
  <c r="V508" i="1"/>
  <c r="T509" i="1"/>
  <c r="V509" i="1"/>
  <c r="T510" i="1"/>
  <c r="V510" i="1"/>
  <c r="T511" i="1"/>
  <c r="V511" i="1"/>
  <c r="T512" i="1"/>
  <c r="V512" i="1"/>
  <c r="T513" i="1"/>
  <c r="V513" i="1"/>
  <c r="T514" i="1"/>
  <c r="V514" i="1"/>
  <c r="T515" i="1"/>
  <c r="V515" i="1"/>
  <c r="T516" i="1"/>
  <c r="V516" i="1"/>
  <c r="T517" i="1"/>
  <c r="V517" i="1"/>
  <c r="T518" i="1"/>
  <c r="V518" i="1"/>
  <c r="T519" i="1"/>
  <c r="V519" i="1"/>
  <c r="T520" i="1"/>
  <c r="V520" i="1"/>
  <c r="T521" i="1"/>
  <c r="V521" i="1"/>
  <c r="T522" i="1"/>
  <c r="V522" i="1"/>
  <c r="T523" i="1"/>
  <c r="V523" i="1"/>
  <c r="T524" i="1"/>
  <c r="V524" i="1"/>
  <c r="T525" i="1"/>
  <c r="V525" i="1"/>
  <c r="T526" i="1"/>
  <c r="V526" i="1"/>
  <c r="T527" i="1"/>
  <c r="V527" i="1"/>
  <c r="T528" i="1"/>
  <c r="V528" i="1"/>
  <c r="T529" i="1"/>
  <c r="V529" i="1"/>
  <c r="T530" i="1"/>
  <c r="V530" i="1"/>
  <c r="T531" i="1"/>
  <c r="V531" i="1"/>
  <c r="T532" i="1"/>
  <c r="V532" i="1"/>
  <c r="T533" i="1"/>
  <c r="V533" i="1"/>
  <c r="T534" i="1"/>
  <c r="V534" i="1"/>
  <c r="T535" i="1"/>
  <c r="V535" i="1"/>
  <c r="T536" i="1"/>
  <c r="V536" i="1"/>
  <c r="T537" i="1"/>
  <c r="V537" i="1"/>
  <c r="T538" i="1"/>
  <c r="V538" i="1"/>
  <c r="T539" i="1"/>
  <c r="V539" i="1"/>
  <c r="T540" i="1"/>
  <c r="V540" i="1"/>
  <c r="T541" i="1"/>
  <c r="V541" i="1"/>
  <c r="T542" i="1"/>
  <c r="V542" i="1"/>
  <c r="T543" i="1"/>
  <c r="V543" i="1"/>
  <c r="T544" i="1"/>
  <c r="V544" i="1"/>
  <c r="T545" i="1"/>
  <c r="V545" i="1"/>
  <c r="T546" i="1"/>
  <c r="V546" i="1"/>
  <c r="T547" i="1"/>
  <c r="V547" i="1"/>
  <c r="T548" i="1"/>
  <c r="V548" i="1"/>
  <c r="T549" i="1"/>
  <c r="V549" i="1"/>
  <c r="T550" i="1"/>
  <c r="V550" i="1"/>
  <c r="T551" i="1"/>
  <c r="V551" i="1"/>
  <c r="T552" i="1"/>
  <c r="V552" i="1"/>
  <c r="T553" i="1"/>
  <c r="V553" i="1"/>
  <c r="T554" i="1"/>
  <c r="V554" i="1"/>
  <c r="T555" i="1"/>
  <c r="V555" i="1"/>
  <c r="T556" i="1"/>
  <c r="V556" i="1"/>
  <c r="T557" i="1"/>
  <c r="V557" i="1"/>
  <c r="T558" i="1"/>
  <c r="V558" i="1"/>
  <c r="T559" i="1"/>
  <c r="V559" i="1"/>
  <c r="T560" i="1"/>
  <c r="V560" i="1"/>
  <c r="T561" i="1"/>
  <c r="V561" i="1"/>
  <c r="T562" i="1"/>
  <c r="V562" i="1"/>
  <c r="T563" i="1"/>
  <c r="V563" i="1"/>
  <c r="T564" i="1"/>
  <c r="V564" i="1"/>
  <c r="T565" i="1"/>
  <c r="V565" i="1"/>
  <c r="T566" i="1"/>
  <c r="V566" i="1"/>
  <c r="T567" i="1"/>
  <c r="V567" i="1"/>
  <c r="T568" i="1"/>
  <c r="V568" i="1"/>
  <c r="T569" i="1"/>
  <c r="V569" i="1"/>
  <c r="T570" i="1"/>
  <c r="V570" i="1"/>
  <c r="T571" i="1"/>
  <c r="V571" i="1"/>
  <c r="T572" i="1"/>
  <c r="V572" i="1"/>
  <c r="T573" i="1"/>
  <c r="V573" i="1"/>
  <c r="T574" i="1"/>
  <c r="V574" i="1"/>
  <c r="T575" i="1"/>
  <c r="V575" i="1"/>
  <c r="T576" i="1"/>
  <c r="V576" i="1"/>
  <c r="T577" i="1"/>
  <c r="V577" i="1"/>
  <c r="T578" i="1"/>
  <c r="V578" i="1"/>
  <c r="T579" i="1"/>
  <c r="V579" i="1"/>
  <c r="T580" i="1"/>
  <c r="V580" i="1"/>
  <c r="T581" i="1"/>
  <c r="V581" i="1"/>
  <c r="T582" i="1"/>
  <c r="V582" i="1"/>
  <c r="T583" i="1"/>
  <c r="V583" i="1"/>
  <c r="T584" i="1"/>
  <c r="V584" i="1"/>
  <c r="T585" i="1"/>
  <c r="V585" i="1"/>
  <c r="T586" i="1"/>
  <c r="V586" i="1"/>
  <c r="T587" i="1"/>
  <c r="V587" i="1"/>
  <c r="T588" i="1"/>
  <c r="V588" i="1"/>
  <c r="T589" i="1"/>
  <c r="V589" i="1"/>
  <c r="T590" i="1"/>
  <c r="V590" i="1"/>
  <c r="T591" i="1"/>
  <c r="V591" i="1"/>
  <c r="T592" i="1"/>
  <c r="V592" i="1"/>
  <c r="T593" i="1"/>
  <c r="V593" i="1"/>
  <c r="T594" i="1"/>
  <c r="V594" i="1"/>
  <c r="T595" i="1"/>
  <c r="V595" i="1"/>
  <c r="T596" i="1"/>
  <c r="V596" i="1"/>
  <c r="T597" i="1"/>
  <c r="V597" i="1"/>
  <c r="T598" i="1"/>
  <c r="V598" i="1"/>
  <c r="T599" i="1"/>
  <c r="V599" i="1"/>
  <c r="T600" i="1"/>
  <c r="V600" i="1"/>
  <c r="T601" i="1"/>
  <c r="V601" i="1"/>
  <c r="T602" i="1"/>
  <c r="V602" i="1"/>
  <c r="T603" i="1"/>
  <c r="V603" i="1"/>
  <c r="T604" i="1"/>
  <c r="V604" i="1"/>
  <c r="T605" i="1"/>
  <c r="V605" i="1"/>
  <c r="T606" i="1"/>
  <c r="V606" i="1"/>
  <c r="T607" i="1"/>
  <c r="V607" i="1"/>
  <c r="T608" i="1"/>
  <c r="V608" i="1"/>
  <c r="T609" i="1"/>
  <c r="V609" i="1"/>
  <c r="T610" i="1"/>
  <c r="V610" i="1"/>
  <c r="T611" i="1"/>
  <c r="V611" i="1"/>
  <c r="T612" i="1"/>
  <c r="V612" i="1"/>
  <c r="T613" i="1"/>
  <c r="V613" i="1"/>
  <c r="T614" i="1"/>
  <c r="V614" i="1"/>
  <c r="T615" i="1"/>
  <c r="V615" i="1"/>
  <c r="T616" i="1"/>
  <c r="V616" i="1"/>
  <c r="T617" i="1"/>
  <c r="V617" i="1"/>
  <c r="T618" i="1"/>
  <c r="V618" i="1"/>
  <c r="T619" i="1"/>
  <c r="V619" i="1"/>
  <c r="T620" i="1"/>
  <c r="V620" i="1"/>
  <c r="T621" i="1"/>
  <c r="V621" i="1"/>
  <c r="T622" i="1"/>
  <c r="V622" i="1"/>
  <c r="T623" i="1"/>
  <c r="V623" i="1"/>
  <c r="T624" i="1"/>
  <c r="V624" i="1"/>
  <c r="T625" i="1"/>
  <c r="V625" i="1"/>
  <c r="T626" i="1"/>
  <c r="V626" i="1"/>
  <c r="T627" i="1"/>
  <c r="V627" i="1"/>
  <c r="T628" i="1"/>
  <c r="V628" i="1"/>
  <c r="T629" i="1"/>
  <c r="V629" i="1"/>
  <c r="T630" i="1"/>
  <c r="V630" i="1"/>
  <c r="T631" i="1"/>
  <c r="V631" i="1"/>
  <c r="T632" i="1"/>
  <c r="V632" i="1"/>
  <c r="T633" i="1"/>
  <c r="V633" i="1"/>
  <c r="T634" i="1"/>
  <c r="V634" i="1"/>
  <c r="T635" i="1"/>
  <c r="V635" i="1"/>
  <c r="T636" i="1"/>
  <c r="V636" i="1"/>
  <c r="T637" i="1"/>
  <c r="V637" i="1"/>
  <c r="T638" i="1"/>
  <c r="V638" i="1"/>
  <c r="T639" i="1"/>
  <c r="V639" i="1"/>
  <c r="T640" i="1"/>
  <c r="V640" i="1"/>
  <c r="T641" i="1"/>
  <c r="V641" i="1"/>
  <c r="T642" i="1"/>
  <c r="V642" i="1"/>
  <c r="T643" i="1"/>
  <c r="V643" i="1"/>
  <c r="T644" i="1"/>
  <c r="V644" i="1"/>
  <c r="T645" i="1"/>
  <c r="V645" i="1"/>
  <c r="T646" i="1"/>
  <c r="V646" i="1"/>
  <c r="T647" i="1"/>
  <c r="V647" i="1"/>
  <c r="T648" i="1"/>
  <c r="V648" i="1"/>
  <c r="T649" i="1"/>
  <c r="V649" i="1"/>
  <c r="T650" i="1"/>
  <c r="V650" i="1"/>
  <c r="T651" i="1"/>
  <c r="V651" i="1"/>
  <c r="T652" i="1"/>
  <c r="V652" i="1"/>
  <c r="T653" i="1"/>
  <c r="V653" i="1"/>
  <c r="T654" i="1"/>
  <c r="V654" i="1"/>
  <c r="T655" i="1"/>
  <c r="V655" i="1"/>
  <c r="T656" i="1"/>
  <c r="V656" i="1"/>
  <c r="T657" i="1"/>
  <c r="V657" i="1"/>
  <c r="T658" i="1"/>
  <c r="V658" i="1"/>
  <c r="T659" i="1"/>
  <c r="V659" i="1"/>
  <c r="T660" i="1"/>
  <c r="V660" i="1"/>
  <c r="T661" i="1"/>
  <c r="V661" i="1"/>
  <c r="T662" i="1"/>
  <c r="V662" i="1"/>
  <c r="T663" i="1"/>
  <c r="V663" i="1"/>
  <c r="T664" i="1"/>
  <c r="V664" i="1"/>
  <c r="T665" i="1"/>
  <c r="V665" i="1"/>
  <c r="T666" i="1"/>
  <c r="V666" i="1"/>
  <c r="T667" i="1"/>
  <c r="V667" i="1"/>
  <c r="T668" i="1"/>
  <c r="V668" i="1"/>
  <c r="T669" i="1"/>
  <c r="V669" i="1"/>
  <c r="T670" i="1"/>
  <c r="V670" i="1"/>
  <c r="T671" i="1"/>
  <c r="V671" i="1"/>
  <c r="T672" i="1"/>
  <c r="V672" i="1"/>
  <c r="T673" i="1"/>
  <c r="V673" i="1"/>
  <c r="T674" i="1"/>
  <c r="V674" i="1"/>
  <c r="T675" i="1"/>
  <c r="V675" i="1"/>
  <c r="T676" i="1"/>
  <c r="V676" i="1"/>
  <c r="T677" i="1"/>
  <c r="V677" i="1"/>
  <c r="T678" i="1"/>
  <c r="V678" i="1"/>
  <c r="T679" i="1"/>
  <c r="V679" i="1"/>
  <c r="T680" i="1"/>
  <c r="V680" i="1"/>
  <c r="T681" i="1"/>
  <c r="V681" i="1"/>
  <c r="T682" i="1"/>
  <c r="V682" i="1"/>
  <c r="T683" i="1"/>
  <c r="V683" i="1"/>
  <c r="T684" i="1"/>
  <c r="V684" i="1"/>
  <c r="T685" i="1"/>
  <c r="V685" i="1"/>
  <c r="T686" i="1"/>
  <c r="V686" i="1"/>
  <c r="T687" i="1"/>
  <c r="V687" i="1"/>
  <c r="T688" i="1"/>
  <c r="V688" i="1"/>
  <c r="T689" i="1"/>
  <c r="V689" i="1"/>
  <c r="T690" i="1"/>
  <c r="V690" i="1"/>
  <c r="T691" i="1"/>
  <c r="V691" i="1"/>
  <c r="T692" i="1"/>
  <c r="V692" i="1"/>
  <c r="T693" i="1"/>
  <c r="V693" i="1"/>
  <c r="T694" i="1"/>
  <c r="V694" i="1"/>
  <c r="T695" i="1"/>
  <c r="V695" i="1"/>
  <c r="T696" i="1"/>
  <c r="V696" i="1"/>
  <c r="T697" i="1"/>
  <c r="V697" i="1"/>
  <c r="T698" i="1"/>
  <c r="V698" i="1"/>
  <c r="T699" i="1"/>
  <c r="V699" i="1"/>
  <c r="T700" i="1"/>
  <c r="V700" i="1"/>
  <c r="T701" i="1"/>
  <c r="V701" i="1"/>
  <c r="T702" i="1"/>
  <c r="V702" i="1"/>
  <c r="T703" i="1"/>
  <c r="V703" i="1"/>
  <c r="T704" i="1"/>
  <c r="V704" i="1"/>
  <c r="T705" i="1"/>
  <c r="V705" i="1"/>
  <c r="T706" i="1"/>
  <c r="V706" i="1"/>
  <c r="T707" i="1"/>
  <c r="V707" i="1"/>
  <c r="T708" i="1"/>
  <c r="V708" i="1"/>
  <c r="T709" i="1"/>
  <c r="V709" i="1"/>
  <c r="T710" i="1"/>
  <c r="V710" i="1"/>
  <c r="T711" i="1"/>
  <c r="V711" i="1"/>
  <c r="T712" i="1"/>
  <c r="V712" i="1"/>
  <c r="T713" i="1"/>
  <c r="V713" i="1"/>
  <c r="T714" i="1"/>
  <c r="V714" i="1"/>
  <c r="T715" i="1"/>
  <c r="V715" i="1"/>
  <c r="T716" i="1"/>
  <c r="V716" i="1"/>
  <c r="T717" i="1"/>
  <c r="V717" i="1"/>
  <c r="T718" i="1"/>
  <c r="V718" i="1"/>
  <c r="T719" i="1"/>
  <c r="V719" i="1"/>
  <c r="T720" i="1"/>
  <c r="V720" i="1"/>
  <c r="T721" i="1"/>
  <c r="V721" i="1"/>
  <c r="T722" i="1"/>
  <c r="V722" i="1"/>
  <c r="T723" i="1"/>
  <c r="V723" i="1"/>
  <c r="T724" i="1"/>
  <c r="V724" i="1"/>
  <c r="T725" i="1"/>
  <c r="V725" i="1"/>
  <c r="T726" i="1"/>
  <c r="V726" i="1"/>
  <c r="T727" i="1"/>
  <c r="V727" i="1"/>
  <c r="T728" i="1"/>
  <c r="V728" i="1"/>
  <c r="T729" i="1"/>
  <c r="V729" i="1"/>
  <c r="T730" i="1"/>
  <c r="V730" i="1"/>
  <c r="T731" i="1"/>
  <c r="V731" i="1"/>
  <c r="T732" i="1"/>
  <c r="V732" i="1"/>
  <c r="T733" i="1"/>
  <c r="V733" i="1"/>
  <c r="T734" i="1"/>
  <c r="V734" i="1"/>
  <c r="T735" i="1"/>
  <c r="V735" i="1"/>
  <c r="T736" i="1"/>
  <c r="V736" i="1"/>
  <c r="T737" i="1"/>
  <c r="V737" i="1"/>
  <c r="T738" i="1"/>
  <c r="V738" i="1"/>
  <c r="T739" i="1"/>
  <c r="V739" i="1"/>
  <c r="T740" i="1"/>
  <c r="V740" i="1"/>
  <c r="T741" i="1"/>
  <c r="V741" i="1"/>
  <c r="T742" i="1"/>
  <c r="V742" i="1"/>
  <c r="T743" i="1"/>
  <c r="V743" i="1"/>
  <c r="T744" i="1"/>
  <c r="V744" i="1"/>
  <c r="T745" i="1"/>
  <c r="V745" i="1"/>
  <c r="T746" i="1"/>
  <c r="V746" i="1"/>
  <c r="T747" i="1"/>
  <c r="V747" i="1"/>
  <c r="T748" i="1"/>
  <c r="V748" i="1"/>
  <c r="T749" i="1"/>
  <c r="V749" i="1"/>
  <c r="T750" i="1"/>
  <c r="V750" i="1"/>
  <c r="T751" i="1"/>
  <c r="V751" i="1"/>
  <c r="T752" i="1"/>
  <c r="V752" i="1"/>
  <c r="T753" i="1"/>
  <c r="V753" i="1"/>
  <c r="T754" i="1"/>
  <c r="V754" i="1"/>
  <c r="T755" i="1"/>
  <c r="V755" i="1"/>
  <c r="T756" i="1"/>
  <c r="V756" i="1"/>
  <c r="T757" i="1"/>
  <c r="V757" i="1"/>
  <c r="T758" i="1"/>
  <c r="V758" i="1"/>
  <c r="T759" i="1"/>
  <c r="V759" i="1"/>
  <c r="T760" i="1"/>
  <c r="V760" i="1"/>
  <c r="T761" i="1"/>
  <c r="V761" i="1"/>
  <c r="T762" i="1"/>
  <c r="V762" i="1"/>
  <c r="T763" i="1"/>
  <c r="V763" i="1"/>
  <c r="T764" i="1"/>
  <c r="V764" i="1"/>
  <c r="T765" i="1"/>
  <c r="V765" i="1"/>
  <c r="T766" i="1"/>
  <c r="V766" i="1"/>
  <c r="T767" i="1"/>
  <c r="V767" i="1"/>
  <c r="T768" i="1"/>
  <c r="V768" i="1"/>
  <c r="T769" i="1"/>
  <c r="V769" i="1"/>
  <c r="T770" i="1"/>
  <c r="V770" i="1"/>
  <c r="T771" i="1"/>
  <c r="V771" i="1"/>
  <c r="T772" i="1"/>
  <c r="V772" i="1"/>
  <c r="T773" i="1"/>
  <c r="V773" i="1"/>
  <c r="T774" i="1"/>
  <c r="V774" i="1"/>
  <c r="T775" i="1"/>
  <c r="V775" i="1"/>
  <c r="T776" i="1"/>
  <c r="V776" i="1"/>
  <c r="T777" i="1"/>
  <c r="V777" i="1"/>
  <c r="T778" i="1"/>
  <c r="V778" i="1"/>
  <c r="T779" i="1"/>
  <c r="V779" i="1"/>
  <c r="T780" i="1"/>
  <c r="V780" i="1"/>
  <c r="T781" i="1"/>
  <c r="V781" i="1"/>
  <c r="T782" i="1"/>
  <c r="V782" i="1"/>
  <c r="T783" i="1"/>
  <c r="V783" i="1"/>
  <c r="T784" i="1"/>
  <c r="V784" i="1"/>
  <c r="T785" i="1"/>
  <c r="V785" i="1"/>
  <c r="T786" i="1"/>
  <c r="V786" i="1"/>
  <c r="T787" i="1"/>
  <c r="V787" i="1"/>
  <c r="T788" i="1"/>
  <c r="V788" i="1"/>
  <c r="T789" i="1"/>
  <c r="V789" i="1"/>
  <c r="T790" i="1"/>
  <c r="V790" i="1"/>
  <c r="T791" i="1"/>
  <c r="V791" i="1"/>
  <c r="T792" i="1"/>
  <c r="V792" i="1"/>
  <c r="T793" i="1"/>
  <c r="V793" i="1"/>
  <c r="T794" i="1"/>
  <c r="V794" i="1"/>
  <c r="T795" i="1"/>
  <c r="V795" i="1"/>
  <c r="T796" i="1"/>
  <c r="V796" i="1"/>
  <c r="T797" i="1"/>
  <c r="V797" i="1"/>
  <c r="T798" i="1"/>
  <c r="V798" i="1"/>
  <c r="T799" i="1"/>
  <c r="V799" i="1"/>
  <c r="T800" i="1"/>
  <c r="V800" i="1"/>
  <c r="T801" i="1"/>
  <c r="V801" i="1"/>
  <c r="T802" i="1"/>
  <c r="V802" i="1"/>
  <c r="T803" i="1"/>
  <c r="V803" i="1"/>
  <c r="T804" i="1"/>
  <c r="V804" i="1"/>
  <c r="T805" i="1"/>
  <c r="V805" i="1"/>
  <c r="T806" i="1"/>
  <c r="V806" i="1"/>
  <c r="T807" i="1"/>
  <c r="V807" i="1"/>
  <c r="T808" i="1"/>
  <c r="V808" i="1"/>
  <c r="T809" i="1"/>
  <c r="V809" i="1"/>
  <c r="T810" i="1"/>
  <c r="V810" i="1"/>
  <c r="T811" i="1"/>
  <c r="V811" i="1"/>
  <c r="T812" i="1"/>
  <c r="V812" i="1"/>
  <c r="T813" i="1"/>
  <c r="V813" i="1"/>
  <c r="T814" i="1"/>
  <c r="V814" i="1"/>
  <c r="T815" i="1"/>
  <c r="V815" i="1"/>
  <c r="T816" i="1"/>
  <c r="V816" i="1"/>
  <c r="T817" i="1"/>
  <c r="V817" i="1"/>
  <c r="T818" i="1"/>
  <c r="V818" i="1"/>
  <c r="T819" i="1"/>
  <c r="V819" i="1"/>
  <c r="T820" i="1"/>
  <c r="V820" i="1"/>
  <c r="T821" i="1"/>
  <c r="V821" i="1"/>
  <c r="T822" i="1"/>
  <c r="V822" i="1"/>
  <c r="T823" i="1"/>
  <c r="V823" i="1"/>
  <c r="T824" i="1"/>
  <c r="V824" i="1"/>
  <c r="T825" i="1"/>
  <c r="V825" i="1"/>
  <c r="T826" i="1"/>
  <c r="V826" i="1"/>
  <c r="T827" i="1"/>
  <c r="V827" i="1"/>
  <c r="T828" i="1"/>
  <c r="V828" i="1"/>
  <c r="T829" i="1"/>
  <c r="V829" i="1"/>
  <c r="T830" i="1"/>
  <c r="V830" i="1"/>
  <c r="T831" i="1"/>
  <c r="V831" i="1"/>
  <c r="T832" i="1"/>
  <c r="V832" i="1"/>
  <c r="T833" i="1"/>
  <c r="V833" i="1"/>
  <c r="T834" i="1"/>
  <c r="V834" i="1"/>
  <c r="T835" i="1"/>
  <c r="V835" i="1"/>
  <c r="T836" i="1"/>
  <c r="V836" i="1"/>
  <c r="T837" i="1"/>
  <c r="V837" i="1"/>
  <c r="T838" i="1"/>
  <c r="V838" i="1"/>
  <c r="T839" i="1"/>
  <c r="V839" i="1"/>
  <c r="T840" i="1"/>
  <c r="V840" i="1"/>
  <c r="T841" i="1"/>
  <c r="V841" i="1"/>
  <c r="T842" i="1"/>
  <c r="V842" i="1"/>
  <c r="T3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AH80" i="1" s="1"/>
  <c r="S81" i="1"/>
  <c r="S82" i="1"/>
  <c r="S83" i="1"/>
  <c r="S84" i="1"/>
  <c r="S85" i="1"/>
  <c r="S86" i="1"/>
  <c r="AH86" i="1" s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AH434" i="1" l="1"/>
  <c r="AH127" i="1"/>
  <c r="AH625" i="1"/>
  <c r="AH461" i="1"/>
  <c r="AH587" i="1"/>
  <c r="AH342" i="1"/>
  <c r="AH721" i="1"/>
  <c r="AG54" i="1"/>
  <c r="AH774" i="1"/>
  <c r="AH422" i="1"/>
  <c r="AH757" i="1"/>
  <c r="AH485" i="1"/>
  <c r="AH372" i="1"/>
  <c r="AH164" i="1"/>
  <c r="AH771" i="1"/>
  <c r="AH482" i="1"/>
  <c r="AH769" i="1"/>
  <c r="AH385" i="1"/>
  <c r="AH768" i="1"/>
  <c r="AH402" i="1"/>
  <c r="AH767" i="1"/>
  <c r="AH607" i="1"/>
  <c r="AH495" i="1"/>
  <c r="AH174" i="1"/>
  <c r="AH557" i="1"/>
  <c r="AH588" i="1"/>
  <c r="AH781" i="1"/>
  <c r="AH764" i="1"/>
  <c r="AH396" i="1"/>
  <c r="AH763" i="1"/>
  <c r="AH619" i="1"/>
  <c r="AH782" i="1"/>
  <c r="AH778" i="1"/>
  <c r="AH618" i="1"/>
  <c r="AH554" i="1"/>
  <c r="AH761" i="1"/>
  <c r="AH697" i="1"/>
  <c r="AH585" i="1"/>
  <c r="AH760" i="1"/>
  <c r="AH696" i="1"/>
  <c r="AH344" i="1"/>
  <c r="AH232" i="1"/>
  <c r="AH776" i="1"/>
  <c r="AH775" i="1"/>
  <c r="AH583" i="1"/>
  <c r="AH471" i="1"/>
  <c r="AH231" i="1"/>
  <c r="AH151" i="1"/>
  <c r="J3" i="4"/>
  <c r="AG658" i="1"/>
  <c r="AA658" i="1" s="1"/>
  <c r="AC34" i="4" s="1"/>
  <c r="AN34" i="4" s="1" a="1"/>
  <c r="AN34" i="4" s="1"/>
  <c r="AG6" i="1"/>
  <c r="AA6" i="1" s="1"/>
  <c r="G15" i="4" s="1"/>
  <c r="AG811" i="1"/>
  <c r="AG381" i="1"/>
  <c r="AA381" i="1" s="1"/>
  <c r="V23" i="4" s="1"/>
  <c r="AG378" i="1"/>
  <c r="AA378" i="1" s="1"/>
  <c r="S23" i="4" s="1"/>
  <c r="AG400" i="1"/>
  <c r="AA400" i="1" s="1"/>
  <c r="K13" i="4" s="1"/>
  <c r="AG14" i="1"/>
  <c r="AA14" i="1" s="1"/>
  <c r="O15" i="4" s="1"/>
  <c r="AG375" i="1"/>
  <c r="AA375" i="1" s="1"/>
  <c r="P23" i="4" s="1"/>
  <c r="AG374" i="1"/>
  <c r="AA374" i="1" s="1"/>
  <c r="O23" i="4" s="1"/>
  <c r="AG28" i="1"/>
  <c r="AA28" i="1" s="1"/>
  <c r="AC15" i="4" s="1"/>
  <c r="AG389" i="1"/>
  <c r="AA389" i="1" s="1"/>
  <c r="AD23" i="4" s="1"/>
  <c r="AG27" i="1"/>
  <c r="AA27" i="1" s="1"/>
  <c r="AB15" i="4" s="1"/>
  <c r="AG412" i="1"/>
  <c r="W13" i="4" s="1"/>
  <c r="AG371" i="1"/>
  <c r="AA371" i="1" s="1"/>
  <c r="L23" i="4" s="1"/>
  <c r="AG818" i="1"/>
  <c r="AA818" i="1" s="1"/>
  <c r="I31" i="4" s="1"/>
  <c r="AN31" i="4" s="1" a="1"/>
  <c r="AN31" i="4" s="1"/>
  <c r="AG765" i="1"/>
  <c r="AA765" i="1" s="1"/>
  <c r="P30" i="4" s="1"/>
  <c r="Y20" i="4" l="1"/>
  <c r="AP20" i="4"/>
  <c r="AA811" i="1"/>
  <c r="AF35" i="4" s="1"/>
  <c r="AP35" i="4"/>
  <c r="AP34" i="4"/>
  <c r="AP30" i="4"/>
  <c r="AP31" i="4"/>
  <c r="AP23" i="4"/>
  <c r="AP15" i="4"/>
  <c r="AP13" i="4"/>
  <c r="K3" i="4"/>
  <c r="L3" i="4" l="1"/>
  <c r="M3" i="4" l="1"/>
  <c r="N3" i="4" l="1"/>
  <c r="O3" i="4" l="1"/>
  <c r="P3" i="4" l="1"/>
  <c r="Q3" i="4" l="1"/>
  <c r="R3" i="4" l="1"/>
  <c r="S3" i="4" l="1"/>
  <c r="T3" i="4" l="1"/>
  <c r="U3" i="4" l="1"/>
  <c r="V3" i="4" l="1"/>
  <c r="W3" i="4" l="1"/>
  <c r="X3" i="4" l="1"/>
  <c r="Y3" i="4" l="1"/>
  <c r="Z3" i="4" l="1"/>
  <c r="AA3" i="4" l="1"/>
  <c r="AB3" i="4" l="1"/>
  <c r="AC3" i="4" l="1"/>
  <c r="AD3" i="4" l="1"/>
  <c r="AE3" i="4" l="1"/>
  <c r="AF3" i="4" l="1"/>
  <c r="AG3" i="4" l="1"/>
  <c r="AH3" i="4" l="1"/>
  <c r="AI18" i="4" l="1" a="1"/>
  <c r="AI18" i="4" s="1"/>
  <c r="AI19" i="4" a="1"/>
  <c r="AI19" i="4" s="1"/>
  <c r="AI28" i="4" a="1"/>
  <c r="AI28" i="4" s="1"/>
  <c r="AI32" i="4" a="1"/>
  <c r="AI32" i="4" s="1"/>
  <c r="AI15" i="4" a="1"/>
  <c r="AI15" i="4" s="1"/>
  <c r="AI33" i="4" a="1"/>
  <c r="AI33" i="4" s="1"/>
  <c r="AI16" i="4" a="1"/>
  <c r="AI16" i="4" s="1"/>
  <c r="AI29" i="4" a="1"/>
  <c r="AI29" i="4" s="1"/>
  <c r="AI25" i="4" a="1"/>
  <c r="AI25" i="4" s="1"/>
  <c r="AI23" i="4" a="1"/>
  <c r="AI23" i="4" s="1"/>
  <c r="AI30" i="4" a="1"/>
  <c r="AI30" i="4" s="1"/>
  <c r="AI26" i="4" a="1"/>
  <c r="AI26" i="4" s="1"/>
  <c r="AI6" i="4" a="1"/>
  <c r="AI6" i="4" s="1"/>
  <c r="AI17" i="4" a="1"/>
  <c r="AI17" i="4" s="1"/>
  <c r="AN12" i="4" a="1"/>
  <c r="AN12" i="4" s="1"/>
  <c r="AI22" i="4" a="1"/>
  <c r="AI22" i="4" s="1"/>
  <c r="AI24" i="4" a="1"/>
  <c r="AI24" i="4" s="1"/>
  <c r="AI31" i="4" a="1"/>
  <c r="AI31" i="4" s="1"/>
  <c r="AI34" i="4" a="1"/>
  <c r="AI34" i="4" s="1"/>
  <c r="AI21" i="4" a="1"/>
  <c r="AI21" i="4" s="1"/>
  <c r="AI20" i="4" a="1"/>
  <c r="AI20" i="4" s="1"/>
  <c r="AI35" i="4"/>
  <c r="AN13" i="4" l="1" a="1"/>
  <c r="AN13" i="4" s="1"/>
  <c r="AI13" i="4" a="1"/>
  <c r="AI13" i="4" s="1"/>
  <c r="AN8" i="4" a="1"/>
  <c r="AN8" i="4" s="1"/>
  <c r="AI8" i="4" a="1"/>
  <c r="AI8" i="4" s="1"/>
  <c r="AI7" i="4" a="1"/>
  <c r="AI7" i="4" s="1"/>
  <c r="AI12" i="4" a="1"/>
  <c r="AI12" i="4" s="1"/>
  <c r="AN11" i="4" a="1"/>
  <c r="AN11" i="4" s="1"/>
  <c r="AI11" i="4" a="1"/>
  <c r="AI11" i="4" s="1"/>
  <c r="AI10" i="4" a="1"/>
  <c r="AI10" i="4" s="1"/>
  <c r="AN10" i="4" a="1"/>
  <c r="AN10" i="4" s="1"/>
  <c r="AN9" i="4" a="1"/>
  <c r="AN9" i="4" s="1"/>
  <c r="AI9" i="4" a="1"/>
  <c r="AI9" i="4" s="1"/>
  <c r="AN25" i="4" a="1"/>
  <c r="AN25" i="4" s="1"/>
  <c r="AN16" i="4" a="1"/>
  <c r="AN16" i="4" s="1"/>
  <c r="AN19" i="4" a="1"/>
  <c r="AN19" i="4" s="1"/>
  <c r="AN21" i="4" a="1"/>
  <c r="AN21" i="4" s="1"/>
  <c r="AN17" i="4" a="1"/>
  <c r="AN17" i="4" s="1"/>
  <c r="AN22" i="4" a="1"/>
  <c r="AN22" i="4" s="1"/>
  <c r="AN24" i="4" a="1"/>
  <c r="AN24" i="4" s="1"/>
  <c r="AN20" i="4" a="1"/>
  <c r="AN20" i="4" s="1"/>
  <c r="AN23" i="4" a="1"/>
  <c r="AN23" i="4" s="1"/>
  <c r="AN15" i="4" a="1"/>
  <c r="AN15" i="4" s="1"/>
  <c r="AN18" i="4" a="1"/>
  <c r="AN18" i="4" s="1"/>
  <c r="AN26" i="4" a="1"/>
  <c r="AN26" i="4" s="1"/>
  <c r="AN6" i="4" a="1"/>
  <c r="AN6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C37" authorId="0" shapeId="0" xr:uid="{F29A62C2-B468-408C-B0DE-49EB5434D5F2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CTV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<sst xmlns="http://schemas.openxmlformats.org/spreadsheetml/2006/main" count="15049" uniqueCount="1422">
  <si>
    <t>Chi Tiết Chấm Công</t>
  </si>
  <si>
    <t>ID Người</t>
  </si>
  <si>
    <t>Tên</t>
  </si>
  <si>
    <t>Bộ phận</t>
  </si>
  <si>
    <t>Ngày</t>
  </si>
  <si>
    <t>Ca làm việc</t>
  </si>
  <si>
    <t>Thời gian biểu</t>
  </si>
  <si>
    <t>Tình trạng chuyên cần</t>
  </si>
  <si>
    <t>Vào</t>
  </si>
  <si>
    <t>Ra</t>
  </si>
  <si>
    <t>Muộn</t>
  </si>
  <si>
    <t>Đã tham dự</t>
  </si>
  <si>
    <t>Vắng mặt</t>
  </si>
  <si>
    <t>Đã làm việc</t>
  </si>
  <si>
    <t>Thoát</t>
  </si>
  <si>
    <t>Tăng ca 1</t>
  </si>
  <si>
    <t>Tăng ca 2</t>
  </si>
  <si>
    <t>Tăng ca 3</t>
  </si>
  <si>
    <t>1</t>
  </si>
  <si>
    <t>Thach</t>
  </si>
  <si>
    <t>Tổ Chức Mới</t>
  </si>
  <si>
    <t>2025-09-01</t>
  </si>
  <si>
    <t>HC</t>
  </si>
  <si>
    <t>HC(08:00:00-17:00:00)</t>
  </si>
  <si>
    <t>-</t>
  </si>
  <si>
    <t>0 phút</t>
  </si>
  <si>
    <t>540 phút</t>
  </si>
  <si>
    <t>2025-09-02</t>
  </si>
  <si>
    <t>2025-09-03</t>
  </si>
  <si>
    <t>bình thường</t>
  </si>
  <si>
    <t>07:16:01</t>
  </si>
  <si>
    <t>19:20:43</t>
  </si>
  <si>
    <t>681 phút</t>
  </si>
  <si>
    <t>120 phút</t>
  </si>
  <si>
    <t>41 phút</t>
  </si>
  <si>
    <t>2025-09-04</t>
  </si>
  <si>
    <t>07:18:41</t>
  </si>
  <si>
    <t>2025-09-05</t>
  </si>
  <si>
    <t>07:22:22</t>
  </si>
  <si>
    <t>18:58:57</t>
  </si>
  <si>
    <t>659 phút</t>
  </si>
  <si>
    <t>119 phút</t>
  </si>
  <si>
    <t>2025-09-06</t>
  </si>
  <si>
    <t>07:29:09</t>
  </si>
  <si>
    <t>17:50:24</t>
  </si>
  <si>
    <t>590 phút</t>
  </si>
  <si>
    <t>50 phút</t>
  </si>
  <si>
    <t>2025-09-07</t>
  </si>
  <si>
    <t>2025-09-08</t>
  </si>
  <si>
    <t>07:22:13</t>
  </si>
  <si>
    <t>18:32:00</t>
  </si>
  <si>
    <t>632 phút</t>
  </si>
  <si>
    <t>92 phút</t>
  </si>
  <si>
    <t>2025-09-09</t>
  </si>
  <si>
    <t>07:16:13</t>
  </si>
  <si>
    <t>18:06:28</t>
  </si>
  <si>
    <t>606 phút</t>
  </si>
  <si>
    <t>66 phút</t>
  </si>
  <si>
    <t>2025-09-10</t>
  </si>
  <si>
    <t>07:21:23</t>
  </si>
  <si>
    <t>17:29:40</t>
  </si>
  <si>
    <t>570 phút</t>
  </si>
  <si>
    <t>30 phút</t>
  </si>
  <si>
    <t>2025-09-11</t>
  </si>
  <si>
    <t>07:19:17</t>
  </si>
  <si>
    <t>19:20:48</t>
  </si>
  <si>
    <t>42 phút</t>
  </si>
  <si>
    <t>2025-09-12</t>
  </si>
  <si>
    <t>18:45:25</t>
  </si>
  <si>
    <t>2025-09-13</t>
  </si>
  <si>
    <t>07:12:41</t>
  </si>
  <si>
    <t>17:54:46</t>
  </si>
  <si>
    <t>595 phút</t>
  </si>
  <si>
    <t>55 phút</t>
  </si>
  <si>
    <t>2025-09-14</t>
  </si>
  <si>
    <t>2025-09-15</t>
  </si>
  <si>
    <t>07:21:32</t>
  </si>
  <si>
    <t>17:53:47</t>
  </si>
  <si>
    <t>594 phút</t>
  </si>
  <si>
    <t>54 phút</t>
  </si>
  <si>
    <t>2025-09-16</t>
  </si>
  <si>
    <t>07:08:31</t>
  </si>
  <si>
    <t>19:22:44</t>
  </si>
  <si>
    <t>683 phút</t>
  </si>
  <si>
    <t>45 phút</t>
  </si>
  <si>
    <t>2025-09-17</t>
  </si>
  <si>
    <t>07:19:59</t>
  </si>
  <si>
    <t>18:34:18</t>
  </si>
  <si>
    <t>634 phút</t>
  </si>
  <si>
    <t>94 phút</t>
  </si>
  <si>
    <t>2025-09-18</t>
  </si>
  <si>
    <t>07:17:03</t>
  </si>
  <si>
    <t>18:23:19</t>
  </si>
  <si>
    <t>623 phút</t>
  </si>
  <si>
    <t>83 phút</t>
  </si>
  <si>
    <t>2025-09-19</t>
  </si>
  <si>
    <t>07:22:43</t>
  </si>
  <si>
    <t>18:26:18</t>
  </si>
  <si>
    <t>626 phút</t>
  </si>
  <si>
    <t>86 phút</t>
  </si>
  <si>
    <t>2025-09-20</t>
  </si>
  <si>
    <t>07:24:08</t>
  </si>
  <si>
    <t>17:58:08</t>
  </si>
  <si>
    <t>598 phút</t>
  </si>
  <si>
    <t>58 phút</t>
  </si>
  <si>
    <t>2025-09-21</t>
  </si>
  <si>
    <t>2025-09-22</t>
  </si>
  <si>
    <t>07:19:36</t>
  </si>
  <si>
    <t>18:19:04</t>
  </si>
  <si>
    <t>619 phút</t>
  </si>
  <si>
    <t>79 phút</t>
  </si>
  <si>
    <t>2025-09-23</t>
  </si>
  <si>
    <t>07:20:40</t>
  </si>
  <si>
    <t>18:42:00</t>
  </si>
  <si>
    <t>642 phút</t>
  </si>
  <si>
    <t>102 phút</t>
  </si>
  <si>
    <t>2025-09-24</t>
  </si>
  <si>
    <t>07:08:54</t>
  </si>
  <si>
    <t>18:09:20</t>
  </si>
  <si>
    <t>609 phút</t>
  </si>
  <si>
    <t>69 phút</t>
  </si>
  <si>
    <t>2025-09-25</t>
  </si>
  <si>
    <t>07:07:09</t>
  </si>
  <si>
    <t>2025-09-26</t>
  </si>
  <si>
    <t>07:20:10</t>
  </si>
  <si>
    <t>2025-09-27</t>
  </si>
  <si>
    <t>07:27:42</t>
  </si>
  <si>
    <t>17:40:04</t>
  </si>
  <si>
    <t>580 phút</t>
  </si>
  <si>
    <t>40 phút</t>
  </si>
  <si>
    <t>2025-09-28</t>
  </si>
  <si>
    <t>2025-09-29</t>
  </si>
  <si>
    <t>07:13:39</t>
  </si>
  <si>
    <t>18:36:56</t>
  </si>
  <si>
    <t>637 phút</t>
  </si>
  <si>
    <t>97 phút</t>
  </si>
  <si>
    <t>2025-09-30</t>
  </si>
  <si>
    <t>07:19:28</t>
  </si>
  <si>
    <t>17:35:55</t>
  </si>
  <si>
    <t>576 phút</t>
  </si>
  <si>
    <t>36 phút</t>
  </si>
  <si>
    <t>10</t>
  </si>
  <si>
    <t>Dang</t>
  </si>
  <si>
    <t>06:39:11</t>
  </si>
  <si>
    <t>06:44:37</t>
  </si>
  <si>
    <t>05:00:56</t>
  </si>
  <si>
    <t>06:49:55</t>
  </si>
  <si>
    <t>06:43:29</t>
  </si>
  <si>
    <t>06:40:04</t>
  </si>
  <si>
    <t>05:36:04</t>
  </si>
  <si>
    <t>06:26:02</t>
  </si>
  <si>
    <t>06:49:31</t>
  </si>
  <si>
    <t>06:47:41</t>
  </si>
  <si>
    <t>06:44:15</t>
  </si>
  <si>
    <t>06:42:18</t>
  </si>
  <si>
    <t>06:41:58</t>
  </si>
  <si>
    <t>06:47:03</t>
  </si>
  <si>
    <t>06:54:09</t>
  </si>
  <si>
    <t>06:51:11</t>
  </si>
  <si>
    <t>06:50:37</t>
  </si>
  <si>
    <t>06:43:44</t>
  </si>
  <si>
    <t>06:51:36</t>
  </si>
  <si>
    <t>06:56:13</t>
  </si>
  <si>
    <t>11</t>
  </si>
  <si>
    <t>Hoang Tam</t>
  </si>
  <si>
    <t>07:29:46</t>
  </si>
  <si>
    <t>07:33:58</t>
  </si>
  <si>
    <t>07:29:25</t>
  </si>
  <si>
    <t>07:33:13</t>
  </si>
  <si>
    <t>08:42:22</t>
  </si>
  <si>
    <t>07:37:04</t>
  </si>
  <si>
    <t>07:32:10</t>
  </si>
  <si>
    <t>12</t>
  </si>
  <si>
    <t>Duc Thanh</t>
  </si>
  <si>
    <t>07:15:47</t>
  </si>
  <si>
    <t>07:22:58</t>
  </si>
  <si>
    <t>07:24:33</t>
  </si>
  <si>
    <t>6 phút</t>
  </si>
  <si>
    <t>534 phút</t>
  </si>
  <si>
    <t>06:56:14</t>
  </si>
  <si>
    <t>07:09:58</t>
  </si>
  <si>
    <t>06:51:00</t>
  </si>
  <si>
    <t>07:22:28</t>
  </si>
  <si>
    <t>07:24:04</t>
  </si>
  <si>
    <t>07:25:24</t>
  </si>
  <si>
    <t>07:09:59</t>
  </si>
  <si>
    <t>07:17:39</t>
  </si>
  <si>
    <t>07:06:31</t>
  </si>
  <si>
    <t>07:11:52</t>
  </si>
  <si>
    <t>07:13:30</t>
  </si>
  <si>
    <t>07:16:31</t>
  </si>
  <si>
    <t>07:08:28</t>
  </si>
  <si>
    <t>07:12:55</t>
  </si>
  <si>
    <t>07:12:32</t>
  </si>
  <si>
    <t>07:20:36</t>
  </si>
  <si>
    <t>07:11:08</t>
  </si>
  <si>
    <t>07:26:43</t>
  </si>
  <si>
    <t>07:08:24</t>
  </si>
  <si>
    <t>13</t>
  </si>
  <si>
    <t>Minh</t>
  </si>
  <si>
    <t>07:05:09</t>
  </si>
  <si>
    <t>07:36:55</t>
  </si>
  <si>
    <t>07:12:45</t>
  </si>
  <si>
    <t>07:34:01</t>
  </si>
  <si>
    <t>07:20:39</t>
  </si>
  <si>
    <t>07:07:16</t>
  </si>
  <si>
    <t>07:22:24</t>
  </si>
  <si>
    <t>07:04:17</t>
  </si>
  <si>
    <t>07:25:10</t>
  </si>
  <si>
    <t>07:02:35</t>
  </si>
  <si>
    <t>07:19:48</t>
  </si>
  <si>
    <t>07:19:33</t>
  </si>
  <si>
    <t>07:06:43</t>
  </si>
  <si>
    <t>07:12:27</t>
  </si>
  <si>
    <t>07:17:50</t>
  </si>
  <si>
    <t>06:55:19</t>
  </si>
  <si>
    <t>07:01:29</t>
  </si>
  <si>
    <t>07:12:47</t>
  </si>
  <si>
    <t>07:24:34</t>
  </si>
  <si>
    <t>07:10:56</t>
  </si>
  <si>
    <t>07:54:46</t>
  </si>
  <si>
    <t>14</t>
  </si>
  <si>
    <t>Luong</t>
  </si>
  <si>
    <t>15</t>
  </si>
  <si>
    <t>Khang</t>
  </si>
  <si>
    <t>16</t>
  </si>
  <si>
    <t>Thinh</t>
  </si>
  <si>
    <t>17</t>
  </si>
  <si>
    <t>Thuy</t>
  </si>
  <si>
    <t>18</t>
  </si>
  <si>
    <t>Phong</t>
  </si>
  <si>
    <t>19</t>
  </si>
  <si>
    <t>Tho</t>
  </si>
  <si>
    <t>07:42:39</t>
  </si>
  <si>
    <t>07:56:47</t>
  </si>
  <si>
    <t>07:46:38</t>
  </si>
  <si>
    <t>07:50:23</t>
  </si>
  <si>
    <t>07:53:20</t>
  </si>
  <si>
    <t>07:47:09</t>
  </si>
  <si>
    <t>07:59:40</t>
  </si>
  <si>
    <t>08:10:51</t>
  </si>
  <si>
    <t>11 phút</t>
  </si>
  <si>
    <t>07:36:48</t>
  </si>
  <si>
    <t>07:56:29</t>
  </si>
  <si>
    <t>07:54:39</t>
  </si>
  <si>
    <t>07:52:32</t>
  </si>
  <si>
    <t>07:53:49</t>
  </si>
  <si>
    <t>08:07:09</t>
  </si>
  <si>
    <t>7 phút</t>
  </si>
  <si>
    <t>07:57:27</t>
  </si>
  <si>
    <t>08:03:40</t>
  </si>
  <si>
    <t>4 phút</t>
  </si>
  <si>
    <t>07:20:53</t>
  </si>
  <si>
    <t>07:56:22</t>
  </si>
  <si>
    <t>07:44:29</t>
  </si>
  <si>
    <t>07:44:09</t>
  </si>
  <si>
    <t>2</t>
  </si>
  <si>
    <t>Tam</t>
  </si>
  <si>
    <t>07:57:43</t>
  </si>
  <si>
    <t>18:14:11</t>
  </si>
  <si>
    <t>614 phút</t>
  </si>
  <si>
    <t>74 phút</t>
  </si>
  <si>
    <t>07:51:48</t>
  </si>
  <si>
    <t>17:38:16</t>
  </si>
  <si>
    <t>578 phút</t>
  </si>
  <si>
    <t>38 phút</t>
  </si>
  <si>
    <t>07:52:58</t>
  </si>
  <si>
    <t>17:10:59</t>
  </si>
  <si>
    <t>551 phút</t>
  </si>
  <si>
    <t>07:53:48</t>
  </si>
  <si>
    <t>18:46:26</t>
  </si>
  <si>
    <t>646 phút</t>
  </si>
  <si>
    <t>106 phút</t>
  </si>
  <si>
    <t>07:50:17</t>
  </si>
  <si>
    <t>18:14:48</t>
  </si>
  <si>
    <t>615 phút</t>
  </si>
  <si>
    <t>75 phút</t>
  </si>
  <si>
    <t>Về sớm</t>
  </si>
  <si>
    <t>07:54:41</t>
  </si>
  <si>
    <t>16:34:51</t>
  </si>
  <si>
    <t>515 phút</t>
  </si>
  <si>
    <t>25 phút</t>
  </si>
  <si>
    <t>07:42:17</t>
  </si>
  <si>
    <t>18:03:22</t>
  </si>
  <si>
    <t>603 phút</t>
  </si>
  <si>
    <t>63 phút</t>
  </si>
  <si>
    <t>07:52:14</t>
  </si>
  <si>
    <t>17:48:34</t>
  </si>
  <si>
    <t>589 phút</t>
  </si>
  <si>
    <t>49 phút</t>
  </si>
  <si>
    <t>07:54:10</t>
  </si>
  <si>
    <t>18:57:57</t>
  </si>
  <si>
    <t>658 phút</t>
  </si>
  <si>
    <t>118 phút</t>
  </si>
  <si>
    <t>07:51:15</t>
  </si>
  <si>
    <t>18:17:52</t>
  </si>
  <si>
    <t>618 phút</t>
  </si>
  <si>
    <t>78 phút</t>
  </si>
  <si>
    <t>07:50:40</t>
  </si>
  <si>
    <t>18:27:59</t>
  </si>
  <si>
    <t>628 phút</t>
  </si>
  <si>
    <t>88 phút</t>
  </si>
  <si>
    <t>07:53:06</t>
  </si>
  <si>
    <t>18:30:42</t>
  </si>
  <si>
    <t>631 phút</t>
  </si>
  <si>
    <t>91 phút</t>
  </si>
  <si>
    <t>07:51:40</t>
  </si>
  <si>
    <t>17:55:05</t>
  </si>
  <si>
    <t>07:47:58</t>
  </si>
  <si>
    <t>18:22:25</t>
  </si>
  <si>
    <t>622 phút</t>
  </si>
  <si>
    <t>82 phút</t>
  </si>
  <si>
    <t>08:02:23</t>
  </si>
  <si>
    <t>18:53:11</t>
  </si>
  <si>
    <t>2 phút</t>
  </si>
  <si>
    <t>651 phút</t>
  </si>
  <si>
    <t>113 phút</t>
  </si>
  <si>
    <t>07:51:27</t>
  </si>
  <si>
    <t>18:41:50</t>
  </si>
  <si>
    <t>07:51:47</t>
  </si>
  <si>
    <t>17:27:02</t>
  </si>
  <si>
    <t>567 phút</t>
  </si>
  <si>
    <t>27 phút</t>
  </si>
  <si>
    <t>07:51:07</t>
  </si>
  <si>
    <t>17:55:57</t>
  </si>
  <si>
    <t>596 phút</t>
  </si>
  <si>
    <t>56 phút</t>
  </si>
  <si>
    <t>07:59:00</t>
  </si>
  <si>
    <t>17:42:07</t>
  </si>
  <si>
    <t>582 phút</t>
  </si>
  <si>
    <t>20</t>
  </si>
  <si>
    <t>Quang Thanh</t>
  </si>
  <si>
    <t>07:27:25</t>
  </si>
  <si>
    <t>07:57:34</t>
  </si>
  <si>
    <t>07:40:57</t>
  </si>
  <si>
    <t>07:18:29</t>
  </si>
  <si>
    <t>07:51:21</t>
  </si>
  <si>
    <t>07:46:21</t>
  </si>
  <si>
    <t>07:51:06</t>
  </si>
  <si>
    <t>07:44:53</t>
  </si>
  <si>
    <t>07:56:06</t>
  </si>
  <si>
    <t>07:57:11</t>
  </si>
  <si>
    <t>07:55:00</t>
  </si>
  <si>
    <t>08:10:57</t>
  </si>
  <si>
    <t>08:19:18</t>
  </si>
  <si>
    <t>19 phút</t>
  </si>
  <si>
    <t>07:36:07</t>
  </si>
  <si>
    <t>07:34:32</t>
  </si>
  <si>
    <t>07:35:58</t>
  </si>
  <si>
    <t>07:38:22</t>
  </si>
  <si>
    <t>07:46:25</t>
  </si>
  <si>
    <t>07:37:49</t>
  </si>
  <si>
    <t>21</t>
  </si>
  <si>
    <t>Vu</t>
  </si>
  <si>
    <t>07:41:48</t>
  </si>
  <si>
    <t>18:22:17</t>
  </si>
  <si>
    <t>08:01:21</t>
  </si>
  <si>
    <t>18:45:06</t>
  </si>
  <si>
    <t>1 phút</t>
  </si>
  <si>
    <t>644 phút</t>
  </si>
  <si>
    <t>105 phút</t>
  </si>
  <si>
    <t>07:58:42</t>
  </si>
  <si>
    <t>18:40:35</t>
  </si>
  <si>
    <t>641 phút</t>
  </si>
  <si>
    <t>101 phút</t>
  </si>
  <si>
    <t>07:58:24</t>
  </si>
  <si>
    <t>18:31:35</t>
  </si>
  <si>
    <t>07:58:26</t>
  </si>
  <si>
    <t>18:53:20</t>
  </si>
  <si>
    <t>653 phút</t>
  </si>
  <si>
    <t>08:00:03</t>
  </si>
  <si>
    <t>18:47:05</t>
  </si>
  <si>
    <t>647 phút</t>
  </si>
  <si>
    <t>107 phút</t>
  </si>
  <si>
    <t>07:58:17</t>
  </si>
  <si>
    <t>18:54:09</t>
  </si>
  <si>
    <t>654 phút</t>
  </si>
  <si>
    <t>114 phút</t>
  </si>
  <si>
    <t>08:02:25</t>
  </si>
  <si>
    <t>18:26:01</t>
  </si>
  <si>
    <t>624 phút</t>
  </si>
  <si>
    <t>07:55:18</t>
  </si>
  <si>
    <t>18:08:18</t>
  </si>
  <si>
    <t>608 phút</t>
  </si>
  <si>
    <t>68 phút</t>
  </si>
  <si>
    <t>18:31:00</t>
  </si>
  <si>
    <t>07:55:58</t>
  </si>
  <si>
    <t>18:47:54</t>
  </si>
  <si>
    <t>648 phút</t>
  </si>
  <si>
    <t>108 phút</t>
  </si>
  <si>
    <t>07:49:45</t>
  </si>
  <si>
    <t>18:04:37</t>
  </si>
  <si>
    <t>605 phút</t>
  </si>
  <si>
    <t>65 phút</t>
  </si>
  <si>
    <t>07:53:12</t>
  </si>
  <si>
    <t>19:16:20</t>
  </si>
  <si>
    <t>676 phút</t>
  </si>
  <si>
    <t>33 phút</t>
  </si>
  <si>
    <t>07:50:12</t>
  </si>
  <si>
    <t>18:15:06</t>
  </si>
  <si>
    <t>07:55:39</t>
  </si>
  <si>
    <t>18:34:50</t>
  </si>
  <si>
    <t>635 phút</t>
  </si>
  <si>
    <t>95 phút</t>
  </si>
  <si>
    <t>07:37:57</t>
  </si>
  <si>
    <t>19:18:32</t>
  </si>
  <si>
    <t>679 phút</t>
  </si>
  <si>
    <t>37 phút</t>
  </si>
  <si>
    <t>07:41:54</t>
  </si>
  <si>
    <t>18:08:03</t>
  </si>
  <si>
    <t>07:32:41</t>
  </si>
  <si>
    <t>18:57:26</t>
  </si>
  <si>
    <t>657 phút</t>
  </si>
  <si>
    <t>117 phút</t>
  </si>
  <si>
    <t>07:40:09</t>
  </si>
  <si>
    <t>19:17:59</t>
  </si>
  <si>
    <t>678 phút</t>
  </si>
  <si>
    <t>07:40:23</t>
  </si>
  <si>
    <t>19:13:14</t>
  </si>
  <si>
    <t>673 phút</t>
  </si>
  <si>
    <t>26 phút</t>
  </si>
  <si>
    <t>07:24:27</t>
  </si>
  <si>
    <t>18:55:51</t>
  </si>
  <si>
    <t>656 phút</t>
  </si>
  <si>
    <t>116 phút</t>
  </si>
  <si>
    <t>07:21:28</t>
  </si>
  <si>
    <t>19:06:29</t>
  </si>
  <si>
    <t>666 phút</t>
  </si>
  <si>
    <t>13 phút</t>
  </si>
  <si>
    <t>07:49:43</t>
  </si>
  <si>
    <t>18:47:33</t>
  </si>
  <si>
    <t>22</t>
  </si>
  <si>
    <t>Yen</t>
  </si>
  <si>
    <t>23</t>
  </si>
  <si>
    <t>Thien Thanh</t>
  </si>
  <si>
    <t>07:26:53</t>
  </si>
  <si>
    <t>19:44:46</t>
  </si>
  <si>
    <t>705 phút</t>
  </si>
  <si>
    <t>90 phút</t>
  </si>
  <si>
    <t>07:33:39</t>
  </si>
  <si>
    <t>18:33:38</t>
  </si>
  <si>
    <t>07:34:42</t>
  </si>
  <si>
    <t>19:28:49</t>
  </si>
  <si>
    <t>689 phút</t>
  </si>
  <si>
    <t>07:32:03</t>
  </si>
  <si>
    <t>18:39:50</t>
  </si>
  <si>
    <t>640 phút</t>
  </si>
  <si>
    <t>100 phút</t>
  </si>
  <si>
    <t>07:35:48</t>
  </si>
  <si>
    <t>20:30:25</t>
  </si>
  <si>
    <t>750 phút</t>
  </si>
  <si>
    <t>181 phút</t>
  </si>
  <si>
    <t>07:05:57</t>
  </si>
  <si>
    <t>19:41:32</t>
  </si>
  <si>
    <t>702 phút</t>
  </si>
  <si>
    <t>07:35:47</t>
  </si>
  <si>
    <t>18:25:37</t>
  </si>
  <si>
    <t>07:27:16</t>
  </si>
  <si>
    <t>18:52:44</t>
  </si>
  <si>
    <t>07:36:13</t>
  </si>
  <si>
    <t>18:15:07</t>
  </si>
  <si>
    <t>07:24:50</t>
  </si>
  <si>
    <t>18:15:05</t>
  </si>
  <si>
    <t>07:28:35</t>
  </si>
  <si>
    <t>19:18:37</t>
  </si>
  <si>
    <t>19:19:52</t>
  </si>
  <si>
    <t>680 phút</t>
  </si>
  <si>
    <t>07:31:56</t>
  </si>
  <si>
    <t>18:58:18</t>
  </si>
  <si>
    <t>07:35:07</t>
  </si>
  <si>
    <t>18:23:15</t>
  </si>
  <si>
    <t>07:31:43</t>
  </si>
  <si>
    <t>18:01:55</t>
  </si>
  <si>
    <t>602 phút</t>
  </si>
  <si>
    <t>62 phút</t>
  </si>
  <si>
    <t>07:30:00</t>
  </si>
  <si>
    <t>17:43:58</t>
  </si>
  <si>
    <t>584 phút</t>
  </si>
  <si>
    <t>44 phút</t>
  </si>
  <si>
    <t>07:31:14</t>
  </si>
  <si>
    <t>18:34:22</t>
  </si>
  <si>
    <t>07:29:42</t>
  </si>
  <si>
    <t>19:35:21</t>
  </si>
  <si>
    <t>695 phút</t>
  </si>
  <si>
    <t>71 phút</t>
  </si>
  <si>
    <t>07:32:12</t>
  </si>
  <si>
    <t>20:08:48</t>
  </si>
  <si>
    <t>729 phút</t>
  </si>
  <si>
    <t>138 phút</t>
  </si>
  <si>
    <t>07:31:06</t>
  </si>
  <si>
    <t>18:25:22</t>
  </si>
  <si>
    <t>625 phút</t>
  </si>
  <si>
    <t>85 phút</t>
  </si>
  <si>
    <t>07:34:25</t>
  </si>
  <si>
    <t>17:50:10</t>
  </si>
  <si>
    <t>07:29:52</t>
  </si>
  <si>
    <t>17:38:26</t>
  </si>
  <si>
    <t>07:33:18</t>
  </si>
  <si>
    <t>19:12:53</t>
  </si>
  <si>
    <t>18:29:43</t>
  </si>
  <si>
    <t>630 phút</t>
  </si>
  <si>
    <t>24</t>
  </si>
  <si>
    <t>Thien Trang</t>
  </si>
  <si>
    <t>07:26:40</t>
  </si>
  <si>
    <t>19:44:40</t>
  </si>
  <si>
    <t>89 phút</t>
  </si>
  <si>
    <t>07:33:28</t>
  </si>
  <si>
    <t>18:33:32</t>
  </si>
  <si>
    <t>07:34:38</t>
  </si>
  <si>
    <t>17:54:43</t>
  </si>
  <si>
    <t>07:31:49</t>
  </si>
  <si>
    <t>18:38:22</t>
  </si>
  <si>
    <t>638 phút</t>
  </si>
  <si>
    <t>98 phút</t>
  </si>
  <si>
    <t>07:35:27</t>
  </si>
  <si>
    <t>20:30:49</t>
  </si>
  <si>
    <t>751 phút</t>
  </si>
  <si>
    <t>182 phút</t>
  </si>
  <si>
    <t>07:05:46</t>
  </si>
  <si>
    <t>18:52:05</t>
  </si>
  <si>
    <t>652 phút</t>
  </si>
  <si>
    <t>112 phút</t>
  </si>
  <si>
    <t>07:35:44</t>
  </si>
  <si>
    <t>18:24:40</t>
  </si>
  <si>
    <t>07:27:12</t>
  </si>
  <si>
    <t>18:53:19</t>
  </si>
  <si>
    <t>07:36:09</t>
  </si>
  <si>
    <t>18:15:32</t>
  </si>
  <si>
    <t>616 phút</t>
  </si>
  <si>
    <t>76 phút</t>
  </si>
  <si>
    <t>07:24:28</t>
  </si>
  <si>
    <t>18:13:59</t>
  </si>
  <si>
    <t>07:28:25</t>
  </si>
  <si>
    <t>19:19:13</t>
  </si>
  <si>
    <t>07:27:22</t>
  </si>
  <si>
    <t>19:20:46</t>
  </si>
  <si>
    <t>07:31:52</t>
  </si>
  <si>
    <t>18:58:03</t>
  </si>
  <si>
    <t>07:35:01</t>
  </si>
  <si>
    <t>18:23:07</t>
  </si>
  <si>
    <t>07:31:38</t>
  </si>
  <si>
    <t>18:02:13</t>
  </si>
  <si>
    <t>07:29:55</t>
  </si>
  <si>
    <t>17:44:04</t>
  </si>
  <si>
    <t>07:31:11</t>
  </si>
  <si>
    <t>18:34:15</t>
  </si>
  <si>
    <t>07:29:38</t>
  </si>
  <si>
    <t>19:36:00</t>
  </si>
  <si>
    <t>696 phút</t>
  </si>
  <si>
    <t>72 phút</t>
  </si>
  <si>
    <t>07:32:06</t>
  </si>
  <si>
    <t>20:08:41</t>
  </si>
  <si>
    <t>137 phút</t>
  </si>
  <si>
    <t>07:31:02</t>
  </si>
  <si>
    <t>18:25:18</t>
  </si>
  <si>
    <t>07:34:21</t>
  </si>
  <si>
    <t>17:49:51</t>
  </si>
  <si>
    <t>07:29:48</t>
  </si>
  <si>
    <t>17:38:41</t>
  </si>
  <si>
    <t>579 phút</t>
  </si>
  <si>
    <t>39 phút</t>
  </si>
  <si>
    <t>07:33:12</t>
  </si>
  <si>
    <t>19:13:30</t>
  </si>
  <si>
    <t>674 phút</t>
  </si>
  <si>
    <t>18:29:09</t>
  </si>
  <si>
    <t>629 phút</t>
  </si>
  <si>
    <t>25</t>
  </si>
  <si>
    <t>Thuc</t>
  </si>
  <si>
    <t>07:32:30</t>
  </si>
  <si>
    <t>07:30:03</t>
  </si>
  <si>
    <t>07:31:17</t>
  </si>
  <si>
    <t>07:29:35</t>
  </si>
  <si>
    <t>07:31:01</t>
  </si>
  <si>
    <t>07:33:29</t>
  </si>
  <si>
    <t>07:36:30</t>
  </si>
  <si>
    <t>07:23:14</t>
  </si>
  <si>
    <t>07:38:44</t>
  </si>
  <si>
    <t>07:26:50</t>
  </si>
  <si>
    <t>07:24:17</t>
  </si>
  <si>
    <t>07:28:05</t>
  </si>
  <si>
    <t>07:22:25</t>
  </si>
  <si>
    <t>07:32:02</t>
  </si>
  <si>
    <t>07:29:16</t>
  </si>
  <si>
    <t>07:27:35</t>
  </si>
  <si>
    <t>07:26:30</t>
  </si>
  <si>
    <t>07:25:13</t>
  </si>
  <si>
    <t>07:19:53</t>
  </si>
  <si>
    <t>07:26:15</t>
  </si>
  <si>
    <t>07:30:14</t>
  </si>
  <si>
    <t>07:26:05</t>
  </si>
  <si>
    <t>07:28:47</t>
  </si>
  <si>
    <t>26</t>
  </si>
  <si>
    <t>Lam</t>
  </si>
  <si>
    <t>27</t>
  </si>
  <si>
    <t>Sam</t>
  </si>
  <si>
    <t>28</t>
  </si>
  <si>
    <t>Hoang</t>
  </si>
  <si>
    <t>29</t>
  </si>
  <si>
    <t>Tai</t>
  </si>
  <si>
    <t>3</t>
  </si>
  <si>
    <t>VIET</t>
  </si>
  <si>
    <t>30</t>
  </si>
  <si>
    <t>Hoa</t>
  </si>
  <si>
    <t>31</t>
  </si>
  <si>
    <t>Thao</t>
  </si>
  <si>
    <t>32</t>
  </si>
  <si>
    <t>17:59:56</t>
  </si>
  <si>
    <t>600 phút</t>
  </si>
  <si>
    <t>60 phút</t>
  </si>
  <si>
    <t>07:23:17</t>
  </si>
  <si>
    <t>18:55:43</t>
  </si>
  <si>
    <t>07:34:06</t>
  </si>
  <si>
    <t>19:15:33</t>
  </si>
  <si>
    <t>31 phút</t>
  </si>
  <si>
    <t>07:32:24</t>
  </si>
  <si>
    <t>16:38:07</t>
  </si>
  <si>
    <t>518 phút</t>
  </si>
  <si>
    <t>22 phút</t>
  </si>
  <si>
    <t>07:33:55</t>
  </si>
  <si>
    <t>16:47:17</t>
  </si>
  <si>
    <t>527 phút</t>
  </si>
  <si>
    <t>07:21:34</t>
  </si>
  <si>
    <t>07:56:51</t>
  </si>
  <si>
    <t>16:58:13</t>
  </si>
  <si>
    <t>538 phút</t>
  </si>
  <si>
    <t>07:22:31</t>
  </si>
  <si>
    <t>16:47:32</t>
  </si>
  <si>
    <t>528 phút</t>
  </si>
  <si>
    <t>12 phút</t>
  </si>
  <si>
    <t>07:16:36</t>
  </si>
  <si>
    <t>07:25:21</t>
  </si>
  <si>
    <t>07:21:09</t>
  </si>
  <si>
    <t>16:39:52</t>
  </si>
  <si>
    <t>520 phút</t>
  </si>
  <si>
    <t>20 phút</t>
  </si>
  <si>
    <t>07:20:26</t>
  </si>
  <si>
    <t>07:21:41</t>
  </si>
  <si>
    <t>16:30:35</t>
  </si>
  <si>
    <t>511 phút</t>
  </si>
  <si>
    <t>29 phút</t>
  </si>
  <si>
    <t>07:19:54</t>
  </si>
  <si>
    <t>16:33:36</t>
  </si>
  <si>
    <t>514 phút</t>
  </si>
  <si>
    <t>07:13:18</t>
  </si>
  <si>
    <t>07:18:39</t>
  </si>
  <si>
    <t>16:31:40</t>
  </si>
  <si>
    <t>512 phút</t>
  </si>
  <si>
    <t>28 phút</t>
  </si>
  <si>
    <t>07:26:39</t>
  </si>
  <si>
    <t>17:40:31</t>
  </si>
  <si>
    <t>581 phút</t>
  </si>
  <si>
    <t>07:38:38</t>
  </si>
  <si>
    <t>16:32:38</t>
  </si>
  <si>
    <t>513 phút</t>
  </si>
  <si>
    <t>07:21:42</t>
  </si>
  <si>
    <t>13:11:11</t>
  </si>
  <si>
    <t>311 phút</t>
  </si>
  <si>
    <t>229 phút</t>
  </si>
  <si>
    <t>07:21:00</t>
  </si>
  <si>
    <t>16:30:11</t>
  </si>
  <si>
    <t>510 phút</t>
  </si>
  <si>
    <t>07:24:48</t>
  </si>
  <si>
    <t>16:34:16</t>
  </si>
  <si>
    <t>07:19:00</t>
  </si>
  <si>
    <t>07:20:08</t>
  </si>
  <si>
    <t>17:29:50</t>
  </si>
  <si>
    <t>07:29:00</t>
  </si>
  <si>
    <t>17:51:58</t>
  </si>
  <si>
    <t>592 phút</t>
  </si>
  <si>
    <t>52 phút</t>
  </si>
  <si>
    <t>33</t>
  </si>
  <si>
    <t>Hanh</t>
  </si>
  <si>
    <t>34</t>
  </si>
  <si>
    <t>Khanh</t>
  </si>
  <si>
    <t>35</t>
  </si>
  <si>
    <t>Chanh</t>
  </si>
  <si>
    <t>36</t>
  </si>
  <si>
    <t>Thai</t>
  </si>
  <si>
    <t>37</t>
  </si>
  <si>
    <t>Tram</t>
  </si>
  <si>
    <t>08:05:04</t>
  </si>
  <si>
    <t>19:25:38</t>
  </si>
  <si>
    <t>5 phút</t>
  </si>
  <si>
    <t>51 phút</t>
  </si>
  <si>
    <t>08:25:11</t>
  </si>
  <si>
    <t>17:06:36</t>
  </si>
  <si>
    <t>521 phút</t>
  </si>
  <si>
    <t>08:03:54</t>
  </si>
  <si>
    <t>19:01:07</t>
  </si>
  <si>
    <t>08:03:16</t>
  </si>
  <si>
    <t>17:30:56</t>
  </si>
  <si>
    <t>3 phút</t>
  </si>
  <si>
    <t>568 phút</t>
  </si>
  <si>
    <t>18:56:18</t>
  </si>
  <si>
    <t>08:03:24</t>
  </si>
  <si>
    <t>17:56:21</t>
  </si>
  <si>
    <t>593 phút</t>
  </si>
  <si>
    <t>08:08:18</t>
  </si>
  <si>
    <t>17:46:53</t>
  </si>
  <si>
    <t>8 phút</t>
  </si>
  <si>
    <t>47 phút</t>
  </si>
  <si>
    <t>08:03:28</t>
  </si>
  <si>
    <t>19:25:36</t>
  </si>
  <si>
    <t>682 phút</t>
  </si>
  <si>
    <t>06:51:13</t>
  </si>
  <si>
    <t>18:04:06</t>
  </si>
  <si>
    <t>604 phút</t>
  </si>
  <si>
    <t>64 phút</t>
  </si>
  <si>
    <t>08:00:20</t>
  </si>
  <si>
    <t>17:03:43</t>
  </si>
  <si>
    <t>543 phút</t>
  </si>
  <si>
    <t>08:05:49</t>
  </si>
  <si>
    <t>17:37:55</t>
  </si>
  <si>
    <t>572 phút</t>
  </si>
  <si>
    <t>08:02:04</t>
  </si>
  <si>
    <t>19:33:19</t>
  </si>
  <si>
    <t>691 phút</t>
  </si>
  <si>
    <t>67 phút</t>
  </si>
  <si>
    <t>08:03:09</t>
  </si>
  <si>
    <t>18:15:57</t>
  </si>
  <si>
    <t>613 phút</t>
  </si>
  <si>
    <t>08:04:28</t>
  </si>
  <si>
    <t>18:23:29</t>
  </si>
  <si>
    <t>07:17:05</t>
  </si>
  <si>
    <t>19:15:43</t>
  </si>
  <si>
    <t>17:02:30</t>
  </si>
  <si>
    <t>08:01:45</t>
  </si>
  <si>
    <t>17:24:55</t>
  </si>
  <si>
    <t>563 phút</t>
  </si>
  <si>
    <t>08:00:51</t>
  </si>
  <si>
    <t>17:50:41</t>
  </si>
  <si>
    <t>07:54:43</t>
  </si>
  <si>
    <t>18:44:27</t>
  </si>
  <si>
    <t>104 phút</t>
  </si>
  <si>
    <t>08:00:38</t>
  </si>
  <si>
    <t>18:46:03</t>
  </si>
  <si>
    <t>645 phút</t>
  </si>
  <si>
    <t>08:05:03</t>
  </si>
  <si>
    <t>17:22:29</t>
  </si>
  <si>
    <t>557 phút</t>
  </si>
  <si>
    <t>08:02:36</t>
  </si>
  <si>
    <t>17:58:50</t>
  </si>
  <si>
    <t>59 phút</t>
  </si>
  <si>
    <t>07:53:32</t>
  </si>
  <si>
    <t>18:16:46</t>
  </si>
  <si>
    <t>617 phút</t>
  </si>
  <si>
    <t>77 phút</t>
  </si>
  <si>
    <t>Muộn/Về sớm</t>
  </si>
  <si>
    <t>08:08:21</t>
  </si>
  <si>
    <t>16:56:19</t>
  </si>
  <si>
    <t>38</t>
  </si>
  <si>
    <t>07:56:23</t>
  </si>
  <si>
    <t>07:57:59</t>
  </si>
  <si>
    <t>07:47:36</t>
  </si>
  <si>
    <t>07:41:09</t>
  </si>
  <si>
    <t>08:00:48</t>
  </si>
  <si>
    <t>08:05:14</t>
  </si>
  <si>
    <t>08:02:40</t>
  </si>
  <si>
    <t>07:55:24</t>
  </si>
  <si>
    <t>08:06:12</t>
  </si>
  <si>
    <t>07:49:23</t>
  </si>
  <si>
    <t>08:01:07</t>
  </si>
  <si>
    <t>07:54:18</t>
  </si>
  <si>
    <t>07:54:47</t>
  </si>
  <si>
    <t>07:59:16</t>
  </si>
  <si>
    <t>07:50:04</t>
  </si>
  <si>
    <t>07:50:33</t>
  </si>
  <si>
    <t>07:57:02</t>
  </si>
  <si>
    <t>07:48:03</t>
  </si>
  <si>
    <t>08:04:39</t>
  </si>
  <si>
    <t>08:01:34</t>
  </si>
  <si>
    <t>07:40:20</t>
  </si>
  <si>
    <t>08:04:26</t>
  </si>
  <si>
    <t>39</t>
  </si>
  <si>
    <t>4</t>
  </si>
  <si>
    <t>Hai</t>
  </si>
  <si>
    <t>40</t>
  </si>
  <si>
    <t>Vinh</t>
  </si>
  <si>
    <t>08:02:45</t>
  </si>
  <si>
    <t>07:59:50</t>
  </si>
  <si>
    <t>08:05:27</t>
  </si>
  <si>
    <t>07:58:37</t>
  </si>
  <si>
    <t>07:57:07</t>
  </si>
  <si>
    <t>08:06:03</t>
  </si>
  <si>
    <t>08:05:01</t>
  </si>
  <si>
    <t>08:04:44</t>
  </si>
  <si>
    <t>536 phút</t>
  </si>
  <si>
    <t>08:04:30</t>
  </si>
  <si>
    <t>08:04:40</t>
  </si>
  <si>
    <t>07:51:33</t>
  </si>
  <si>
    <t>08:01:58</t>
  </si>
  <si>
    <t>08:12:23</t>
  </si>
  <si>
    <t>07:57:42</t>
  </si>
  <si>
    <t>08:03:00</t>
  </si>
  <si>
    <t>07:52:24</t>
  </si>
  <si>
    <t>08:04:02</t>
  </si>
  <si>
    <t>08:04:08</t>
  </si>
  <si>
    <t>08:25:02</t>
  </si>
  <si>
    <t>41</t>
  </si>
  <si>
    <t>Tuan</t>
  </si>
  <si>
    <t>42</t>
  </si>
  <si>
    <t>Qui</t>
  </si>
  <si>
    <t>43</t>
  </si>
  <si>
    <t>44</t>
  </si>
  <si>
    <t>Phu</t>
  </si>
  <si>
    <t>45</t>
  </si>
  <si>
    <t>Nhi</t>
  </si>
  <si>
    <t>08:10:34</t>
  </si>
  <si>
    <t>08:02:17</t>
  </si>
  <si>
    <t>07:59:45</t>
  </si>
  <si>
    <t>08:00:47</t>
  </si>
  <si>
    <t>08:04:19</t>
  </si>
  <si>
    <t>08:00:22</t>
  </si>
  <si>
    <t>08:03:11</t>
  </si>
  <si>
    <t>08:04:14</t>
  </si>
  <si>
    <t>07:55:37</t>
  </si>
  <si>
    <t>07:54:42</t>
  </si>
  <si>
    <t>07:59:52</t>
  </si>
  <si>
    <t>07:52:49</t>
  </si>
  <si>
    <t>07:28:42</t>
  </si>
  <si>
    <t>08:03:13</t>
  </si>
  <si>
    <t>07:57:22</t>
  </si>
  <si>
    <t>07:57:57</t>
  </si>
  <si>
    <t>08:02:35</t>
  </si>
  <si>
    <t>08:05:07</t>
  </si>
  <si>
    <t>08:00:30</t>
  </si>
  <si>
    <t>08:05:16</t>
  </si>
  <si>
    <t>46</t>
  </si>
  <si>
    <t>Nghia</t>
  </si>
  <si>
    <t>47</t>
  </si>
  <si>
    <t>Huy</t>
  </si>
  <si>
    <t>48</t>
  </si>
  <si>
    <t>Quang</t>
  </si>
  <si>
    <t>49</t>
  </si>
  <si>
    <t>Quoc</t>
  </si>
  <si>
    <t>5</t>
  </si>
  <si>
    <t>Thu</t>
  </si>
  <si>
    <t>07:53:33</t>
  </si>
  <si>
    <t>18:37:49</t>
  </si>
  <si>
    <t>07:52:43</t>
  </si>
  <si>
    <t>18:21:05</t>
  </si>
  <si>
    <t>621 phút</t>
  </si>
  <si>
    <t>81 phút</t>
  </si>
  <si>
    <t>07:55:10</t>
  </si>
  <si>
    <t>18:48:38</t>
  </si>
  <si>
    <t>649 phút</t>
  </si>
  <si>
    <t>109 phút</t>
  </si>
  <si>
    <t>07:59:44</t>
  </si>
  <si>
    <t>18:45:57</t>
  </si>
  <si>
    <t>18:24:31</t>
  </si>
  <si>
    <t>07:52:00</t>
  </si>
  <si>
    <t>18:22:09</t>
  </si>
  <si>
    <t>18:55:41</t>
  </si>
  <si>
    <t>07:57:08</t>
  </si>
  <si>
    <t>18:53:03</t>
  </si>
  <si>
    <t>07:57:52</t>
  </si>
  <si>
    <t>07:56:55</t>
  </si>
  <si>
    <t>17:38:20</t>
  </si>
  <si>
    <t>07:56:32</t>
  </si>
  <si>
    <t>18:33:28</t>
  </si>
  <si>
    <t>633 phút</t>
  </si>
  <si>
    <t>93 phút</t>
  </si>
  <si>
    <t>07:58:14</t>
  </si>
  <si>
    <t>18:57:56</t>
  </si>
  <si>
    <t>07:58:06</t>
  </si>
  <si>
    <t>18:41:53</t>
  </si>
  <si>
    <t>07:55:49</t>
  </si>
  <si>
    <t>19:18:35</t>
  </si>
  <si>
    <t>18:49:43</t>
  </si>
  <si>
    <t>650 phút</t>
  </si>
  <si>
    <t>110 phút</t>
  </si>
  <si>
    <t>07:55:12</t>
  </si>
  <si>
    <t>18:42:27</t>
  </si>
  <si>
    <t>07:50:03</t>
  </si>
  <si>
    <t>18:30:21</t>
  </si>
  <si>
    <t>07:55:42</t>
  </si>
  <si>
    <t>19:01:47</t>
  </si>
  <si>
    <t>662 phút</t>
  </si>
  <si>
    <t>07:55:51</t>
  </si>
  <si>
    <t>19:09:05</t>
  </si>
  <si>
    <t>669 phút</t>
  </si>
  <si>
    <t>18 phút</t>
  </si>
  <si>
    <t>07:53:05</t>
  </si>
  <si>
    <t>16:42:05</t>
  </si>
  <si>
    <t>522 phút</t>
  </si>
  <si>
    <t>19:08:17</t>
  </si>
  <si>
    <t>668 phút</t>
  </si>
  <si>
    <t>17 phút</t>
  </si>
  <si>
    <t>07:56:48</t>
  </si>
  <si>
    <t>18:45:23</t>
  </si>
  <si>
    <t>50</t>
  </si>
  <si>
    <t>Phuoc</t>
  </si>
  <si>
    <t>07:28:15</t>
  </si>
  <si>
    <t>07:29:49</t>
  </si>
  <si>
    <t>07:32:01</t>
  </si>
  <si>
    <t>07:33:45</t>
  </si>
  <si>
    <t>07:33:48</t>
  </si>
  <si>
    <t>07:33:37</t>
  </si>
  <si>
    <t>07:25:22</t>
  </si>
  <si>
    <t>07:29:34</t>
  </si>
  <si>
    <t>07:37:47</t>
  </si>
  <si>
    <t>07:28:46</t>
  </si>
  <si>
    <t>08:32:32</t>
  </si>
  <si>
    <t>07:33:17</t>
  </si>
  <si>
    <t>07:30:19</t>
  </si>
  <si>
    <t>07:28:43</t>
  </si>
  <si>
    <t>07:25:45</t>
  </si>
  <si>
    <t>07:28:27</t>
  </si>
  <si>
    <t>07:34:00</t>
  </si>
  <si>
    <t>07:29:58</t>
  </si>
  <si>
    <t>07:29:07</t>
  </si>
  <si>
    <t>07:30:49</t>
  </si>
  <si>
    <t>07:31:45</t>
  </si>
  <si>
    <t>07:28:39</t>
  </si>
  <si>
    <t>07:35:54</t>
  </si>
  <si>
    <t>51</t>
  </si>
  <si>
    <t>Hong</t>
  </si>
  <si>
    <t>08:00:09</t>
  </si>
  <si>
    <t>08:01:18</t>
  </si>
  <si>
    <t>07:56:37</t>
  </si>
  <si>
    <t>08:01:04</t>
  </si>
  <si>
    <t>08:05:20</t>
  </si>
  <si>
    <t>08:32:16</t>
  </si>
  <si>
    <t>32 phút</t>
  </si>
  <si>
    <t>08:55:31</t>
  </si>
  <si>
    <t>08:06:17</t>
  </si>
  <si>
    <t>08:12:58</t>
  </si>
  <si>
    <t>08:05:12</t>
  </si>
  <si>
    <t>07:20:35</t>
  </si>
  <si>
    <t>08:19:17</t>
  </si>
  <si>
    <t>08:02:57</t>
  </si>
  <si>
    <t>07:54:06</t>
  </si>
  <si>
    <t>07:59:41</t>
  </si>
  <si>
    <t>07:41:59</t>
  </si>
  <si>
    <t>07:57:32</t>
  </si>
  <si>
    <t>08:03:49</t>
  </si>
  <si>
    <t>09:40:11</t>
  </si>
  <si>
    <t>52</t>
  </si>
  <si>
    <t>Xuyen</t>
  </si>
  <si>
    <t>53</t>
  </si>
  <si>
    <t>Dung</t>
  </si>
  <si>
    <t>07:58:43</t>
  </si>
  <si>
    <t>08:00:28</t>
  </si>
  <si>
    <t>08:19:41</t>
  </si>
  <si>
    <t>07:57:04</t>
  </si>
  <si>
    <t>07:56:54</t>
  </si>
  <si>
    <t>08:03:05</t>
  </si>
  <si>
    <t>07:56:58</t>
  </si>
  <si>
    <t>07:57:30</t>
  </si>
  <si>
    <t>08:08:06</t>
  </si>
  <si>
    <t>08:08:16</t>
  </si>
  <si>
    <t>07:59:04</t>
  </si>
  <si>
    <t>07:57:26</t>
  </si>
  <si>
    <t>08:17:00</t>
  </si>
  <si>
    <t>08:06:29</t>
  </si>
  <si>
    <t>08:00:25</t>
  </si>
  <si>
    <t>07:54:52</t>
  </si>
  <si>
    <t>07:57:35</t>
  </si>
  <si>
    <t>07:56:31</t>
  </si>
  <si>
    <t>54</t>
  </si>
  <si>
    <t>Nhan</t>
  </si>
  <si>
    <t>55</t>
  </si>
  <si>
    <t>Hoc</t>
  </si>
  <si>
    <t>56</t>
  </si>
  <si>
    <t>Sy</t>
  </si>
  <si>
    <t>07:53:28</t>
  </si>
  <si>
    <t>17:44:06</t>
  </si>
  <si>
    <t>07:51:56</t>
  </si>
  <si>
    <t>17:18:30</t>
  </si>
  <si>
    <t>559 phút</t>
  </si>
  <si>
    <t>07:53:07</t>
  </si>
  <si>
    <t>17:11:18</t>
  </si>
  <si>
    <t>17:10:31</t>
  </si>
  <si>
    <t>07:48:22</t>
  </si>
  <si>
    <t>17:38:48</t>
  </si>
  <si>
    <t>07:57:14</t>
  </si>
  <si>
    <t>18:11:46</t>
  </si>
  <si>
    <t>612 phút</t>
  </si>
  <si>
    <t>07:49:31</t>
  </si>
  <si>
    <t>17:16:11</t>
  </si>
  <si>
    <t>556 phút</t>
  </si>
  <si>
    <t>16 phút</t>
  </si>
  <si>
    <t>07:56:27</t>
  </si>
  <si>
    <t>17:55:28</t>
  </si>
  <si>
    <t>07:49:20</t>
  </si>
  <si>
    <t>17:38:13</t>
  </si>
  <si>
    <t>07:46:46</t>
  </si>
  <si>
    <t>17:39:37</t>
  </si>
  <si>
    <t>17:09:06</t>
  </si>
  <si>
    <t>549 phút</t>
  </si>
  <si>
    <t>9 phút</t>
  </si>
  <si>
    <t>07:53:43</t>
  </si>
  <si>
    <t>17:11:16</t>
  </si>
  <si>
    <t>07:49:35</t>
  </si>
  <si>
    <t>17:10:25</t>
  </si>
  <si>
    <t>550 phút</t>
  </si>
  <si>
    <t>10 phút</t>
  </si>
  <si>
    <t>07:49:42</t>
  </si>
  <si>
    <t>18:14:50</t>
  </si>
  <si>
    <t>sáng(08:00:00-12:00:00)</t>
  </si>
  <si>
    <t>240 phút</t>
  </si>
  <si>
    <t>07:55:03</t>
  </si>
  <si>
    <t>17:38:55</t>
  </si>
  <si>
    <t>57</t>
  </si>
  <si>
    <t>Bao</t>
  </si>
  <si>
    <t>58</t>
  </si>
  <si>
    <t>59</t>
  </si>
  <si>
    <t>Phuong</t>
  </si>
  <si>
    <t>07:18:30</t>
  </si>
  <si>
    <t>07:22:49</t>
  </si>
  <si>
    <t>07:25:02</t>
  </si>
  <si>
    <t>07:24:25</t>
  </si>
  <si>
    <t>07:26:00</t>
  </si>
  <si>
    <t>07:21:06</t>
  </si>
  <si>
    <t>07:17:21</t>
  </si>
  <si>
    <t>07:24:01</t>
  </si>
  <si>
    <t>07:25:16</t>
  </si>
  <si>
    <t>07:20:59</t>
  </si>
  <si>
    <t>07:20:21</t>
  </si>
  <si>
    <t>07:21:43</t>
  </si>
  <si>
    <t>07:19:14</t>
  </si>
  <si>
    <t>07:12:33</t>
  </si>
  <si>
    <t>07:17:56</t>
  </si>
  <si>
    <t>07:19:10</t>
  </si>
  <si>
    <t>07:20:25</t>
  </si>
  <si>
    <t>07:19:39</t>
  </si>
  <si>
    <t>07:21:07</t>
  </si>
  <si>
    <t>07:23:23</t>
  </si>
  <si>
    <t>07:17:35</t>
  </si>
  <si>
    <t>07:09:01</t>
  </si>
  <si>
    <t>07:17:19</t>
  </si>
  <si>
    <t>6</t>
  </si>
  <si>
    <t>Diem</t>
  </si>
  <si>
    <t>60</t>
  </si>
  <si>
    <t>61</t>
  </si>
  <si>
    <t>Thong</t>
  </si>
  <si>
    <t>62</t>
  </si>
  <si>
    <t>Ut Huong</t>
  </si>
  <si>
    <t>08:20:11</t>
  </si>
  <si>
    <t>17:17:53</t>
  </si>
  <si>
    <t>08:16:31</t>
  </si>
  <si>
    <t>17:17:32</t>
  </si>
  <si>
    <t>541 phút</t>
  </si>
  <si>
    <t>07:47:43</t>
  </si>
  <si>
    <t>17:23:35</t>
  </si>
  <si>
    <t>564 phút</t>
  </si>
  <si>
    <t>24 phút</t>
  </si>
  <si>
    <t>08:00:29</t>
  </si>
  <si>
    <t>17:38:36</t>
  </si>
  <si>
    <t>08:00:18</t>
  </si>
  <si>
    <t>17:44:00</t>
  </si>
  <si>
    <t>07:59:30</t>
  </si>
  <si>
    <t>17:43:46</t>
  </si>
  <si>
    <t>08:01:53</t>
  </si>
  <si>
    <t>17:44:13</t>
  </si>
  <si>
    <t>17:40:11</t>
  </si>
  <si>
    <t>08:03:23</t>
  </si>
  <si>
    <t>17:24:57</t>
  </si>
  <si>
    <t>562 phút</t>
  </si>
  <si>
    <t>17:44:23</t>
  </si>
  <si>
    <t>12:06:26</t>
  </si>
  <si>
    <t>246 phút</t>
  </si>
  <si>
    <t>07:57:40</t>
  </si>
  <si>
    <t>17:38:45</t>
  </si>
  <si>
    <t>07:56:26</t>
  </si>
  <si>
    <t>17:30:34</t>
  </si>
  <si>
    <t>571 phút</t>
  </si>
  <si>
    <t>07:57:20</t>
  </si>
  <si>
    <t>17:37:09</t>
  </si>
  <si>
    <t>577 phút</t>
  </si>
  <si>
    <t>17:31:58</t>
  </si>
  <si>
    <t>07:55:56</t>
  </si>
  <si>
    <t>17:55:21</t>
  </si>
  <si>
    <t>07:57:06</t>
  </si>
  <si>
    <t>17:10:40</t>
  </si>
  <si>
    <t>08:00:35</t>
  </si>
  <si>
    <t>17:42:17</t>
  </si>
  <si>
    <t>07:50:51</t>
  </si>
  <si>
    <t>17:39:15</t>
  </si>
  <si>
    <t>07:58:48</t>
  </si>
  <si>
    <t>17:33:15</t>
  </si>
  <si>
    <t>573 phút</t>
  </si>
  <si>
    <t>17:33:32</t>
  </si>
  <si>
    <t>34 phút</t>
  </si>
  <si>
    <t>08:16:53</t>
  </si>
  <si>
    <t>17:33:14</t>
  </si>
  <si>
    <t>07:59:05</t>
  </si>
  <si>
    <t>17:15:52</t>
  </si>
  <si>
    <t>63</t>
  </si>
  <si>
    <t>Hung</t>
  </si>
  <si>
    <t>07:59:01</t>
  </si>
  <si>
    <t>17:12:38</t>
  </si>
  <si>
    <t>553 phút</t>
  </si>
  <si>
    <t>08:00:54</t>
  </si>
  <si>
    <t>07:58:22</t>
  </si>
  <si>
    <t>17:31:14</t>
  </si>
  <si>
    <t>08:00:23</t>
  </si>
  <si>
    <t>17:30:15</t>
  </si>
  <si>
    <t>08:01:23</t>
  </si>
  <si>
    <t>18:51:03</t>
  </si>
  <si>
    <t>111 phút</t>
  </si>
  <si>
    <t>07:58:18</t>
  </si>
  <si>
    <t>17:58:55</t>
  </si>
  <si>
    <t>599 phút</t>
  </si>
  <si>
    <t>07:56:36</t>
  </si>
  <si>
    <t>17:26:38</t>
  </si>
  <si>
    <t>07:57:58</t>
  </si>
  <si>
    <t>17:46:52</t>
  </si>
  <si>
    <t>587 phút</t>
  </si>
  <si>
    <t>07:53:01</t>
  </si>
  <si>
    <t>17:04:36</t>
  </si>
  <si>
    <t>545 phút</t>
  </si>
  <si>
    <t>07:58:27</t>
  </si>
  <si>
    <t>19:16:52</t>
  </si>
  <si>
    <t>677 phút</t>
  </si>
  <si>
    <t>07:58:55</t>
  </si>
  <si>
    <t>17:40:56</t>
  </si>
  <si>
    <t>07:57:21</t>
  </si>
  <si>
    <t>19:08:25</t>
  </si>
  <si>
    <t>20:12:13</t>
  </si>
  <si>
    <t>144 phút</t>
  </si>
  <si>
    <t>18:56:23</t>
  </si>
  <si>
    <t>07:57:05</t>
  </si>
  <si>
    <t>18:17:06</t>
  </si>
  <si>
    <t>08:00:36</t>
  </si>
  <si>
    <t>17:14:14</t>
  </si>
  <si>
    <t>554 phút</t>
  </si>
  <si>
    <t>14 phút</t>
  </si>
  <si>
    <t>chiều(13:00:00-17:00:00)</t>
  </si>
  <si>
    <t>17:54:18</t>
  </si>
  <si>
    <t>289 phút</t>
  </si>
  <si>
    <t>08:03:19</t>
  </si>
  <si>
    <t>17:25:46</t>
  </si>
  <si>
    <t>07:57:45</t>
  </si>
  <si>
    <t>17:55:31</t>
  </si>
  <si>
    <t>64</t>
  </si>
  <si>
    <t>Thanh Huong</t>
  </si>
  <si>
    <t>08:04:33</t>
  </si>
  <si>
    <t>18:38:26</t>
  </si>
  <si>
    <t>08:07:27</t>
  </si>
  <si>
    <t>18:48:57</t>
  </si>
  <si>
    <t>18:52:19</t>
  </si>
  <si>
    <t>08:07:15</t>
  </si>
  <si>
    <t>18:37:53</t>
  </si>
  <si>
    <t>08:07:05</t>
  </si>
  <si>
    <t>19:56:48</t>
  </si>
  <si>
    <t>710 phút</t>
  </si>
  <si>
    <t>08:03:01</t>
  </si>
  <si>
    <t>19:28:48</t>
  </si>
  <si>
    <t>686 phút</t>
  </si>
  <si>
    <t>08:33:01</t>
  </si>
  <si>
    <t>18:52:51</t>
  </si>
  <si>
    <t>620 phút</t>
  </si>
  <si>
    <t>08:09:13</t>
  </si>
  <si>
    <t>07:53:25</t>
  </si>
  <si>
    <t>08:16:02</t>
  </si>
  <si>
    <t>08:11:43</t>
  </si>
  <si>
    <t>18:58:02</t>
  </si>
  <si>
    <t>09:59:56</t>
  </si>
  <si>
    <t>18:42:05</t>
  </si>
  <si>
    <t>08:03:53</t>
  </si>
  <si>
    <t>19:18:54</t>
  </si>
  <si>
    <t>675 phút</t>
  </si>
  <si>
    <t>08:11:39</t>
  </si>
  <si>
    <t>18:49:53</t>
  </si>
  <si>
    <t>18:31:56</t>
  </si>
  <si>
    <t>08:20:00</t>
  </si>
  <si>
    <t>19:17:00</t>
  </si>
  <si>
    <t>08:15:41</t>
  </si>
  <si>
    <t>18:22:13</t>
  </si>
  <si>
    <t>607 phút</t>
  </si>
  <si>
    <t>08:09:53</t>
  </si>
  <si>
    <t>18:56:17</t>
  </si>
  <si>
    <t>08:11:01</t>
  </si>
  <si>
    <t>19:13:04</t>
  </si>
  <si>
    <t>08:03:56</t>
  </si>
  <si>
    <t>18:56:39</t>
  </si>
  <si>
    <t>08:09:28</t>
  </si>
  <si>
    <t>19:07:56</t>
  </si>
  <si>
    <t>08:58:17</t>
  </si>
  <si>
    <t>18:45:33</t>
  </si>
  <si>
    <t>65</t>
  </si>
  <si>
    <t>Ly Kim Ho</t>
  </si>
  <si>
    <t>10:08:50</t>
  </si>
  <si>
    <t>07:41:55</t>
  </si>
  <si>
    <t>16:58:46</t>
  </si>
  <si>
    <t>539 phút</t>
  </si>
  <si>
    <t>7</t>
  </si>
  <si>
    <t>Thanh</t>
  </si>
  <si>
    <t>8</t>
  </si>
  <si>
    <t>9</t>
  </si>
  <si>
    <t>17:57:48</t>
  </si>
  <si>
    <t>07:53:11</t>
  </si>
  <si>
    <t>18:11:16</t>
  </si>
  <si>
    <t>611 phút</t>
  </si>
  <si>
    <t>07:51:39</t>
  </si>
  <si>
    <t>18:21:04</t>
  </si>
  <si>
    <t>18:40:40</t>
  </si>
  <si>
    <t>07:51:32</t>
  </si>
  <si>
    <t>18:08:51</t>
  </si>
  <si>
    <t>07:51:38</t>
  </si>
  <si>
    <t>18:35:59</t>
  </si>
  <si>
    <t>636 phút</t>
  </si>
  <si>
    <t>96 phút</t>
  </si>
  <si>
    <t>07:53:24</t>
  </si>
  <si>
    <t>18:46:55</t>
  </si>
  <si>
    <t>18:49:00</t>
  </si>
  <si>
    <t>07:26:59</t>
  </si>
  <si>
    <t>18:25:11</t>
  </si>
  <si>
    <t>07:51:30</t>
  </si>
  <si>
    <t>18:06:48</t>
  </si>
  <si>
    <t>07:52:11</t>
  </si>
  <si>
    <t>18:25:58</t>
  </si>
  <si>
    <t>07:54:27</t>
  </si>
  <si>
    <t>18:45:55</t>
  </si>
  <si>
    <t>07:50:57</t>
  </si>
  <si>
    <t>18:17:08</t>
  </si>
  <si>
    <t>07:50:26</t>
  </si>
  <si>
    <t>18:57:37</t>
  </si>
  <si>
    <t>18:46:53</t>
  </si>
  <si>
    <t>07:48:02</t>
  </si>
  <si>
    <t>08:00:00</t>
  </si>
  <si>
    <t>19:16:02</t>
  </si>
  <si>
    <t>07:48:04</t>
  </si>
  <si>
    <t>18:11:27</t>
  </si>
  <si>
    <t>07:50:53</t>
  </si>
  <si>
    <t>18:55:14</t>
  </si>
  <si>
    <t>655 phút</t>
  </si>
  <si>
    <t>115 phút</t>
  </si>
  <si>
    <t>07:50:15</t>
  </si>
  <si>
    <t>19:10:51</t>
  </si>
  <si>
    <t>671 phút</t>
  </si>
  <si>
    <t>19:11:12</t>
  </si>
  <si>
    <t>07:49:37</t>
  </si>
  <si>
    <t>18:55:05</t>
  </si>
  <si>
    <t>07:52:04</t>
  </si>
  <si>
    <t>19:04:16</t>
  </si>
  <si>
    <t>664 phút</t>
  </si>
  <si>
    <t>07:50:20</t>
  </si>
  <si>
    <t>18:08:48</t>
  </si>
  <si>
    <t>STT</t>
  </si>
  <si>
    <t xml:space="preserve">Họ và Tên </t>
  </si>
  <si>
    <t>ID</t>
  </si>
  <si>
    <t>Kinh doanh</t>
  </si>
  <si>
    <t>Bùi Thị Kim Dung</t>
  </si>
  <si>
    <t>Nguyễn Văn Vinh</t>
  </si>
  <si>
    <t xml:space="preserve">Trương Quang Thanh    </t>
  </si>
  <si>
    <t xml:space="preserve"> Hứa Thị Ngọc Thơ  </t>
  </si>
  <si>
    <t>Nguyễn Quốc Thái</t>
  </si>
  <si>
    <t>Trần Hạo Nhị</t>
  </si>
  <si>
    <t>Dương Thị Kim Hồng</t>
  </si>
  <si>
    <t>Trần Bảo Trâm</t>
  </si>
  <si>
    <t xml:space="preserve"> Nguyễn Bảo Thạch    </t>
  </si>
  <si>
    <t xml:space="preserve"> Hoàng Đức Thanh    </t>
  </si>
  <si>
    <t xml:space="preserve"> Nguyễn Quốc Minh   </t>
  </si>
  <si>
    <t xml:space="preserve"> Nguyễn Hoàng Thực    </t>
  </si>
  <si>
    <t xml:space="preserve"> Trần Cao Hoàng Tâm    </t>
  </si>
  <si>
    <t xml:space="preserve"> Lê Kim Đãng   </t>
  </si>
  <si>
    <t xml:space="preserve"> Nguyễn Thiên Trang    </t>
  </si>
  <si>
    <t xml:space="preserve"> Nguyễn Thiên Thanh    </t>
  </si>
  <si>
    <t xml:space="preserve"> Huỳnh Thanh Phong  </t>
  </si>
  <si>
    <t>Nguyễn Hữu Phước</t>
  </si>
  <si>
    <t>Nguyễn Thanh Phương</t>
  </si>
  <si>
    <t xml:space="preserve">Trần Kỳ Tâm    </t>
  </si>
  <si>
    <t>Kế toán - Văn phòng</t>
  </si>
  <si>
    <t>Huỳnh Văn Hùng</t>
  </si>
  <si>
    <t>Nguyễn Thị Út Hương</t>
  </si>
  <si>
    <t>Đoàn Thị Thanh Hương</t>
  </si>
  <si>
    <t>Hoàng Thị Hoài Nhi</t>
  </si>
  <si>
    <t>Phạm Anh Vũ</t>
  </si>
  <si>
    <t xml:space="preserve"> Hàng Minh Thư   </t>
  </si>
  <si>
    <t>Nguyễn Thị Lan Sy</t>
  </si>
  <si>
    <t>Lê Thị Mỹ Duyên</t>
  </si>
  <si>
    <t>Huỳnh Thị Mạnh Thường</t>
  </si>
  <si>
    <t>Tên nhân viên</t>
  </si>
  <si>
    <t>Lý Kim Hồ</t>
  </si>
  <si>
    <t>Nghĩ việc</t>
  </si>
  <si>
    <t>Đang làm việc</t>
  </si>
  <si>
    <t>Vận Hành</t>
  </si>
  <si>
    <t>Trạng thái</t>
  </si>
  <si>
    <t>Bộ phận2</t>
  </si>
  <si>
    <t>Tăng ca</t>
  </si>
  <si>
    <t>Không</t>
  </si>
  <si>
    <t>Có</t>
  </si>
  <si>
    <t>Chấm vân tay giờ về</t>
  </si>
  <si>
    <t>Ngày công</t>
  </si>
  <si>
    <t>Muộn (Phút)</t>
  </si>
  <si>
    <t>Giờ vào HC</t>
  </si>
  <si>
    <t>Giờ ra HC</t>
  </si>
  <si>
    <t>Giờ Về</t>
  </si>
  <si>
    <t>Giờ vao TT</t>
  </si>
  <si>
    <t>Giờ ra TT</t>
  </si>
  <si>
    <t>Tăng ca (phút)</t>
  </si>
  <si>
    <t>Thời Gian làm việc</t>
  </si>
  <si>
    <t>Giờ vào</t>
  </si>
  <si>
    <t>Giờ ra</t>
  </si>
  <si>
    <t>Vận Hành &amp; Kho</t>
  </si>
  <si>
    <t>Đối với vi phạm đi trễ</t>
  </si>
  <si>
    <t>Đi trễ từ 6 --&gt; 15 Phút so với quy định</t>
  </si>
  <si>
    <t>Vi phạm</t>
  </si>
  <si>
    <t>Đi trễ từ 15 --&gt; 60 Phút so với quy định</t>
  </si>
  <si>
    <t>Đi trễ từ 60 Phút so với quy định</t>
  </si>
  <si>
    <t>Trừ nữa ngày lượng</t>
  </si>
  <si>
    <t>Vi phạm các quy định trên quá 3 lần/tháng</t>
  </si>
  <si>
    <t>Trừ toàn bộ chuyên cần tháng</t>
  </si>
  <si>
    <t>Đối với vi phạm chấm công</t>
  </si>
  <si>
    <t>Vi phạm lần 1</t>
  </si>
  <si>
    <t>Vi phạm lần 3 trở lên</t>
  </si>
  <si>
    <t>Vi phạm lần 2</t>
  </si>
  <si>
    <t>Trường hợp vi phạm quá 3 lần/tháng</t>
  </si>
  <si>
    <t>Không chấm công ngày đó</t>
  </si>
  <si>
    <t>Phạt nữa ngày lương</t>
  </si>
  <si>
    <t>Đối với Trường hợp nghĩ phép cần báo trước 3 ngày cho Quản lý, nếu nghĩ không xin phép thì:</t>
  </si>
  <si>
    <t>Vi phạm lần đầu</t>
  </si>
  <si>
    <t>Nhắc nhở</t>
  </si>
  <si>
    <t>Trừ 3 ngày lương</t>
  </si>
  <si>
    <t>Vi phạm lần 3</t>
  </si>
  <si>
    <t>Hạ bậc lương hoặc xét cho thôi việc</t>
  </si>
  <si>
    <t>Châm công</t>
  </si>
  <si>
    <t>17:18:38</t>
  </si>
  <si>
    <t>17:43:38</t>
  </si>
  <si>
    <t>Trừ lương do vi phạm</t>
  </si>
  <si>
    <t>Ghi Chú</t>
  </si>
  <si>
    <t>07:59:18</t>
  </si>
  <si>
    <t>Phạt muộn</t>
  </si>
  <si>
    <t>Phạt Quên chấm công</t>
  </si>
  <si>
    <t>BẢNG CHẤM CÔNG</t>
  </si>
  <si>
    <t>Tháng</t>
  </si>
  <si>
    <t>năm</t>
  </si>
  <si>
    <t>Tăng ca (Phút)</t>
  </si>
  <si>
    <t>Muộn (lần)</t>
  </si>
  <si>
    <t xml:space="preserve">Sinh nhật </t>
  </si>
  <si>
    <t>Phép năm tháng trước</t>
  </si>
  <si>
    <t>Phép năm</t>
  </si>
  <si>
    <t>Lịch công tác</t>
  </si>
  <si>
    <t>Phạt đi muộn</t>
  </si>
  <si>
    <t>Đi công tác</t>
  </si>
  <si>
    <t>Vận hành</t>
  </si>
  <si>
    <t>Ngoại nghiệp</t>
  </si>
  <si>
    <t>Trần Thị Xuân Phương</t>
  </si>
  <si>
    <t>Ghi chú:</t>
  </si>
  <si>
    <t>x</t>
  </si>
  <si>
    <t>Có mặt</t>
  </si>
  <si>
    <t>2x</t>
  </si>
  <si>
    <t>Làm ngày lễ, công tác chủ nhật</t>
  </si>
  <si>
    <t>V</t>
  </si>
  <si>
    <t xml:space="preserve">Vắng </t>
  </si>
  <si>
    <t>P</t>
  </si>
  <si>
    <t xml:space="preserve">Phép </t>
  </si>
  <si>
    <t>L</t>
  </si>
  <si>
    <t>Nghỉ lễ</t>
  </si>
  <si>
    <t>CN</t>
  </si>
  <si>
    <t xml:space="preserve">Nghỉ tuần </t>
  </si>
  <si>
    <t>1/2</t>
  </si>
  <si>
    <t>Nửa công</t>
  </si>
  <si>
    <t>1/2P</t>
  </si>
  <si>
    <t>Nửa phép</t>
  </si>
  <si>
    <t>Người lập biểu</t>
  </si>
  <si>
    <t>Giám đốc</t>
  </si>
  <si>
    <t xml:space="preserve">Đặng Xuân Ngọc </t>
  </si>
  <si>
    <t>Ngày chấm công</t>
  </si>
  <si>
    <t>Mã Do công</t>
  </si>
  <si>
    <t>17:00:15</t>
  </si>
  <si>
    <t>Đi Công tác Hà Nội</t>
  </si>
  <si>
    <t>Ngày sinh</t>
  </si>
  <si>
    <t>17:00:00</t>
  </si>
  <si>
    <t>Lấy vân tay ngày hôm nay</t>
  </si>
  <si>
    <t>Chưa lấy vân tay</t>
  </si>
  <si>
    <t>Đi Công tác Thái Tuấn, Phí công tác thanh toán cùng lương là 300k/ngày</t>
  </si>
  <si>
    <t>Nghĩ Lễ 01/09 và 02/09</t>
  </si>
  <si>
    <t>Đi công tác Thái Tuấn</t>
  </si>
  <si>
    <t>Nghĩ Phép năm</t>
  </si>
  <si>
    <t>Nghĩ 1/2 ngày phép nam</t>
  </si>
  <si>
    <t>p</t>
  </si>
  <si>
    <t>SAMPLING CM HUỲNH TẤN PHÁT</t>
  </si>
  <si>
    <t>SAMPLING XTRA TÂN PHONG</t>
  </si>
  <si>
    <t>NGHỈ PHÉP</t>
  </si>
  <si>
    <t>ĐI CÔNG TÁC BÌNH DƯƠNG</t>
  </si>
  <si>
    <t>ĐI CÔNG TÁC LONG AN</t>
  </si>
  <si>
    <t>CÓ XIN ĐI TRỄ</t>
  </si>
  <si>
    <t>SAMPLING AEON BÌNH TÂN</t>
  </si>
  <si>
    <t>Lỗi máy chấm công</t>
  </si>
  <si>
    <t>CÓ XIN ĐI TRỄ, ĐI THỊ TRƯỜNG CHECK GIÁ ĐỐI THỦ</t>
  </si>
  <si>
    <t>SAMPLING MM AN PHÚ</t>
  </si>
  <si>
    <t>X</t>
  </si>
  <si>
    <t>SAMPLING MM BÌNH PHÚ</t>
  </si>
  <si>
    <t>CÓ XIN ĐI TRỄ, OFF 1/2 NGÀY</t>
  </si>
  <si>
    <t>QUÊN CHẤM CÔNG</t>
  </si>
  <si>
    <t>MÁY CHẤM CÔNG LỖI, CHẤM FULL NGÀY</t>
  </si>
  <si>
    <t>NGHỈ PHÉP 1/2 NGÀY</t>
  </si>
  <si>
    <t>SAMPLING MM HIỆP PHÚ</t>
  </si>
  <si>
    <t>Off 1/2 ngày</t>
  </si>
  <si>
    <t>Hổ trợ giao hàng</t>
  </si>
  <si>
    <t>Đi mua đồ PCCC</t>
  </si>
  <si>
    <t xml:space="preserve">hỗ trợ giao hàng </t>
  </si>
  <si>
    <t>Quên chấm công</t>
  </si>
  <si>
    <t>có đi làm nhưng quên chấm công</t>
  </si>
  <si>
    <t>Đi công tác với anh Hoàng về Nhà máy</t>
  </si>
  <si>
    <t>Chở chị Thơm đi</t>
  </si>
  <si>
    <t>Đi thị trường</t>
  </si>
  <si>
    <t>Nghĩ phép năm</t>
  </si>
  <si>
    <t>đi Bình Dương</t>
  </si>
  <si>
    <t>đi Vũng Tàu</t>
  </si>
  <si>
    <t>Đi Đồng Nai</t>
  </si>
  <si>
    <t>đi Đồng Nai</t>
  </si>
  <si>
    <t>đi công tác máy 5 ngày</t>
  </si>
  <si>
    <t>Có báo xin về sớm việc gia đình</t>
  </si>
  <si>
    <t>Xin nghĩ Phép</t>
  </si>
  <si>
    <t>Có xin off</t>
  </si>
  <si>
    <t>Máy chấm công lỗi</t>
  </si>
  <si>
    <t>Xin nghĩ bênh</t>
  </si>
  <si>
    <t>Xin nghĩ 1/2 ngày</t>
  </si>
  <si>
    <t>Đi nhà máy</t>
  </si>
  <si>
    <t>Nhà có việc xin nghĩ đột xuất</t>
  </si>
  <si>
    <t xml:space="preserve"> </t>
  </si>
  <si>
    <t>HỌ VÀ TÊN</t>
  </si>
  <si>
    <t>SỐ TÀI KHOẢN</t>
  </si>
  <si>
    <t>NGÂN HÀNG</t>
  </si>
  <si>
    <t>19034341230015</t>
  </si>
  <si>
    <t>Ngân hàng TechomBank</t>
  </si>
  <si>
    <t>Tháng sinh</t>
  </si>
  <si>
    <t>Xin phép nghĩ do việc riêng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</si>
</sst>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)_ ;_ * \(#,##0\)_ ;_ * &quot;-&quot;_)_ ;_ @_ "/>
    <numFmt numFmtId="43" formatCode="_ * #,##0.00_)_ ;_ * \(#,##0.00\)_ ;_ * &quot;-&quot;??_)_ ;_ @_ "/>
    <numFmt numFmtId="164" formatCode="[$-F400]h:mm:ss\ AM/PM"/>
    <numFmt numFmtId="165" formatCode="#,##0_)&quot;đồng/lần&quot;;[Red]\(#,##0\)"/>
    <numFmt numFmtId="166" formatCode="&quot;Tháng &quot;mm&quot; năm &quot;yyyy"/>
    <numFmt numFmtId="167" formatCode="_-* #,##0.00_-;\-* #,##0.00_-;_-* &quot;-&quot;??_-;_-@_-"/>
    <numFmt numFmtId="168" formatCode="_-* #,##0_-;\-* #,##0_-;_-* &quot;-&quot;??_-;_-@_-"/>
    <numFmt numFmtId="169" formatCode="00"/>
    <numFmt numFmtId="170" formatCode="[$-101042A]dd"/>
    <numFmt numFmtId="171" formatCode="[$-101042A]dddd"/>
    <numFmt numFmtId="172" formatCode="_(* #,##0_);_(* \(#,##0\);_(* &quot;-&quot;??_);_(@_)"/>
    <numFmt numFmtId="173" formatCode="_ * #,##0_ ;_ * \-#,##0_ ;_ * &quot;-&quot;_ ;_ @_ "/>
    <numFmt numFmtId="174" formatCode="_ * #,##0.0_)_ ;_ * \(#,##0.0\)_ ;_ * &quot;-&quot;_)_ ;_ @_ "/>
  </numFmts>
  <fonts count="46" x14ac:knownFonts="1">
    <font>
      <sz val="11"/>
      <color theme="1"/>
      <name val="Aptos Narrow"/>
      <family val="2"/>
      <charset val="163"/>
      <scheme val="minor"/>
    </font>
    <font>
      <sz val="11"/>
      <color theme="1"/>
      <name val="Aptos Narrow"/>
      <family val="2"/>
      <charset val="163"/>
      <scheme val="minor"/>
    </font>
    <font>
      <sz val="18"/>
      <color theme="3"/>
      <name val="Aptos Display"/>
      <family val="2"/>
      <charset val="163"/>
      <scheme val="major"/>
    </font>
    <font>
      <b/>
      <sz val="15"/>
      <color theme="3"/>
      <name val="Aptos Narrow"/>
      <family val="2"/>
      <charset val="163"/>
      <scheme val="minor"/>
    </font>
    <font>
      <b/>
      <sz val="13"/>
      <color theme="3"/>
      <name val="Aptos Narrow"/>
      <family val="2"/>
      <charset val="163"/>
      <scheme val="minor"/>
    </font>
    <font>
      <b/>
      <sz val="11"/>
      <color theme="3"/>
      <name val="Aptos Narrow"/>
      <family val="2"/>
      <charset val="163"/>
      <scheme val="minor"/>
    </font>
    <font>
      <sz val="11"/>
      <color rgb="FF006100"/>
      <name val="Aptos Narrow"/>
      <family val="2"/>
      <charset val="163"/>
      <scheme val="minor"/>
    </font>
    <font>
      <sz val="11"/>
      <color rgb="FF9C0006"/>
      <name val="Aptos Narrow"/>
      <family val="2"/>
      <charset val="163"/>
      <scheme val="minor"/>
    </font>
    <font>
      <sz val="11"/>
      <color rgb="FF9C5700"/>
      <name val="Aptos Narrow"/>
      <family val="2"/>
      <charset val="163"/>
      <scheme val="minor"/>
    </font>
    <font>
      <sz val="11"/>
      <color rgb="FF3F3F76"/>
      <name val="Aptos Narrow"/>
      <family val="2"/>
      <charset val="163"/>
      <scheme val="minor"/>
    </font>
    <font>
      <b/>
      <sz val="11"/>
      <color rgb="FF3F3F3F"/>
      <name val="Aptos Narrow"/>
      <family val="2"/>
      <charset val="163"/>
      <scheme val="minor"/>
    </font>
    <font>
      <b/>
      <sz val="11"/>
      <color rgb="FFFA7D00"/>
      <name val="Aptos Narrow"/>
      <family val="2"/>
      <charset val="163"/>
      <scheme val="minor"/>
    </font>
    <font>
      <sz val="11"/>
      <color rgb="FFFA7D00"/>
      <name val="Aptos Narrow"/>
      <family val="2"/>
      <charset val="163"/>
      <scheme val="minor"/>
    </font>
    <font>
      <b/>
      <sz val="11"/>
      <color theme="0"/>
      <name val="Aptos Narrow"/>
      <family val="2"/>
      <charset val="163"/>
      <scheme val="minor"/>
    </font>
    <font>
      <sz val="11"/>
      <color rgb="FFFF0000"/>
      <name val="Aptos Narrow"/>
      <family val="2"/>
      <charset val="163"/>
      <scheme val="minor"/>
    </font>
    <font>
      <i/>
      <sz val="11"/>
      <color rgb="FF7F7F7F"/>
      <name val="Aptos Narrow"/>
      <family val="2"/>
      <charset val="163"/>
      <scheme val="minor"/>
    </font>
    <font>
      <b/>
      <sz val="11"/>
      <color theme="1"/>
      <name val="Aptos Narrow"/>
      <family val="2"/>
      <charset val="163"/>
      <scheme val="minor"/>
    </font>
    <font>
      <sz val="11"/>
      <color theme="0"/>
      <name val="Aptos Narrow"/>
      <family val="2"/>
      <charset val="163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rgb="FF000000"/>
      <name val="Times New Roman"/>
      <family val="1"/>
    </font>
    <font>
      <b/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sz val="12"/>
      <name val=".VnTime"/>
      <family val="2"/>
    </font>
    <font>
      <b/>
      <sz val="16"/>
      <name val="Times New Roman"/>
      <family val="1"/>
    </font>
    <font>
      <b/>
      <i/>
      <sz val="10"/>
      <color indexed="10"/>
      <name val="Times New Roman"/>
      <family val="1"/>
    </font>
    <font>
      <b/>
      <sz val="8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1"/>
      <color theme="6" tint="-0.499984740745262"/>
      <name val="Times New Roman"/>
      <family val="1"/>
    </font>
    <font>
      <b/>
      <sz val="11"/>
      <color rgb="FFC00000"/>
      <name val="Times New Roman"/>
      <family val="1"/>
    </font>
    <font>
      <b/>
      <i/>
      <sz val="1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i/>
      <sz val="11"/>
      <name val="Times New Roman"/>
      <family val="1"/>
    </font>
    <font>
      <sz val="12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ptos Narrow"/>
      <family val="2"/>
      <charset val="163"/>
      <scheme val="minor"/>
    </font>
    <font>
      <sz val="11"/>
      <color rgb="FF081B3A"/>
      <name val="Segoe U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167" fontId="1" fillId="0" borderId="0" applyFont="0" applyFill="0" applyBorder="0" applyAlignment="0" applyProtection="0"/>
  </cellStyleXfs>
  <cellXfs count="119">
    <xf numFmtId="0" fontId="0" fillId="0" borderId="0" xfId="0"/>
    <xf numFmtId="49" fontId="18" fillId="0" borderId="10" xfId="0" applyNumberFormat="1" applyFont="1" applyBorder="1" applyAlignment="1">
      <alignment horizontal="center" wrapText="1"/>
    </xf>
    <xf numFmtId="0" fontId="23" fillId="35" borderId="0" xfId="43" applyFont="1" applyFill="1" applyAlignment="1">
      <alignment vertical="center"/>
    </xf>
    <xf numFmtId="0" fontId="22" fillId="34" borderId="0" xfId="43" applyFont="1" applyFill="1" applyAlignment="1">
      <alignment horizontal="center" vertical="center"/>
    </xf>
    <xf numFmtId="49" fontId="18" fillId="0" borderId="13" xfId="0" applyNumberFormat="1" applyFont="1" applyBorder="1" applyAlignment="1">
      <alignment horizontal="center" wrapText="1"/>
    </xf>
    <xf numFmtId="0" fontId="20" fillId="33" borderId="16" xfId="43" applyFont="1" applyFill="1" applyBorder="1" applyAlignment="1">
      <alignment horizontal="center" vertical="center"/>
    </xf>
    <xf numFmtId="0" fontId="20" fillId="33" borderId="17" xfId="43" applyFont="1" applyFill="1" applyBorder="1" applyAlignment="1">
      <alignment horizontal="center" vertical="center"/>
    </xf>
    <xf numFmtId="0" fontId="21" fillId="33" borderId="17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/>
    </xf>
    <xf numFmtId="0" fontId="21" fillId="33" borderId="15" xfId="43" applyFont="1" applyFill="1" applyBorder="1" applyAlignment="1">
      <alignment horizontal="center" vertical="center" wrapText="1"/>
    </xf>
    <xf numFmtId="164" fontId="0" fillId="0" borderId="0" xfId="0" applyNumberFormat="1"/>
    <xf numFmtId="164" fontId="21" fillId="33" borderId="15" xfId="4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19" fillId="0" borderId="10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164" fontId="19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/>
    </xf>
    <xf numFmtId="0" fontId="24" fillId="37" borderId="0" xfId="0" applyFont="1" applyFill="1" applyAlignment="1">
      <alignment horizontal="center"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4" fillId="37" borderId="0" xfId="0" applyFont="1" applyFill="1"/>
    <xf numFmtId="41" fontId="0" fillId="0" borderId="0" xfId="1" applyFont="1"/>
    <xf numFmtId="41" fontId="0" fillId="0" borderId="0" xfId="1" applyFont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0" borderId="0" xfId="1" applyFont="1" applyAlignment="1">
      <alignment horizontal="left" vertical="center"/>
    </xf>
    <xf numFmtId="0" fontId="25" fillId="0" borderId="0" xfId="43" applyFont="1" applyProtection="1">
      <protection locked="0"/>
    </xf>
    <xf numFmtId="0" fontId="27" fillId="0" borderId="0" xfId="45" applyFont="1" applyAlignment="1">
      <alignment vertical="center"/>
    </xf>
    <xf numFmtId="0" fontId="27" fillId="0" borderId="0" xfId="45" applyFont="1" applyAlignment="1">
      <alignment horizontal="center" vertical="center"/>
    </xf>
    <xf numFmtId="168" fontId="25" fillId="0" borderId="0" xfId="46" applyNumberFormat="1" applyFont="1" applyProtection="1">
      <protection locked="0"/>
    </xf>
    <xf numFmtId="0" fontId="29" fillId="0" borderId="0" xfId="45" applyFont="1" applyAlignment="1">
      <alignment horizontal="center" vertical="center" wrapText="1"/>
    </xf>
    <xf numFmtId="0" fontId="30" fillId="0" borderId="0" xfId="45" applyFont="1" applyAlignment="1">
      <alignment horizontal="center" vertical="center"/>
    </xf>
    <xf numFmtId="166" fontId="31" fillId="0" borderId="0" xfId="45" applyNumberFormat="1" applyFont="1" applyAlignment="1">
      <alignment horizontal="center" vertical="center"/>
    </xf>
    <xf numFmtId="166" fontId="32" fillId="0" borderId="0" xfId="45" applyNumberFormat="1" applyFont="1" applyAlignment="1">
      <alignment horizontal="center" vertical="center"/>
    </xf>
    <xf numFmtId="166" fontId="34" fillId="0" borderId="0" xfId="45" applyNumberFormat="1" applyFont="1" applyAlignment="1">
      <alignment horizontal="center" vertical="center"/>
    </xf>
    <xf numFmtId="0" fontId="35" fillId="0" borderId="0" xfId="45" applyFont="1" applyAlignment="1">
      <alignment horizontal="center" vertical="center"/>
    </xf>
    <xf numFmtId="170" fontId="20" fillId="39" borderId="19" xfId="45" applyNumberFormat="1" applyFont="1" applyFill="1" applyBorder="1" applyAlignment="1">
      <alignment horizontal="center" vertical="center"/>
    </xf>
    <xf numFmtId="171" fontId="29" fillId="33" borderId="19" xfId="45" applyNumberFormat="1" applyFont="1" applyFill="1" applyBorder="1" applyAlignment="1">
      <alignment horizontal="center" vertical="center" textRotation="90"/>
    </xf>
    <xf numFmtId="171" fontId="29" fillId="33" borderId="19" xfId="45" applyNumberFormat="1" applyFont="1" applyFill="1" applyBorder="1" applyAlignment="1">
      <alignment horizontal="center" vertical="center" textRotation="90" wrapText="1"/>
    </xf>
    <xf numFmtId="0" fontId="21" fillId="39" borderId="21" xfId="43" applyFont="1" applyFill="1" applyBorder="1" applyAlignment="1">
      <alignment vertical="center"/>
    </xf>
    <xf numFmtId="171" fontId="20" fillId="39" borderId="21" xfId="45" applyNumberFormat="1" applyFont="1" applyFill="1" applyBorder="1" applyAlignment="1">
      <alignment vertical="center" textRotation="90"/>
    </xf>
    <xf numFmtId="171" fontId="20" fillId="39" borderId="22" xfId="45" applyNumberFormat="1" applyFont="1" applyFill="1" applyBorder="1" applyAlignment="1">
      <alignment vertical="center" textRotation="90"/>
    </xf>
    <xf numFmtId="171" fontId="20" fillId="39" borderId="23" xfId="45" applyNumberFormat="1" applyFont="1" applyFill="1" applyBorder="1" applyAlignment="1">
      <alignment vertical="center" textRotation="90"/>
    </xf>
    <xf numFmtId="0" fontId="25" fillId="39" borderId="19" xfId="43" applyFont="1" applyFill="1" applyBorder="1" applyProtection="1">
      <protection locked="0"/>
    </xf>
    <xf numFmtId="168" fontId="25" fillId="39" borderId="19" xfId="46" applyNumberFormat="1" applyFont="1" applyFill="1" applyBorder="1" applyProtection="1">
      <protection locked="0"/>
    </xf>
    <xf numFmtId="0" fontId="22" fillId="34" borderId="19" xfId="43" applyFont="1" applyFill="1" applyBorder="1" applyAlignment="1">
      <alignment horizontal="center" vertical="center"/>
    </xf>
    <xf numFmtId="0" fontId="23" fillId="35" borderId="19" xfId="43" applyFont="1" applyFill="1" applyBorder="1" applyAlignment="1">
      <alignment vertical="center"/>
    </xf>
    <xf numFmtId="0" fontId="36" fillId="0" borderId="19" xfId="43" applyFont="1" applyBorder="1" applyAlignment="1">
      <alignment horizontal="center" vertical="center"/>
    </xf>
    <xf numFmtId="0" fontId="37" fillId="34" borderId="19" xfId="43" applyFont="1" applyFill="1" applyBorder="1" applyAlignment="1">
      <alignment horizontal="center" vertical="center"/>
    </xf>
    <xf numFmtId="172" fontId="25" fillId="34" borderId="19" xfId="44" applyNumberFormat="1" applyFont="1" applyFill="1" applyBorder="1" applyProtection="1">
      <protection locked="0"/>
    </xf>
    <xf numFmtId="0" fontId="25" fillId="0" borderId="19" xfId="43" applyFont="1" applyBorder="1" applyProtection="1">
      <protection locked="0"/>
    </xf>
    <xf numFmtId="0" fontId="25" fillId="34" borderId="19" xfId="43" applyFont="1" applyFill="1" applyBorder="1" applyProtection="1">
      <protection locked="0"/>
    </xf>
    <xf numFmtId="168" fontId="37" fillId="34" borderId="19" xfId="46" applyNumberFormat="1" applyFont="1" applyFill="1" applyBorder="1" applyAlignment="1">
      <alignment horizontal="center" vertical="center"/>
    </xf>
    <xf numFmtId="0" fontId="22" fillId="39" borderId="19" xfId="43" applyFont="1" applyFill="1" applyBorder="1" applyAlignment="1">
      <alignment horizontal="center" vertical="center"/>
    </xf>
    <xf numFmtId="0" fontId="38" fillId="39" borderId="19" xfId="43" applyFont="1" applyFill="1" applyBorder="1" applyAlignment="1">
      <alignment vertical="center"/>
    </xf>
    <xf numFmtId="49" fontId="36" fillId="39" borderId="22" xfId="43" applyNumberFormat="1" applyFont="1" applyFill="1" applyBorder="1" applyAlignment="1">
      <alignment vertical="center"/>
    </xf>
    <xf numFmtId="0" fontId="36" fillId="39" borderId="22" xfId="43" applyFont="1" applyFill="1" applyBorder="1" applyAlignment="1">
      <alignment horizontal="center" vertical="center"/>
    </xf>
    <xf numFmtId="0" fontId="36" fillId="39" borderId="23" xfId="43" applyFont="1" applyFill="1" applyBorder="1" applyAlignment="1">
      <alignment horizontal="center" vertical="center"/>
    </xf>
    <xf numFmtId="173" fontId="30" fillId="34" borderId="19" xfId="43" applyNumberFormat="1" applyFont="1" applyFill="1" applyBorder="1" applyAlignment="1">
      <alignment horizontal="left" vertical="center"/>
    </xf>
    <xf numFmtId="0" fontId="36" fillId="0" borderId="19" xfId="43" applyFont="1" applyBorder="1" applyProtection="1">
      <protection locked="0"/>
    </xf>
    <xf numFmtId="0" fontId="23" fillId="35" borderId="21" xfId="43" applyFont="1" applyFill="1" applyBorder="1" applyAlignment="1">
      <alignment vertical="center"/>
    </xf>
    <xf numFmtId="0" fontId="36" fillId="39" borderId="21" xfId="43" applyFont="1" applyFill="1" applyBorder="1" applyAlignment="1">
      <alignment horizontal="center" vertical="center"/>
    </xf>
    <xf numFmtId="168" fontId="36" fillId="39" borderId="23" xfId="46" applyNumberFormat="1" applyFont="1" applyFill="1" applyBorder="1" applyAlignment="1">
      <alignment horizontal="center" vertical="center"/>
    </xf>
    <xf numFmtId="0" fontId="22" fillId="0" borderId="19" xfId="43" applyFont="1" applyBorder="1" applyAlignment="1">
      <alignment horizontal="center" vertical="center"/>
    </xf>
    <xf numFmtId="173" fontId="36" fillId="0" borderId="19" xfId="43" applyNumberFormat="1" applyFont="1" applyBorder="1" applyAlignment="1">
      <alignment horizontal="left" vertical="center"/>
    </xf>
    <xf numFmtId="49" fontId="36" fillId="0" borderId="19" xfId="43" applyNumberFormat="1" applyFont="1" applyBorder="1" applyAlignment="1">
      <alignment horizontal="center" vertical="center"/>
    </xf>
    <xf numFmtId="0" fontId="37" fillId="0" borderId="19" xfId="43" applyFont="1" applyBorder="1" applyAlignment="1">
      <alignment horizontal="center" vertical="center"/>
    </xf>
    <xf numFmtId="168" fontId="37" fillId="0" borderId="19" xfId="46" applyNumberFormat="1" applyFont="1" applyFill="1" applyBorder="1" applyAlignment="1">
      <alignment horizontal="center" vertical="center"/>
    </xf>
    <xf numFmtId="0" fontId="22" fillId="0" borderId="0" xfId="43" applyFont="1" applyAlignment="1">
      <alignment horizontal="center" vertical="center"/>
    </xf>
    <xf numFmtId="0" fontId="30" fillId="0" borderId="0" xfId="43" applyFont="1" applyAlignment="1">
      <alignment horizontal="center" vertical="center"/>
    </xf>
    <xf numFmtId="0" fontId="30" fillId="0" borderId="0" xfId="43" applyFont="1" applyAlignment="1">
      <alignment horizontal="left" vertical="center"/>
    </xf>
    <xf numFmtId="0" fontId="39" fillId="0" borderId="0" xfId="43" applyFont="1" applyAlignment="1">
      <alignment horizontal="center" vertical="center"/>
    </xf>
    <xf numFmtId="0" fontId="30" fillId="37" borderId="0" xfId="43" applyFont="1" applyFill="1" applyAlignment="1">
      <alignment horizontal="center" vertical="center"/>
    </xf>
    <xf numFmtId="0" fontId="30" fillId="40" borderId="0" xfId="43" applyFont="1" applyFill="1" applyAlignment="1">
      <alignment horizontal="center" vertical="center"/>
    </xf>
    <xf numFmtId="0" fontId="40" fillId="0" borderId="0" xfId="43" applyFont="1" applyAlignment="1">
      <alignment horizontal="center" vertical="center"/>
    </xf>
    <xf numFmtId="0" fontId="41" fillId="0" borderId="0" xfId="43" applyFont="1" applyAlignment="1">
      <alignment horizontal="center" vertical="center"/>
    </xf>
    <xf numFmtId="0" fontId="30" fillId="41" borderId="0" xfId="43" applyFont="1" applyFill="1" applyAlignment="1">
      <alignment horizontal="center" vertical="center"/>
    </xf>
    <xf numFmtId="0" fontId="21" fillId="0" borderId="0" xfId="43" applyFont="1" applyAlignment="1">
      <alignment horizontal="center" vertical="center"/>
    </xf>
    <xf numFmtId="0" fontId="30" fillId="42" borderId="0" xfId="43" applyFont="1" applyFill="1" applyAlignment="1">
      <alignment horizontal="center" vertical="center"/>
    </xf>
    <xf numFmtId="0" fontId="22" fillId="0" borderId="0" xfId="43" applyFont="1" applyAlignment="1">
      <alignment vertical="center"/>
    </xf>
    <xf numFmtId="14" fontId="0" fillId="0" borderId="0" xfId="0" applyNumberFormat="1"/>
    <xf numFmtId="14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49" fontId="19" fillId="0" borderId="11" xfId="0" applyNumberFormat="1" applyFont="1" applyBorder="1" applyAlignment="1">
      <alignment horizontal="centerContinuous" wrapText="1"/>
    </xf>
    <xf numFmtId="49" fontId="19" fillId="0" borderId="12" xfId="0" applyNumberFormat="1" applyFont="1" applyBorder="1" applyAlignment="1">
      <alignment horizontal="centerContinuous" wrapText="1"/>
    </xf>
    <xf numFmtId="49" fontId="19" fillId="0" borderId="13" xfId="0" applyNumberFormat="1" applyFont="1" applyBorder="1" applyAlignment="1">
      <alignment horizontal="centerContinuous" wrapText="1"/>
    </xf>
    <xf numFmtId="0" fontId="0" fillId="0" borderId="0" xfId="0" applyAlignment="1">
      <alignment horizontal="left" vertical="center"/>
    </xf>
    <xf numFmtId="14" fontId="21" fillId="33" borderId="15" xfId="43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37" borderId="0" xfId="0" applyFill="1" applyAlignment="1">
      <alignment horizontal="left" vertical="center"/>
    </xf>
    <xf numFmtId="174" fontId="37" fillId="34" borderId="19" xfId="1" applyNumberFormat="1" applyFont="1" applyFill="1" applyBorder="1" applyAlignment="1">
      <alignment horizontal="center" vertical="center"/>
    </xf>
    <xf numFmtId="174" fontId="36" fillId="39" borderId="22" xfId="1" applyNumberFormat="1" applyFont="1" applyFill="1" applyBorder="1" applyAlignment="1">
      <alignment vertical="center"/>
    </xf>
    <xf numFmtId="174" fontId="36" fillId="39" borderId="23" xfId="1" applyNumberFormat="1" applyFont="1" applyFill="1" applyBorder="1" applyAlignment="1">
      <alignment horizontal="center" vertical="center"/>
    </xf>
    <xf numFmtId="174" fontId="25" fillId="34" borderId="19" xfId="1" applyNumberFormat="1" applyFont="1" applyFill="1" applyBorder="1" applyProtection="1">
      <protection locked="0"/>
    </xf>
    <xf numFmtId="0" fontId="0" fillId="43" borderId="0" xfId="0" applyFill="1"/>
    <xf numFmtId="0" fontId="0" fillId="36" borderId="0" xfId="0" applyFill="1" applyAlignment="1">
      <alignment horizontal="center" vertical="center"/>
    </xf>
    <xf numFmtId="16" fontId="0" fillId="0" borderId="0" xfId="0" quotePrefix="1" applyNumberFormat="1"/>
    <xf numFmtId="0" fontId="0" fillId="0" borderId="0" xfId="0" quotePrefix="1"/>
    <xf numFmtId="0" fontId="45" fillId="0" borderId="0" xfId="0" applyFont="1"/>
    <xf numFmtId="0" fontId="24" fillId="44" borderId="0" xfId="0" applyFont="1" applyFill="1"/>
    <xf numFmtId="0" fontId="24" fillId="44" borderId="0" xfId="0" applyFont="1" applyFill="1" applyAlignment="1">
      <alignment horizontal="center" vertical="center"/>
    </xf>
    <xf numFmtId="49" fontId="24" fillId="44" borderId="0" xfId="0" applyNumberFormat="1" applyFont="1" applyFill="1" applyAlignment="1">
      <alignment horizontal="center" vertical="center"/>
    </xf>
    <xf numFmtId="174" fontId="0" fillId="0" borderId="0" xfId="1" applyNumberFormat="1" applyFont="1" applyAlignment="1">
      <alignment horizontal="center" vertical="center"/>
    </xf>
    <xf numFmtId="174" fontId="19" fillId="0" borderId="0" xfId="1" applyNumberFormat="1" applyFont="1" applyAlignment="1">
      <alignment horizontal="center" wrapText="1"/>
    </xf>
    <xf numFmtId="174" fontId="0" fillId="0" borderId="0" xfId="1" applyNumberFormat="1" applyFont="1" applyAlignment="1">
      <alignment horizontal="center" vertical="center" wrapText="1"/>
    </xf>
    <xf numFmtId="0" fontId="21" fillId="0" borderId="0" xfId="43" applyFont="1" applyAlignment="1">
      <alignment horizontal="center" vertical="center"/>
    </xf>
    <xf numFmtId="0" fontId="20" fillId="33" borderId="20" xfId="45" applyFont="1" applyFill="1" applyBorder="1" applyAlignment="1">
      <alignment horizontal="center" vertical="center" wrapText="1"/>
    </xf>
    <xf numFmtId="0" fontId="20" fillId="33" borderId="15" xfId="45" applyFont="1" applyFill="1" applyBorder="1" applyAlignment="1">
      <alignment horizontal="center" vertical="center" wrapText="1"/>
    </xf>
    <xf numFmtId="0" fontId="20" fillId="33" borderId="19" xfId="45" applyFont="1" applyFill="1" applyBorder="1" applyAlignment="1">
      <alignment horizontal="center" vertical="center" wrapText="1"/>
    </xf>
    <xf numFmtId="168" fontId="20" fillId="33" borderId="19" xfId="46" applyNumberFormat="1" applyFont="1" applyFill="1" applyBorder="1" applyAlignment="1">
      <alignment horizontal="center" vertical="center" wrapText="1"/>
    </xf>
    <xf numFmtId="0" fontId="27" fillId="0" borderId="0" xfId="45" applyFont="1" applyAlignment="1">
      <alignment horizontal="center" vertical="center"/>
    </xf>
    <xf numFmtId="166" fontId="28" fillId="0" borderId="0" xfId="45" applyNumberFormat="1" applyFont="1" applyAlignment="1" applyProtection="1">
      <alignment horizontal="center" vertical="center"/>
      <protection locked="0"/>
    </xf>
    <xf numFmtId="169" fontId="33" fillId="38" borderId="18" xfId="45" applyNumberFormat="1" applyFont="1" applyFill="1" applyBorder="1" applyAlignment="1">
      <alignment horizontal="center" vertical="center"/>
    </xf>
    <xf numFmtId="0" fontId="33" fillId="38" borderId="18" xfId="45" applyFont="1" applyFill="1" applyBorder="1" applyAlignment="1">
      <alignment horizontal="center" vertical="center"/>
    </xf>
    <xf numFmtId="0" fontId="20" fillId="33" borderId="19" xfId="43" applyFont="1" applyFill="1" applyBorder="1" applyAlignment="1">
      <alignment horizontal="center" vertical="center"/>
    </xf>
    <xf numFmtId="0" fontId="21" fillId="33" borderId="19" xfId="43" applyFont="1" applyFill="1" applyBorder="1" applyAlignment="1">
      <alignment horizontal="center" vertical="center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omma" xfId="44" builtinId="3"/>
    <cellStyle name="Comma [0]" xfId="1" builtinId="6"/>
    <cellStyle name="Comma 2" xfId="46" xr:uid="{F4903D79-8FEF-4B64-B795-FB367CEC1492}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52D2B0E-6E92-4F9B-B04C-B4F7E087AD95}"/>
    <cellStyle name="Normal_Bang cham cong tu dong" xfId="45" xr:uid="{092D5859-F51C-4368-A877-2CA01CD2A76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53">
    <dxf>
      <fill>
        <patternFill>
          <bgColor rgb="FFFFFF00"/>
        </patternFill>
      </fill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rgb="FFFFFF00"/>
        </patternFill>
      </fill>
    </dxf>
    <dxf>
      <font>
        <condense val="0"/>
        <extend val="0"/>
        <color indexed="13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rgb="FF00B050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49998474074526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FFFF00"/>
        </patternFill>
      </fill>
    </dxf>
    <dxf>
      <fill>
        <patternFill>
          <bgColor theme="3" tint="0.499984740745262"/>
        </patternFill>
      </fill>
    </dxf>
    <dxf>
      <fill>
        <patternFill>
          <bgColor theme="9" tint="0.39994506668294322"/>
        </patternFill>
      </fill>
    </dxf>
    <dxf>
      <numFmt numFmtId="0" formatCode="General"/>
    </dxf>
    <dxf>
      <numFmt numFmtId="19" formatCode="dd/mm/yyyy"/>
    </dxf>
    <dxf>
      <numFmt numFmtId="164" formatCode="[$-F400]h:mm:ss\ AM/PM"/>
    </dxf>
    <dxf>
      <numFmt numFmtId="16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family val="1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indexed="64"/>
        </left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33" formatCode="_ * #,##0_)_ ;_ * \(#,##0\)_ ;_ * &quot;-&quot;_)_ ;_ @_ "/>
      <alignment horizontal="left" vertical="center" textRotation="0" wrapText="0" indent="0" justifyLastLine="0" shrinkToFit="0" readingOrder="0"/>
    </dxf>
    <dxf>
      <numFmt numFmtId="33" formatCode="_ * #,##0_)_ ;_ * \(#,##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74" formatCode="_ * #,##0.0_)_ ;_ * \(#,##0.0\)_ ;_ * &quot;-&quot;_)_ ;_ @_ "/>
      <alignment horizontal="center" vertical="center" textRotation="0" wrapText="0" indent="0" justifyLastLine="0" shrinkToFit="0" readingOrder="0"/>
    </dxf>
    <dxf>
      <numFmt numFmtId="0" formatCode="General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64" formatCode="[$-F400]h:mm:ss\ AM/PM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 Narrow"/>
        <family val="2"/>
        <scheme val="minor"/>
      </font>
      <numFmt numFmtId="30" formatCode="@"/>
      <alignment horizontal="center" vertical="bottom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left style="thin">
          <color rgb="FF000000"/>
        </left>
      </border>
    </dxf>
    <dxf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161925</xdr:colOff>
      <xdr:row>2</xdr:row>
      <xdr:rowOff>0</xdr:rowOff>
    </xdr:from>
    <xdr:to>
      <xdr:col>11</xdr:col>
      <xdr:colOff>161925</xdr:colOff>
      <xdr:row>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6276975" y="44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247650</xdr:colOff>
          <xdr:row>0</xdr:row>
          <xdr:rowOff>0</xdr:rowOff>
        </xdr:from>
        <xdr:to>
          <xdr:col>15</xdr:col>
          <xdr:colOff>161925</xdr:colOff>
          <xdr:row>35</xdr:row>
          <xdr:rowOff>114300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9A43026-D252-46B6-9151-EA5C431A7DB4}" name="Table2" displayName="Table2" ref="A2:AI842" totalsRowShown="0" headerRowDxfId="152" tableBorderDxfId="151">
  <autoFilter ref="A2:AI842" xr:uid="{69A43026-D252-46B6-9151-EA5C431A7DB4}"/>
  <tableColumns count="35">
    <tableColumn id="1" xr3:uid="{BB862E94-C28F-4202-A621-40CFD1070CFA}" name="ID Người" dataDxfId="150"/>
    <tableColumn id="2" xr3:uid="{0BD185FF-77E1-4FFD-90C2-2CAD54BCCEF6}" name="Tên" dataDxfId="149"/>
    <tableColumn id="3" xr3:uid="{7713A2DA-4EF2-4F49-B49C-F7F9116AB2A8}" name="Bộ phận" dataDxfId="148"/>
    <tableColumn id="4" xr3:uid="{AB804768-7FB4-4892-8F40-F878885FC882}" name="Ngày" dataDxfId="147"/>
    <tableColumn id="5" xr3:uid="{2A23F28F-099B-4404-BE8C-5104EBF9DF0C}" name="Ca làm việc" dataDxfId="146"/>
    <tableColumn id="6" xr3:uid="{F43AB9EB-BC5B-4285-9C21-EFF01B60A422}" name="Thời gian biểu" dataDxfId="145"/>
    <tableColumn id="7" xr3:uid="{C0B8F5DB-8B7E-4F09-8592-4B463E0E518F}" name="Tình trạng chuyên cần" dataDxfId="144"/>
    <tableColumn id="8" xr3:uid="{6DA7A686-5E43-40A2-BE72-2932A61E0FE1}" name="Vào" dataDxfId="143"/>
    <tableColumn id="9" xr3:uid="{17274890-B857-4B21-9267-1EF4A26C3EA5}" name="Ra" dataDxfId="142"/>
    <tableColumn id="10" xr3:uid="{47401314-554B-4DFE-B561-D087A47DE836}" name="Muộn" dataDxfId="141"/>
    <tableColumn id="11" xr3:uid="{419444D8-FC33-4147-B971-94EF7048353C}" name="Đã tham dự" dataDxfId="140"/>
    <tableColumn id="12" xr3:uid="{11A31409-40B6-4D08-8E97-E4C8C9F7A68B}" name="Vắng mặt" dataDxfId="139"/>
    <tableColumn id="13" xr3:uid="{2006D5F9-2030-43E9-91E4-C95812D11967}" name="Đã làm việc" dataDxfId="138"/>
    <tableColumn id="14" xr3:uid="{E847D8B6-718A-44E7-AB94-04F489448C8F}" name="Thoát" dataDxfId="137"/>
    <tableColumn id="15" xr3:uid="{93A23DDC-0254-4173-8DD2-AFACD9554760}" name="Tăng ca 1" dataDxfId="136"/>
    <tableColumn id="16" xr3:uid="{5CABDF8B-C4BF-47DA-A98E-CB8493E06BF2}" name="Tăng ca 2" dataDxfId="135"/>
    <tableColumn id="17" xr3:uid="{60F7EDAD-4124-402C-ABAA-BF050EE0728F}" name="Tăng ca 3" dataDxfId="134"/>
    <tableColumn id="37" xr3:uid="{ABDFDDF8-D8FE-4E6D-BAC7-5E93C5C66A83}" name="Mã Do công" dataDxfId="133">
      <calculatedColumnFormula>A3&amp;U3</calculatedColumnFormula>
    </tableColumn>
    <tableColumn id="18" xr3:uid="{5F88F8DA-884B-4E1B-8CEE-3491F9CEA8AC}" name="Tên nhân viên">
      <calculatedColumnFormula>VLOOKUP(A3,Data_NV!$A:$C,3,0)</calculatedColumnFormula>
    </tableColumn>
    <tableColumn id="19" xr3:uid="{463115AE-AA69-45E0-A35E-9A45BB7EA09A}" name="Bộ phận2">
      <calculatedColumnFormula>VLOOKUP(A3,Data_NV!$A:$E,4,0)</calculatedColumnFormula>
    </tableColumn>
    <tableColumn id="35" xr3:uid="{4012BD37-1D14-4FEA-8F32-F32DE1DEAFC5}" name="Ngày chấm công" dataDxfId="132">
      <calculatedColumnFormula>DATEVALUE(Table2[[#This Row],[Ngày]])</calculatedColumnFormula>
    </tableColumn>
    <tableColumn id="20" xr3:uid="{379046A5-F4B1-45EE-9D42-C0A2F1531BCD}" name="Trạng thái">
      <calculatedColumnFormula>VLOOKUP(A3,Data_NV!$A:$E,5,0)</calculatedColumnFormula>
    </tableColumn>
    <tableColumn id="23" xr3:uid="{E11D05B9-0EBF-40D2-8789-8D2A1D146AE1}" name="Giờ vào HC" dataDxfId="131">
      <calculatedColumnFormula>VLOOKUP(A3,Data_NV!$A:$I,8,0)</calculatedColumnFormula>
    </tableColumn>
    <tableColumn id="24" xr3:uid="{627170BD-CC2C-48AF-A3B9-00FA26225659}" name="Giờ ra HC" dataDxfId="130">
      <calculatedColumnFormula>VLOOKUP(A3,Data_NV!$A:$I,9,0)</calculatedColumnFormula>
    </tableColumn>
    <tableColumn id="26" xr3:uid="{6E17ECA6-D272-46EA-8FAB-08A65E856033}" name="Giờ vao TT" dataDxfId="129">
      <calculatedColumnFormula>IFERROR(TIMEVALUE(Table2[[#This Row],[Vào]]),0)</calculatedColumnFormula>
    </tableColumn>
    <tableColumn id="25" xr3:uid="{DEDA3888-B791-4991-A8F4-D1FC97E08C92}" name="Giờ ra TT" dataDxfId="128">
      <calculatedColumnFormula>IFERROR(TIMEVALUE(Table2[[#This Row],[Ra]]),0)</calculatedColumnFormula>
    </tableColumn>
    <tableColumn id="21" xr3:uid="{8E55B1CA-63B8-4C1A-AE21-23A9610978AA}" name="Ngày công" dataDxfId="127">
      <calculatedColumnFormula>IF(TEXT($U3,"ddd")="CN","Chủ nhật",IF(OR(AND(Y3=0,Z3=0),AG3="Không chấm công do vi phạm quá 3 lần"),"",IF(OR(AG3="Trừ 1/2 ngày lương",AF3="Trừ 1/2 ngày lương",AB3&gt;=60),"1/2","x")))</calculatedColumnFormula>
    </tableColumn>
    <tableColumn id="22" xr3:uid="{47ED9F82-8B86-43A9-B0EE-B7D8C8499D70}" name="Muộn (Phút)" dataDxfId="126" dataCellStyle="Comma [0]">
      <calculatedColumnFormula>IF(Y3&lt;=W3,0,(Y3-W3)*24*60)</calculatedColumnFormula>
    </tableColumn>
    <tableColumn id="29" xr3:uid="{8A5F5DF0-E736-47CA-92D0-F490B81162C6}" name="Châm công" dataDxfId="125">
      <calculatedColumnFormula>IF(VLOOKUP(A3,Data_NV!$A:$I,7,0)="Không","",IF(OR(AND(Y3=0,Z3=0),AND(Y3&lt;&gt;0,Z3&lt;&gt;0)),"","Quên chấm công"))</calculatedColumnFormula>
    </tableColumn>
    <tableColumn id="28" xr3:uid="{6DB0A2FA-0148-4DB3-B7B2-A28D7B6BA95C}" name="Về sớm" dataDxfId="124">
      <calculatedColumnFormula>IF(VLOOKUP(A3,Data_NV!$A:$I,7,0)="Không",0,IF(AND(Y3=0,Z3=0),0,IF(X3&lt;=Z3,0,ROUNDDOWN((X3-Z3)*24*60,0))))</calculatedColumnFormula>
    </tableColumn>
    <tableColumn id="27" xr3:uid="{1DB9F942-A299-48AA-816A-C32C193E24C8}" name="Tăng ca (phút)" dataDxfId="123">
      <calculatedColumnFormula>IF(VLOOKUP(A3,Data_NV!$A:$I,6,0)="Không",0,IF(Z3&lt;=X3,0,ROUNDDOWN((Z3-X3)*24*60,0)))</calculatedColumnFormula>
    </tableColumn>
    <tableColumn id="30" xr3:uid="{BAB95E75-338D-4971-B92C-A9C2D39ACDD9}" name="Phạt muộn" dataDxfId="122" dataCellStyle="Comma [0]">
      <calculatedColumnFormula>IF(AB3&gt;60,"Trừ 1/2 ngày lương",IF(AB3&gt;15,50000,IF(AB3&gt;6,30000,0)))</calculatedColumnFormula>
    </tableColumn>
    <tableColumn id="34" xr3:uid="{E3CD53FE-A9FD-4C0E-BF1A-5B86AFE89C3B}" name="Phạt Quên chấm công" dataDxfId="121" dataCellStyle="Comma [0]">
      <calculatedColumnFormula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calculatedColumnFormula>
    </tableColumn>
    <tableColumn id="31" xr3:uid="{79978BF7-3689-4002-A635-9BD7FA4E9260}" name="Trừ lương do vi phạm" dataDxfId="120">
      <calculatedColumnFormula>IF(AF3=0,"",IF(COUNTIFS($AF$3:AF3,"&gt;0",$S$3:S3,S3)&gt;3,"Trừ toàn bộ chuyên cần tháng",""))</calculatedColumnFormula>
    </tableColumn>
    <tableColumn id="32" xr3:uid="{5F69CE8B-BE54-468A-8330-7BCD118B7209}" name="Ghi Chú" dataDxfId="11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EEB7B5-F328-4E59-B2FC-7BFE65B9EB89}" name="Table1" displayName="Table1" ref="A1:K66" totalsRowShown="0" headerRowDxfId="118" headerRowBorderDxfId="117" tableBorderDxfId="116" headerRowCellStyle="Normal 2">
  <autoFilter ref="A1:K66" xr:uid="{EDEEB7B5-F328-4E59-B2FC-7BFE65B9EB89}">
    <filterColumn colId="4">
      <filters>
        <filter val="Đang làm việc"/>
      </filters>
    </filterColumn>
  </autoFilter>
  <tableColumns count="11">
    <tableColumn id="1" xr3:uid="{28B3DE7C-E72E-4CB6-A6A8-D01064BFA6AF}" name="ID" dataDxfId="115" dataCellStyle="Normal 2"/>
    <tableColumn id="2" xr3:uid="{35312885-B972-46CB-B124-B447B2202ADD}" name="STT" dataDxfId="114" dataCellStyle="Normal 2"/>
    <tableColumn id="3" xr3:uid="{34F4AB2D-0732-4B16-803D-4561E99F702C}" name="Họ và Tên " dataDxfId="113" dataCellStyle="Normal 2"/>
    <tableColumn id="4" xr3:uid="{7F2C4F1C-06DA-4D26-B37E-36F2A4BC6626}" name="Bộ phận" dataDxfId="112" dataCellStyle="Normal 2"/>
    <tableColumn id="5" xr3:uid="{3580CA74-BCBB-4337-9BC4-1B0E3967B478}" name="Trạng thái"/>
    <tableColumn id="6" xr3:uid="{5D38C5F6-AF3D-49A9-BF86-500594C48108}" name="Tăng ca"/>
    <tableColumn id="7" xr3:uid="{E1272746-23FE-40AD-B1E2-8007B373B8F0}" name="Chấm vân tay giờ về"/>
    <tableColumn id="8" xr3:uid="{56A759CA-040F-4DC4-9A11-B6ACD506FEE9}" name="Giờ vào HC" dataDxfId="111"/>
    <tableColumn id="9" xr3:uid="{3916B849-A234-487E-8060-FCED5E70F5BC}" name="Giờ Về" dataDxfId="110"/>
    <tableColumn id="10" xr3:uid="{417F2E2A-9AD1-4ECD-8AF3-F50F1C40BBFB}" name="Ngày sinh" dataDxfId="109"/>
    <tableColumn id="11" xr3:uid="{AB1889B8-750B-484F-91E6-70D31786F31A}" name="Tháng sinh" dataDxfId="108">
      <calculatedColumnFormula>MONTH(Table1[[#This Row],[Ngày sinh]])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12AC3-5426-4EFE-A920-CF2031E89790}">
  <dimension ref="A1:AP56"/>
  <sheetViews>
    <sheetView tabSelected="1" zoomScale="85" zoomScaleNormal="85" workbookViewId="0">
      <pane xSplit="3" ySplit="4" topLeftCell="L5" activePane="bottomRight" state="frozen"/>
      <selection pane="topRight" activeCell="D1" sqref="D1"/>
      <selection pane="bottomLeft" activeCell="A5" sqref="A5"/>
      <selection pane="bottomRight" activeCell="Z19" sqref="Z19"/>
    </sheetView>
  </sheetViews>
  <sheetFormatPr defaultRowHeight="15" x14ac:dyDescent="0.25"/>
  <cols>
    <col min="1" max="1" width="3.28515625" bestFit="1" customWidth="1"/>
    <col min="2" max="2" width="4.42578125" bestFit="1" customWidth="1"/>
    <col min="3" max="3" width="23.28515625" bestFit="1" customWidth="1"/>
    <col min="39" max="39" width="0" hidden="1" customWidth="1"/>
    <col min="42" max="42" width="11.5703125" bestFit="1" customWidth="1"/>
  </cols>
  <sheetData>
    <row r="1" spans="1:42" ht="20.25" x14ac:dyDescent="0.25">
      <c r="A1" s="28"/>
      <c r="B1" s="29"/>
      <c r="C1" s="113" t="s">
        <v>1326</v>
      </c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30"/>
      <c r="AM1" s="30"/>
      <c r="AN1" s="114">
        <f>DATE(U2,R2,1)</f>
        <v>45901</v>
      </c>
      <c r="AO1" s="114"/>
      <c r="AP1" s="31"/>
    </row>
    <row r="2" spans="1:42" ht="15.75" x14ac:dyDescent="0.25">
      <c r="A2" s="28"/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4"/>
      <c r="O2" s="33"/>
      <c r="P2" s="28"/>
      <c r="Q2" s="35" t="s">
        <v>1327</v>
      </c>
      <c r="R2" s="115">
        <v>9</v>
      </c>
      <c r="S2" s="115"/>
      <c r="T2" s="35" t="s">
        <v>1328</v>
      </c>
      <c r="U2" s="116">
        <v>2025</v>
      </c>
      <c r="V2" s="116"/>
      <c r="W2" s="116"/>
      <c r="X2" s="36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28"/>
      <c r="AK2" s="28"/>
      <c r="AL2" s="28"/>
      <c r="AM2" s="28"/>
      <c r="AN2" s="28"/>
      <c r="AO2" s="28"/>
      <c r="AP2" s="31"/>
    </row>
    <row r="3" spans="1:42" x14ac:dyDescent="0.25">
      <c r="A3" s="28"/>
      <c r="B3" s="117" t="s">
        <v>1240</v>
      </c>
      <c r="C3" s="118" t="s">
        <v>1241</v>
      </c>
      <c r="D3" s="38">
        <f>AN1</f>
        <v>45901</v>
      </c>
      <c r="E3" s="38">
        <f t="shared" ref="E3:T4" si="0">D3+1</f>
        <v>45902</v>
      </c>
      <c r="F3" s="38">
        <f t="shared" si="0"/>
        <v>45903</v>
      </c>
      <c r="G3" s="38">
        <f t="shared" si="0"/>
        <v>45904</v>
      </c>
      <c r="H3" s="38">
        <f t="shared" si="0"/>
        <v>45905</v>
      </c>
      <c r="I3" s="38">
        <f t="shared" si="0"/>
        <v>45906</v>
      </c>
      <c r="J3" s="38">
        <f t="shared" si="0"/>
        <v>45907</v>
      </c>
      <c r="K3" s="38">
        <f t="shared" si="0"/>
        <v>45908</v>
      </c>
      <c r="L3" s="38">
        <f t="shared" si="0"/>
        <v>45909</v>
      </c>
      <c r="M3" s="38">
        <f t="shared" si="0"/>
        <v>45910</v>
      </c>
      <c r="N3" s="38">
        <f t="shared" si="0"/>
        <v>45911</v>
      </c>
      <c r="O3" s="38">
        <f t="shared" si="0"/>
        <v>45912</v>
      </c>
      <c r="P3" s="38">
        <f t="shared" si="0"/>
        <v>45913</v>
      </c>
      <c r="Q3" s="38">
        <f t="shared" si="0"/>
        <v>45914</v>
      </c>
      <c r="R3" s="38">
        <f t="shared" si="0"/>
        <v>45915</v>
      </c>
      <c r="S3" s="38">
        <f t="shared" si="0"/>
        <v>45916</v>
      </c>
      <c r="T3" s="38">
        <f t="shared" si="0"/>
        <v>45917</v>
      </c>
      <c r="U3" s="38">
        <f t="shared" ref="U3:AE4" si="1">T3+1</f>
        <v>45918</v>
      </c>
      <c r="V3" s="38">
        <f t="shared" si="1"/>
        <v>45919</v>
      </c>
      <c r="W3" s="38">
        <f t="shared" si="1"/>
        <v>45920</v>
      </c>
      <c r="X3" s="38">
        <f t="shared" si="1"/>
        <v>45921</v>
      </c>
      <c r="Y3" s="38">
        <f t="shared" si="1"/>
        <v>45922</v>
      </c>
      <c r="Z3" s="38">
        <f t="shared" si="1"/>
        <v>45923</v>
      </c>
      <c r="AA3" s="38">
        <f t="shared" si="1"/>
        <v>45924</v>
      </c>
      <c r="AB3" s="38">
        <f t="shared" si="1"/>
        <v>45925</v>
      </c>
      <c r="AC3" s="38">
        <f t="shared" si="1"/>
        <v>45926</v>
      </c>
      <c r="AD3" s="38">
        <f t="shared" si="1"/>
        <v>45927</v>
      </c>
      <c r="AE3" s="38">
        <f t="shared" si="1"/>
        <v>45928</v>
      </c>
      <c r="AF3" s="38">
        <f t="shared" ref="AF3:AH4" si="2">IF(AE3="","",IF(DAY(AE3+1)=1,"",AE3+1))</f>
        <v>45929</v>
      </c>
      <c r="AG3" s="38">
        <f t="shared" si="2"/>
        <v>45930</v>
      </c>
      <c r="AH3" s="38" t="str">
        <f t="shared" si="2"/>
        <v/>
      </c>
      <c r="AI3" s="111" t="s">
        <v>1285</v>
      </c>
      <c r="AJ3" s="111" t="s">
        <v>1329</v>
      </c>
      <c r="AK3" s="111" t="s">
        <v>1330</v>
      </c>
      <c r="AL3" s="111" t="s">
        <v>1331</v>
      </c>
      <c r="AM3" s="109" t="s">
        <v>1332</v>
      </c>
      <c r="AN3" s="111" t="s">
        <v>1333</v>
      </c>
      <c r="AO3" s="111" t="s">
        <v>1334</v>
      </c>
      <c r="AP3" s="112" t="s">
        <v>1335</v>
      </c>
    </row>
    <row r="4" spans="1:42" ht="43.5" x14ac:dyDescent="0.25">
      <c r="A4" s="28" t="s">
        <v>1242</v>
      </c>
      <c r="B4" s="117"/>
      <c r="C4" s="118"/>
      <c r="D4" s="39">
        <f>AN1</f>
        <v>45901</v>
      </c>
      <c r="E4" s="40">
        <f t="shared" si="0"/>
        <v>45902</v>
      </c>
      <c r="F4" s="40">
        <f>E4+1</f>
        <v>45903</v>
      </c>
      <c r="G4" s="40">
        <f t="shared" si="0"/>
        <v>45904</v>
      </c>
      <c r="H4" s="40">
        <f t="shared" si="0"/>
        <v>45905</v>
      </c>
      <c r="I4" s="40">
        <f t="shared" si="0"/>
        <v>45906</v>
      </c>
      <c r="J4" s="40">
        <f t="shared" si="0"/>
        <v>45907</v>
      </c>
      <c r="K4" s="40">
        <f t="shared" si="0"/>
        <v>45908</v>
      </c>
      <c r="L4" s="40">
        <f t="shared" si="0"/>
        <v>45909</v>
      </c>
      <c r="M4" s="40">
        <f t="shared" si="0"/>
        <v>45910</v>
      </c>
      <c r="N4" s="40">
        <f t="shared" si="0"/>
        <v>45911</v>
      </c>
      <c r="O4" s="40">
        <f t="shared" si="0"/>
        <v>45912</v>
      </c>
      <c r="P4" s="40">
        <f t="shared" si="0"/>
        <v>45913</v>
      </c>
      <c r="Q4" s="40">
        <f t="shared" si="0"/>
        <v>45914</v>
      </c>
      <c r="R4" s="40">
        <f t="shared" si="0"/>
        <v>45915</v>
      </c>
      <c r="S4" s="40">
        <f t="shared" si="0"/>
        <v>45916</v>
      </c>
      <c r="T4" s="40">
        <f t="shared" si="0"/>
        <v>45917</v>
      </c>
      <c r="U4" s="40">
        <f t="shared" si="1"/>
        <v>45918</v>
      </c>
      <c r="V4" s="40">
        <f t="shared" si="1"/>
        <v>45919</v>
      </c>
      <c r="W4" s="40">
        <f t="shared" si="1"/>
        <v>45920</v>
      </c>
      <c r="X4" s="40">
        <f t="shared" si="1"/>
        <v>45921</v>
      </c>
      <c r="Y4" s="40">
        <f t="shared" si="1"/>
        <v>45922</v>
      </c>
      <c r="Z4" s="40">
        <f t="shared" si="1"/>
        <v>45923</v>
      </c>
      <c r="AA4" s="40">
        <f t="shared" si="1"/>
        <v>45924</v>
      </c>
      <c r="AB4" s="40">
        <f t="shared" si="1"/>
        <v>45925</v>
      </c>
      <c r="AC4" s="40">
        <f t="shared" si="1"/>
        <v>45926</v>
      </c>
      <c r="AD4" s="40">
        <f t="shared" si="1"/>
        <v>45927</v>
      </c>
      <c r="AE4" s="40">
        <f t="shared" si="1"/>
        <v>45928</v>
      </c>
      <c r="AF4" s="40">
        <f t="shared" si="2"/>
        <v>45929</v>
      </c>
      <c r="AG4" s="40">
        <f t="shared" si="2"/>
        <v>45930</v>
      </c>
      <c r="AH4" s="40" t="str">
        <f t="shared" si="2"/>
        <v/>
      </c>
      <c r="AI4" s="111"/>
      <c r="AJ4" s="111"/>
      <c r="AK4" s="111"/>
      <c r="AL4" s="111"/>
      <c r="AM4" s="110"/>
      <c r="AN4" s="111"/>
      <c r="AO4" s="111" t="s">
        <v>1336</v>
      </c>
      <c r="AP4" s="112"/>
    </row>
    <row r="5" spans="1:42" ht="15.75" x14ac:dyDescent="0.25">
      <c r="A5" s="28"/>
      <c r="B5" s="41"/>
      <c r="C5" s="41" t="s">
        <v>1243</v>
      </c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4"/>
      <c r="AJ5" s="45"/>
      <c r="AK5" s="45"/>
      <c r="AL5" s="45"/>
      <c r="AM5" s="45"/>
      <c r="AN5" s="45"/>
      <c r="AO5" s="45"/>
      <c r="AP5" s="46"/>
    </row>
    <row r="6" spans="1:42" ht="15.75" x14ac:dyDescent="0.25">
      <c r="A6" s="28" t="s">
        <v>939</v>
      </c>
      <c r="B6" s="47">
        <v>1</v>
      </c>
      <c r="C6" s="48" t="s">
        <v>1244</v>
      </c>
      <c r="D6" s="49" t="str">
        <f>IFERROR(IF(D$3="","",IF(TEXT(D$3,"ddd")="CN","CN",VLOOKUP($A6&amp;D$3,Data_Cong!$R:$AI,10,0))),"")</f>
        <v>L</v>
      </c>
      <c r="E6" s="49" t="str">
        <f>IFERROR(IF(E$3="","",IF(TEXT(E$3,"ddd")="CN","CN",VLOOKUP($A6&amp;E$3,Data_Cong!$R:$AI,10,0))),"")</f>
        <v>L</v>
      </c>
      <c r="F6" s="49" t="str">
        <f>IFERROR(IF(F$3="","",IF(TEXT(F$3,"ddd")="CN","CN",VLOOKUP($A6&amp;F$3,Data_Cong!$R:$AI,10,0))),"")</f>
        <v>x</v>
      </c>
      <c r="G6" s="49" t="str">
        <f>IFERROR(IF(G$3="","",IF(TEXT(G$3,"ddd")="CN","CN",VLOOKUP($A6&amp;G$3,Data_Cong!$R:$AI,10,0))),"")</f>
        <v>x</v>
      </c>
      <c r="H6" s="49" t="str">
        <f>IFERROR(IF(H$3="","",IF(TEXT(H$3,"ddd")="CN","CN",VLOOKUP($A6&amp;H$3,Data_Cong!$R:$AI,10,0))),"")</f>
        <v>x</v>
      </c>
      <c r="I6" s="49" t="str">
        <f>IFERROR(IF(I$3="","",IF(TEXT(I$3,"ddd")="CN","CN",VLOOKUP($A6&amp;I$3,Data_Cong!$R:$AI,10,0))),"")</f>
        <v>x</v>
      </c>
      <c r="J6" s="49" t="str">
        <f>IFERROR(IF(J$3="","",IF(TEXT(J$3,"ddd")="CN","CN",VLOOKUP($A6&amp;J$3,Data_Cong!$R:$AI,10,0))),"")</f>
        <v>CN</v>
      </c>
      <c r="K6" s="49" t="str">
        <f>IFERROR(IF(K$3="","",IF(TEXT(K$3,"ddd")="CN","CN",VLOOKUP($A6&amp;K$3,Data_Cong!$R:$AI,10,0))),"")</f>
        <v>x</v>
      </c>
      <c r="L6" s="49" t="str">
        <f>IFERROR(IF(L$3="","",IF(TEXT(L$3,"ddd")="CN","CN",VLOOKUP($A6&amp;L$3,Data_Cong!$R:$AI,10,0))),"")</f>
        <v>x</v>
      </c>
      <c r="M6" s="49" t="str">
        <f>IFERROR(IF(M$3="","",IF(TEXT(M$3,"ddd")="CN","CN",VLOOKUP($A6&amp;M$3,Data_Cong!$R:$AI,10,0))),"")</f>
        <v>x</v>
      </c>
      <c r="N6" s="49" t="str">
        <f>IFERROR(IF(N$3="","",IF(TEXT(N$3,"ddd")="CN","CN",VLOOKUP($A6&amp;N$3,Data_Cong!$R:$AI,10,0))),"")</f>
        <v>x</v>
      </c>
      <c r="O6" s="49" t="str">
        <f>IFERROR(IF(O$3="","",IF(TEXT(O$3,"ddd")="CN","CN",VLOOKUP($A6&amp;O$3,Data_Cong!$R:$AI,10,0))),"")</f>
        <v>x</v>
      </c>
      <c r="P6" s="49" t="str">
        <f>IFERROR(IF(P$3="","",IF(TEXT(P$3,"ddd")="CN","CN",VLOOKUP($A6&amp;P$3,Data_Cong!$R:$AI,10,0))),"")</f>
        <v>x</v>
      </c>
      <c r="Q6" s="49" t="str">
        <f>IFERROR(IF(Q$3="","",IF(TEXT(Q$3,"ddd")="CN","CN",VLOOKUP($A6&amp;Q$3,Data_Cong!$R:$AI,10,0))),"")</f>
        <v>CN</v>
      </c>
      <c r="R6" s="49" t="str">
        <f>IFERROR(IF(R$3="","",IF(TEXT(R$3,"ddd")="CN","CN",VLOOKUP($A6&amp;R$3,Data_Cong!$R:$AI,10,0))),"")</f>
        <v>x</v>
      </c>
      <c r="S6" s="49" t="str">
        <f>IFERROR(IF(S$3="","",IF(TEXT(S$3,"ddd")="CN","CN",VLOOKUP($A6&amp;S$3,Data_Cong!$R:$AI,10,0))),"")</f>
        <v>x</v>
      </c>
      <c r="T6" s="49" t="str">
        <f>IFERROR(IF(T$3="","",IF(TEXT(T$3,"ddd")="CN","CN",VLOOKUP($A6&amp;T$3,Data_Cong!$R:$AI,10,0))),"")</f>
        <v>x</v>
      </c>
      <c r="U6" s="49" t="str">
        <f>IFERROR(IF(U$3="","",IF(TEXT(U$3,"ddd")="CN","CN",VLOOKUP($A6&amp;U$3,Data_Cong!$R:$AI,10,0))),"")</f>
        <v>x</v>
      </c>
      <c r="V6" s="49" t="str">
        <f>IFERROR(IF(V$3="","",IF(TEXT(V$3,"ddd")="CN","CN",VLOOKUP($A6&amp;V$3,Data_Cong!$R:$AI,10,0))),"")</f>
        <v>x</v>
      </c>
      <c r="W6" s="49" t="str">
        <f>IFERROR(IF(W$3="","",IF(TEXT(W$3,"ddd")="CN","CN",VLOOKUP($A6&amp;W$3,Data_Cong!$R:$AI,10,0))),"")</f>
        <v>x</v>
      </c>
      <c r="X6" s="49" t="str">
        <f>IFERROR(IF(X$3="","",IF(TEXT(X$3,"ddd")="CN","CN",VLOOKUP($A6&amp;X$3,Data_Cong!$R:$AI,10,0))),"")</f>
        <v>CN</v>
      </c>
      <c r="Y6" s="49" t="str">
        <f>IFERROR(IF(Y$3="","",IF(TEXT(Y$3,"ddd")="CN","CN",VLOOKUP($A6&amp;Y$3,Data_Cong!$R:$AI,10,0))),"")</f>
        <v>x</v>
      </c>
      <c r="Z6" s="49" t="str">
        <f>IFERROR(IF(Z$3="","",IF(TEXT(Z$3,"ddd")="CN","CN",VLOOKUP($A6&amp;Z$3,Data_Cong!$R:$AI,10,0))),"")</f>
        <v>x</v>
      </c>
      <c r="AA6" s="49" t="str">
        <f>IFERROR(IF(AA$3="","",IF(TEXT(AA$3,"ddd")="CN","CN",VLOOKUP($A6&amp;AA$3,Data_Cong!$R:$AI,10,0))),"")</f>
        <v>x</v>
      </c>
      <c r="AB6" s="49" t="str">
        <f>IFERROR(IF(AB$3="","",IF(TEXT(AB$3,"ddd")="CN","CN",VLOOKUP($A6&amp;AB$3,Data_Cong!$R:$AI,10,0))),"")</f>
        <v>x</v>
      </c>
      <c r="AC6" s="49" t="str">
        <f>IFERROR(IF(AC$3="","",IF(TEXT(AC$3,"ddd")="CN","CN",VLOOKUP($A6&amp;AC$3,Data_Cong!$R:$AI,10,0))),"")</f>
        <v>x</v>
      </c>
      <c r="AD6" s="49" t="str">
        <f>IFERROR(IF(AD$3="","",IF(TEXT(AD$3,"ddd")="CN","CN",VLOOKUP($A6&amp;AD$3,Data_Cong!$R:$AI,10,0))),"")</f>
        <v>x</v>
      </c>
      <c r="AE6" s="49" t="str">
        <f>IFERROR(IF(AE$3="","",IF(TEXT(AE$3,"ddd")="CN","CN",VLOOKUP($A6&amp;AE$3,Data_Cong!$R:$AI,10,0))),"")</f>
        <v>CN</v>
      </c>
      <c r="AF6" s="49" t="str">
        <f>IFERROR(IF(AF$3="","",IF(TEXT(AF$3,"ddd")="CN","CN",VLOOKUP($A6&amp;AF$3,Data_Cong!$R:$AI,10,0))),"")</f>
        <v>x</v>
      </c>
      <c r="AG6" s="49" t="str">
        <f>IFERROR(IF(AG$3="","",IF(TEXT(AG$3,"ddd")="CN","CN",VLOOKUP($A6&amp;AG$3,Data_Cong!$R:$AI,10,0))),"")</f>
        <v>x</v>
      </c>
      <c r="AH6" s="49" t="str">
        <f>IFERROR(IF(AH$3="","",IF(TEXT(AH$3,"ddd")="CN","CN",VLOOKUP($A6&amp;AH$3,Data_Cong!$R:$AI,10,0))),"")</f>
        <v/>
      </c>
      <c r="AI6" s="50" cm="1">
        <f t="array" ref="AI6">SUMPRODUCT((D6:AH6="x")*1+(D6:AH6="P")*1+(D6:AH6="1/2P")*1+(D6:AH6="1/2")*0.5+(D6:AH6="2x")*2+(D6:AH6="L")*1)</f>
        <v>26</v>
      </c>
      <c r="AJ6" s="51">
        <f>SUMIF(Data_Cong!A:A,$A6,Data_Cong!AE:AE)</f>
        <v>0</v>
      </c>
      <c r="AK6" s="52">
        <f>COUNTIFS(Data_Cong!AB:AB,"&gt;6",Data_Cong!A:A,A6)</f>
        <v>5</v>
      </c>
      <c r="AL6" s="53" t="str">
        <f>IF(MONTH(VLOOKUP(A6,Data_NV!$A:$J,10,0))=BANG_CHAM_CONG!$R$2,"T"&amp;BANG_CHAM_CONG!$R$2,"")</f>
        <v/>
      </c>
      <c r="AM6" s="96">
        <v>6</v>
      </c>
      <c r="AN6" s="93" cm="1">
        <f t="array" ref="AN6">IF((AM6+1)&gt;12,12,(AM6+1))-SUMPRODUCT((D6:AH6="P")*1+(D6:AH6="1/2P")*0.5)</f>
        <v>7</v>
      </c>
      <c r="AO6" s="50"/>
      <c r="AP6" s="54">
        <f>SUMIFS(Data_Cong!AF:AF,Data_Cong!A:A,$A6)+SUMIFS(Data_Cong!AG:AG,Data_Cong!A:A,$A6)</f>
        <v>190000</v>
      </c>
    </row>
    <row r="7" spans="1:42" ht="15.75" x14ac:dyDescent="0.25">
      <c r="A7" s="28" t="s">
        <v>776</v>
      </c>
      <c r="B7" s="47">
        <v>2</v>
      </c>
      <c r="C7" s="48" t="s">
        <v>1245</v>
      </c>
      <c r="D7" s="49" t="str">
        <f>IFERROR(IF(D$3="","",IF(TEXT(D$3,"ddd")="CN","CN",VLOOKUP($A7&amp;D$3,Data_Cong!$R:$AI,10,0))),"")</f>
        <v>L</v>
      </c>
      <c r="E7" s="49" t="str">
        <f>IFERROR(IF(E$3="","",IF(TEXT(E$3,"ddd")="CN","CN",VLOOKUP($A7&amp;E$3,Data_Cong!$R:$AI,10,0))),"")</f>
        <v>L</v>
      </c>
      <c r="F7" s="49" t="str">
        <f>IFERROR(IF(F$3="","",IF(TEXT(F$3,"ddd")="CN","CN",VLOOKUP($A7&amp;F$3,Data_Cong!$R:$AI,10,0))),"")</f>
        <v>x</v>
      </c>
      <c r="G7" s="49" t="str">
        <f>IFERROR(IF(G$3="","",IF(TEXT(G$3,"ddd")="CN","CN",VLOOKUP($A7&amp;G$3,Data_Cong!$R:$AI,10,0))),"")</f>
        <v>x</v>
      </c>
      <c r="H7" s="49" t="str">
        <f>IFERROR(IF(H$3="","",IF(TEXT(H$3,"ddd")="CN","CN",VLOOKUP($A7&amp;H$3,Data_Cong!$R:$AI,10,0))),"")</f>
        <v>x</v>
      </c>
      <c r="I7" s="49" t="str">
        <f>IFERROR(IF(I$3="","",IF(TEXT(I$3,"ddd")="CN","CN",VLOOKUP($A7&amp;I$3,Data_Cong!$R:$AI,10,0))),"")</f>
        <v>x</v>
      </c>
      <c r="J7" s="49" t="str">
        <f>IFERROR(IF(J$3="","",IF(TEXT(J$3,"ddd")="CN","CN",VLOOKUP($A7&amp;J$3,Data_Cong!$R:$AI,10,0))),"")</f>
        <v>CN</v>
      </c>
      <c r="K7" s="49" t="str">
        <f>IFERROR(IF(K$3="","",IF(TEXT(K$3,"ddd")="CN","CN",VLOOKUP($A7&amp;K$3,Data_Cong!$R:$AI,10,0))),"")</f>
        <v>x</v>
      </c>
      <c r="L7" s="49" t="str">
        <f>IFERROR(IF(L$3="","",IF(TEXT(L$3,"ddd")="CN","CN",VLOOKUP($A7&amp;L$3,Data_Cong!$R:$AI,10,0))),"")</f>
        <v>x</v>
      </c>
      <c r="M7" s="49" t="str">
        <f>IFERROR(IF(M$3="","",IF(TEXT(M$3,"ddd")="CN","CN",VLOOKUP($A7&amp;M$3,Data_Cong!$R:$AI,10,0))),"")</f>
        <v>x</v>
      </c>
      <c r="N7" s="49" t="str">
        <f>IFERROR(IF(N$3="","",IF(TEXT(N$3,"ddd")="CN","CN",VLOOKUP($A7&amp;N$3,Data_Cong!$R:$AI,10,0))),"")</f>
        <v>x</v>
      </c>
      <c r="O7" s="49" t="str">
        <f>IFERROR(IF(O$3="","",IF(TEXT(O$3,"ddd")="CN","CN",VLOOKUP($A7&amp;O$3,Data_Cong!$R:$AI,10,0))),"")</f>
        <v>P</v>
      </c>
      <c r="P7" s="49" t="str">
        <f>IFERROR(IF(P$3="","",IF(TEXT(P$3,"ddd")="CN","CN",VLOOKUP($A7&amp;P$3,Data_Cong!$R:$AI,10,0))),"")</f>
        <v>x</v>
      </c>
      <c r="Q7" s="49" t="str">
        <f>IFERROR(IF(Q$3="","",IF(TEXT(Q$3,"ddd")="CN","CN",VLOOKUP($A7&amp;Q$3,Data_Cong!$R:$AI,10,0))),"")</f>
        <v>CN</v>
      </c>
      <c r="R7" s="49" t="str">
        <f>IFERROR(IF(R$3="","",IF(TEXT(R$3,"ddd")="CN","CN",VLOOKUP($A7&amp;R$3,Data_Cong!$R:$AI,10,0))),"")</f>
        <v>x</v>
      </c>
      <c r="S7" s="49" t="str">
        <f>IFERROR(IF(S$3="","",IF(TEXT(S$3,"ddd")="CN","CN",VLOOKUP($A7&amp;S$3,Data_Cong!$R:$AI,10,0))),"")</f>
        <v>x</v>
      </c>
      <c r="T7" s="49" t="str">
        <f>IFERROR(IF(T$3="","",IF(TEXT(T$3,"ddd")="CN","CN",VLOOKUP($A7&amp;T$3,Data_Cong!$R:$AI,10,0))),"")</f>
        <v>x</v>
      </c>
      <c r="U7" s="49" t="str">
        <f>IFERROR(IF(U$3="","",IF(TEXT(U$3,"ddd")="CN","CN",VLOOKUP($A7&amp;U$3,Data_Cong!$R:$AI,10,0))),"")</f>
        <v>x</v>
      </c>
      <c r="V7" s="49" t="str">
        <f>IFERROR(IF(V$3="","",IF(TEXT(V$3,"ddd")="CN","CN",VLOOKUP($A7&amp;V$3,Data_Cong!$R:$AI,10,0))),"")</f>
        <v>1/2</v>
      </c>
      <c r="W7" s="49" t="str">
        <f>IFERROR(IF(W$3="","",IF(TEXT(W$3,"ddd")="CN","CN",VLOOKUP($A7&amp;W$3,Data_Cong!$R:$AI,10,0))),"")</f>
        <v>x</v>
      </c>
      <c r="X7" s="49" t="str">
        <f>IFERROR(IF(X$3="","",IF(TEXT(X$3,"ddd")="CN","CN",VLOOKUP($A7&amp;X$3,Data_Cong!$R:$AI,10,0))),"")</f>
        <v>CN</v>
      </c>
      <c r="Y7" s="49" t="str">
        <f>IFERROR(IF(Y$3="","",IF(TEXT(Y$3,"ddd")="CN","CN",VLOOKUP($A7&amp;Y$3,Data_Cong!$R:$AI,10,0))),"")</f>
        <v>x</v>
      </c>
      <c r="Z7" s="49" t="str">
        <f>IFERROR(IF(Z$3="","",IF(TEXT(Z$3,"ddd")="CN","CN",VLOOKUP($A7&amp;Z$3,Data_Cong!$R:$AI,10,0))),"")</f>
        <v>x</v>
      </c>
      <c r="AA7" s="49" t="str">
        <f>IFERROR(IF(AA$3="","",IF(TEXT(AA$3,"ddd")="CN","CN",VLOOKUP($A7&amp;AA$3,Data_Cong!$R:$AI,10,0))),"")</f>
        <v>x</v>
      </c>
      <c r="AB7" s="49" t="str">
        <f>IFERROR(IF(AB$3="","",IF(TEXT(AB$3,"ddd")="CN","CN",VLOOKUP($A7&amp;AB$3,Data_Cong!$R:$AI,10,0))),"")</f>
        <v>x</v>
      </c>
      <c r="AC7" s="49" t="str">
        <f>IFERROR(IF(AC$3="","",IF(TEXT(AC$3,"ddd")="CN","CN",VLOOKUP($A7&amp;AC$3,Data_Cong!$R:$AI,10,0))),"")</f>
        <v>P</v>
      </c>
      <c r="AD7" s="49" t="str">
        <f>IFERROR(IF(AD$3="","",IF(TEXT(AD$3,"ddd")="CN","CN",VLOOKUP($A7&amp;AD$3,Data_Cong!$R:$AI,10,0))),"")</f>
        <v>x</v>
      </c>
      <c r="AE7" s="49" t="str">
        <f>IFERROR(IF(AE$3="","",IF(TEXT(AE$3,"ddd")="CN","CN",VLOOKUP($A7&amp;AE$3,Data_Cong!$R:$AI,10,0))),"")</f>
        <v>CN</v>
      </c>
      <c r="AF7" s="49" t="str">
        <f>IFERROR(IF(AF$3="","",IF(TEXT(AF$3,"ddd")="CN","CN",VLOOKUP($A7&amp;AF$3,Data_Cong!$R:$AI,10,0))),"")</f>
        <v>x</v>
      </c>
      <c r="AG7" s="49" t="str">
        <f>IFERROR(IF(AG$3="","",IF(TEXT(AG$3,"ddd")="CN","CN",VLOOKUP($A7&amp;AG$3,Data_Cong!$R:$AI,10,0))),"")</f>
        <v>x</v>
      </c>
      <c r="AH7" s="49" t="str">
        <f>IFERROR(IF(AH$3="","",IF(TEXT(AH$3,"ddd")="CN","CN",VLOOKUP($A7&amp;AH$3,Data_Cong!$R:$AI,10,0))),"")</f>
        <v/>
      </c>
      <c r="AI7" s="50" cm="1">
        <f t="array" ref="AI7">SUMPRODUCT((D7:AH7="x")*1+(D7:AH7="P")*1+(D7:AH7="1/2P")*1+(D7:AH7="1/2")*0.5+(D7:AH7="2x")*2+(D7:AH7="L")*1)</f>
        <v>25.5</v>
      </c>
      <c r="AJ7" s="51">
        <f>SUMIF(Data_Cong!A:A,$A7,Data_Cong!AE:AE)</f>
        <v>0</v>
      </c>
      <c r="AK7" s="52">
        <f>COUNTIFS(Data_Cong!AB:AB,"&gt;6",Data_Cong!A:A,A7)</f>
        <v>3</v>
      </c>
      <c r="AL7" s="53" t="str">
        <f>IF(MONTH(VLOOKUP(A7,Data_NV!$A:$J,10,0))=BANG_CHAM_CONG!$R$2,"T"&amp;BANG_CHAM_CONG!$R$2,"")</f>
        <v/>
      </c>
      <c r="AM7" s="96">
        <v>6</v>
      </c>
      <c r="AN7" s="93" cm="1">
        <f t="array" ref="AN7">IF((AM7+1)&gt;12,12,(AM7+1))-SUMPRODUCT((D7:AH7="P")*1+(D7:AH7="1/2P")*0.5)</f>
        <v>5</v>
      </c>
      <c r="AO7" s="50"/>
      <c r="AP7" s="54">
        <f>SUMIFS(Data_Cong!AF:AF,Data_Cong!A:A,$A7)+SUMIFS(Data_Cong!AG:AG,Data_Cong!A:A,$A7)</f>
        <v>110000</v>
      </c>
    </row>
    <row r="8" spans="1:42" ht="15.75" x14ac:dyDescent="0.25">
      <c r="A8" s="28" t="s">
        <v>330</v>
      </c>
      <c r="B8" s="47">
        <v>3</v>
      </c>
      <c r="C8" s="48" t="s">
        <v>1246</v>
      </c>
      <c r="D8" s="49" t="str">
        <f>IFERROR(IF(D$3="","",IF(TEXT(D$3,"ddd")="CN","CN",VLOOKUP($A8&amp;D$3,Data_Cong!$R:$AI,10,0))),"")</f>
        <v>L</v>
      </c>
      <c r="E8" s="49" t="str">
        <f>IFERROR(IF(E$3="","",IF(TEXT(E$3,"ddd")="CN","CN",VLOOKUP($A8&amp;E$3,Data_Cong!$R:$AI,10,0))),"")</f>
        <v>L</v>
      </c>
      <c r="F8" s="49" t="str">
        <f>IFERROR(IF(F$3="","",IF(TEXT(F$3,"ddd")="CN","CN",VLOOKUP($A8&amp;F$3,Data_Cong!$R:$AI,10,0))),"")</f>
        <v>x</v>
      </c>
      <c r="G8" s="49" t="str">
        <f>IFERROR(IF(G$3="","",IF(TEXT(G$3,"ddd")="CN","CN",VLOOKUP($A8&amp;G$3,Data_Cong!$R:$AI,10,0))),"")</f>
        <v>x</v>
      </c>
      <c r="H8" s="49" t="str">
        <f>IFERROR(IF(H$3="","",IF(TEXT(H$3,"ddd")="CN","CN",VLOOKUP($A8&amp;H$3,Data_Cong!$R:$AI,10,0))),"")</f>
        <v>x</v>
      </c>
      <c r="I8" s="49" t="str">
        <f>IFERROR(IF(I$3="","",IF(TEXT(I$3,"ddd")="CN","CN",VLOOKUP($A8&amp;I$3,Data_Cong!$R:$AI,10,0))),"")</f>
        <v>p</v>
      </c>
      <c r="J8" s="49" t="str">
        <f>IFERROR(IF(J$3="","",IF(TEXT(J$3,"ddd")="CN","CN",VLOOKUP($A8&amp;J$3,Data_Cong!$R:$AI,10,0))),"")</f>
        <v>CN</v>
      </c>
      <c r="K8" s="49" t="str">
        <f>IFERROR(IF(K$3="","",IF(TEXT(K$3,"ddd")="CN","CN",VLOOKUP($A8&amp;K$3,Data_Cong!$R:$AI,10,0))),"")</f>
        <v>x</v>
      </c>
      <c r="L8" s="49" t="str">
        <f>IFERROR(IF(L$3="","",IF(TEXT(L$3,"ddd")="CN","CN",VLOOKUP($A8&amp;L$3,Data_Cong!$R:$AI,10,0))),"")</f>
        <v>x</v>
      </c>
      <c r="M8" s="49" t="str">
        <f>IFERROR(IF(M$3="","",IF(TEXT(M$3,"ddd")="CN","CN",VLOOKUP($A8&amp;M$3,Data_Cong!$R:$AI,10,0))),"")</f>
        <v>x</v>
      </c>
      <c r="N8" s="49" t="str">
        <f>IFERROR(IF(N$3="","",IF(TEXT(N$3,"ddd")="CN","CN",VLOOKUP($A8&amp;N$3,Data_Cong!$R:$AI,10,0))),"")</f>
        <v>x</v>
      </c>
      <c r="O8" s="49" t="str">
        <f>IFERROR(IF(O$3="","",IF(TEXT(O$3,"ddd")="CN","CN",VLOOKUP($A8&amp;O$3,Data_Cong!$R:$AI,10,0))),"")</f>
        <v>x</v>
      </c>
      <c r="P8" s="49" t="str">
        <f>IFERROR(IF(P$3="","",IF(TEXT(P$3,"ddd")="CN","CN",VLOOKUP($A8&amp;P$3,Data_Cong!$R:$AI,10,0))),"")</f>
        <v>x</v>
      </c>
      <c r="Q8" s="49" t="str">
        <f>IFERROR(IF(Q$3="","",IF(TEXT(Q$3,"ddd")="CN","CN",VLOOKUP($A8&amp;Q$3,Data_Cong!$R:$AI,10,0))),"")</f>
        <v>CN</v>
      </c>
      <c r="R8" s="49" t="str">
        <f>IFERROR(IF(R$3="","",IF(TEXT(R$3,"ddd")="CN","CN",VLOOKUP($A8&amp;R$3,Data_Cong!$R:$AI,10,0))),"")</f>
        <v>x</v>
      </c>
      <c r="S8" s="49" t="str">
        <f>IFERROR(IF(S$3="","",IF(TEXT(S$3,"ddd")="CN","CN",VLOOKUP($A8&amp;S$3,Data_Cong!$R:$AI,10,0))),"")</f>
        <v>x</v>
      </c>
      <c r="T8" s="49" t="str">
        <f>IFERROR(IF(T$3="","",IF(TEXT(T$3,"ddd")="CN","CN",VLOOKUP($A8&amp;T$3,Data_Cong!$R:$AI,10,0))),"")</f>
        <v>x</v>
      </c>
      <c r="U8" s="49" t="str">
        <f>IFERROR(IF(U$3="","",IF(TEXT(U$3,"ddd")="CN","CN",VLOOKUP($A8&amp;U$3,Data_Cong!$R:$AI,10,0))),"")</f>
        <v>x</v>
      </c>
      <c r="V8" s="49" t="str">
        <f>IFERROR(IF(V$3="","",IF(TEXT(V$3,"ddd")="CN","CN",VLOOKUP($A8&amp;V$3,Data_Cong!$R:$AI,10,0))),"")</f>
        <v>x</v>
      </c>
      <c r="W8" s="49" t="str">
        <f>IFERROR(IF(W$3="","",IF(TEXT(W$3,"ddd")="CN","CN",VLOOKUP($A8&amp;W$3,Data_Cong!$R:$AI,10,0))),"")</f>
        <v>x</v>
      </c>
      <c r="X8" s="49" t="str">
        <f>IFERROR(IF(X$3="","",IF(TEXT(X$3,"ddd")="CN","CN",VLOOKUP($A8&amp;X$3,Data_Cong!$R:$AI,10,0))),"")</f>
        <v>CN</v>
      </c>
      <c r="Y8" s="49" t="str">
        <f>IFERROR(IF(Y$3="","",IF(TEXT(Y$3,"ddd")="CN","CN",VLOOKUP($A8&amp;Y$3,Data_Cong!$R:$AI,10,0))),"")</f>
        <v>p</v>
      </c>
      <c r="Z8" s="49" t="str">
        <f>IFERROR(IF(Z$3="","",IF(TEXT(Z$3,"ddd")="CN","CN",VLOOKUP($A8&amp;Z$3,Data_Cong!$R:$AI,10,0))),"")</f>
        <v>x</v>
      </c>
      <c r="AA8" s="49" t="str">
        <f>IFERROR(IF(AA$3="","",IF(TEXT(AA$3,"ddd")="CN","CN",VLOOKUP($A8&amp;AA$3,Data_Cong!$R:$AI,10,0))),"")</f>
        <v>x</v>
      </c>
      <c r="AB8" s="49" t="str">
        <f>IFERROR(IF(AB$3="","",IF(TEXT(AB$3,"ddd")="CN","CN",VLOOKUP($A8&amp;AB$3,Data_Cong!$R:$AI,10,0))),"")</f>
        <v>x</v>
      </c>
      <c r="AC8" s="49" t="str">
        <f>IFERROR(IF(AC$3="","",IF(TEXT(AC$3,"ddd")="CN","CN",VLOOKUP($A8&amp;AC$3,Data_Cong!$R:$AI,10,0))),"")</f>
        <v>x</v>
      </c>
      <c r="AD8" s="49" t="str">
        <f>IFERROR(IF(AD$3="","",IF(TEXT(AD$3,"ddd")="CN","CN",VLOOKUP($A8&amp;AD$3,Data_Cong!$R:$AI,10,0))),"")</f>
        <v>x</v>
      </c>
      <c r="AE8" s="49" t="str">
        <f>IFERROR(IF(AE$3="","",IF(TEXT(AE$3,"ddd")="CN","CN",VLOOKUP($A8&amp;AE$3,Data_Cong!$R:$AI,10,0))),"")</f>
        <v>CN</v>
      </c>
      <c r="AF8" s="49" t="str">
        <f>IFERROR(IF(AF$3="","",IF(TEXT(AF$3,"ddd")="CN","CN",VLOOKUP($A8&amp;AF$3,Data_Cong!$R:$AI,10,0))),"")</f>
        <v>x</v>
      </c>
      <c r="AG8" s="49" t="str">
        <f>IFERROR(IF(AG$3="","",IF(TEXT(AG$3,"ddd")="CN","CN",VLOOKUP($A8&amp;AG$3,Data_Cong!$R:$AI,10,0))),"")</f>
        <v>x</v>
      </c>
      <c r="AH8" s="49" t="str">
        <f>IFERROR(IF(AH$3="","",IF(TEXT(AH$3,"ddd")="CN","CN",VLOOKUP($A8&amp;AH$3,Data_Cong!$R:$AI,10,0))),"")</f>
        <v/>
      </c>
      <c r="AI8" s="50" cm="1">
        <f t="array" ref="AI8">SUMPRODUCT((D8:AH8="x")*1+(D8:AH8="P")*1+(D8:AH8="1/2P")*1+(D8:AH8="1/2")*0.5+(D8:AH8="2x")*2+(D8:AH8="L")*1)</f>
        <v>26</v>
      </c>
      <c r="AJ8" s="51">
        <f>SUMIF(Data_Cong!A:A,$A8,Data_Cong!AE:AE)</f>
        <v>0</v>
      </c>
      <c r="AK8" s="52">
        <f>COUNTIFS(Data_Cong!AB:AB,"&gt;6",Data_Cong!A:A,A8)</f>
        <v>2</v>
      </c>
      <c r="AL8" s="53" t="str">
        <f>IF(MONTH(VLOOKUP(A8,Data_NV!$A:$J,10,0))=BANG_CHAM_CONG!$R$2,"T"&amp;BANG_CHAM_CONG!$R$2,"")</f>
        <v/>
      </c>
      <c r="AM8" s="96">
        <v>6</v>
      </c>
      <c r="AN8" s="93" cm="1">
        <f t="array" ref="AN8">IF((AM8+1)&gt;12,12,(AM8+1))-SUMPRODUCT((D8:AH8="P")*1+(D8:AH8="1/2P")*0.5)</f>
        <v>5</v>
      </c>
      <c r="AO8" s="50">
        <v>2</v>
      </c>
      <c r="AP8" s="54">
        <f>SUMIFS(Data_Cong!AF:AF,Data_Cong!A:A,$A8)+SUMIFS(Data_Cong!AG:AG,Data_Cong!A:A,$A8)</f>
        <v>80000</v>
      </c>
    </row>
    <row r="9" spans="1:42" ht="15.75" x14ac:dyDescent="0.25">
      <c r="A9" s="28" t="s">
        <v>231</v>
      </c>
      <c r="B9" s="47">
        <v>4</v>
      </c>
      <c r="C9" s="48" t="s">
        <v>1247</v>
      </c>
      <c r="D9" s="49" t="str">
        <f>IFERROR(IF(D$3="","",IF(TEXT(D$3,"ddd")="CN","CN",VLOOKUP($A9&amp;D$3,Data_Cong!$R:$AI,10,0))),"")</f>
        <v>L</v>
      </c>
      <c r="E9" s="49" t="str">
        <f>IFERROR(IF(E$3="","",IF(TEXT(E$3,"ddd")="CN","CN",VLOOKUP($A9&amp;E$3,Data_Cong!$R:$AI,10,0))),"")</f>
        <v>L</v>
      </c>
      <c r="F9" s="49" t="str">
        <f>IFERROR(IF(F$3="","",IF(TEXT(F$3,"ddd")="CN","CN",VLOOKUP($A9&amp;F$3,Data_Cong!$R:$AI,10,0))),"")</f>
        <v>x</v>
      </c>
      <c r="G9" s="49" t="str">
        <f>IFERROR(IF(G$3="","",IF(TEXT(G$3,"ddd")="CN","CN",VLOOKUP($A9&amp;G$3,Data_Cong!$R:$AI,10,0))),"")</f>
        <v>x</v>
      </c>
      <c r="H9" s="49" t="str">
        <f>IFERROR(IF(H$3="","",IF(TEXT(H$3,"ddd")="CN","CN",VLOOKUP($A9&amp;H$3,Data_Cong!$R:$AI,10,0))),"")</f>
        <v>x</v>
      </c>
      <c r="I9" s="49" t="str">
        <f>IFERROR(IF(I$3="","",IF(TEXT(I$3,"ddd")="CN","CN",VLOOKUP($A9&amp;I$3,Data_Cong!$R:$AI,10,0))),"")</f>
        <v>x</v>
      </c>
      <c r="J9" s="49" t="str">
        <f>IFERROR(IF(J$3="","",IF(TEXT(J$3,"ddd")="CN","CN",VLOOKUP($A9&amp;J$3,Data_Cong!$R:$AI,10,0))),"")</f>
        <v>CN</v>
      </c>
      <c r="K9" s="49" t="str">
        <f>IFERROR(IF(K$3="","",IF(TEXT(K$3,"ddd")="CN","CN",VLOOKUP($A9&amp;K$3,Data_Cong!$R:$AI,10,0))),"")</f>
        <v>P</v>
      </c>
      <c r="L9" s="49" t="str">
        <f>IFERROR(IF(L$3="","",IF(TEXT(L$3,"ddd")="CN","CN",VLOOKUP($A9&amp;L$3,Data_Cong!$R:$AI,10,0))),"")</f>
        <v>x</v>
      </c>
      <c r="M9" s="49" t="str">
        <f>IFERROR(IF(M$3="","",IF(TEXT(M$3,"ddd")="CN","CN",VLOOKUP($A9&amp;M$3,Data_Cong!$R:$AI,10,0))),"")</f>
        <v>x</v>
      </c>
      <c r="N9" s="49" t="str">
        <f>IFERROR(IF(N$3="","",IF(TEXT(N$3,"ddd")="CN","CN",VLOOKUP($A9&amp;N$3,Data_Cong!$R:$AI,10,0))),"")</f>
        <v>x</v>
      </c>
      <c r="O9" s="49" t="str">
        <f>IFERROR(IF(O$3="","",IF(TEXT(O$3,"ddd")="CN","CN",VLOOKUP($A9&amp;O$3,Data_Cong!$R:$AI,10,0))),"")</f>
        <v>x</v>
      </c>
      <c r="P9" s="49" t="str">
        <f>IFERROR(IF(P$3="","",IF(TEXT(P$3,"ddd")="CN","CN",VLOOKUP($A9&amp;P$3,Data_Cong!$R:$AI,10,0))),"")</f>
        <v>1/2P</v>
      </c>
      <c r="Q9" s="49" t="str">
        <f>IFERROR(IF(Q$3="","",IF(TEXT(Q$3,"ddd")="CN","CN",VLOOKUP($A9&amp;Q$3,Data_Cong!$R:$AI,10,0))),"")</f>
        <v>CN</v>
      </c>
      <c r="R9" s="49" t="str">
        <f>IFERROR(IF(R$3="","",IF(TEXT(R$3,"ddd")="CN","CN",VLOOKUP($A9&amp;R$3,Data_Cong!$R:$AI,10,0))),"")</f>
        <v>P</v>
      </c>
      <c r="S9" s="49" t="str">
        <f>IFERROR(IF(S$3="","",IF(TEXT(S$3,"ddd")="CN","CN",VLOOKUP($A9&amp;S$3,Data_Cong!$R:$AI,10,0))),"")</f>
        <v>x</v>
      </c>
      <c r="T9" s="49" t="str">
        <f>IFERROR(IF(T$3="","",IF(TEXT(T$3,"ddd")="CN","CN",VLOOKUP($A9&amp;T$3,Data_Cong!$R:$AI,10,0))),"")</f>
        <v>x</v>
      </c>
      <c r="U9" s="49" t="str">
        <f>IFERROR(IF(U$3="","",IF(TEXT(U$3,"ddd")="CN","CN",VLOOKUP($A9&amp;U$3,Data_Cong!$R:$AI,10,0))),"")</f>
        <v>x</v>
      </c>
      <c r="V9" s="49" t="str">
        <f>IFERROR(IF(V$3="","",IF(TEXT(V$3,"ddd")="CN","CN",VLOOKUP($A9&amp;V$3,Data_Cong!$R:$AI,10,0))),"")</f>
        <v>x</v>
      </c>
      <c r="W9" s="49" t="str">
        <f>IFERROR(IF(W$3="","",IF(TEXT(W$3,"ddd")="CN","CN",VLOOKUP($A9&amp;W$3,Data_Cong!$R:$AI,10,0))),"")</f>
        <v>x</v>
      </c>
      <c r="X9" s="49" t="str">
        <f>IFERROR(IF(X$3="","",IF(TEXT(X$3,"ddd")="CN","CN",VLOOKUP($A9&amp;X$3,Data_Cong!$R:$AI,10,0))),"")</f>
        <v>CN</v>
      </c>
      <c r="Y9" s="49" t="str">
        <f>IFERROR(IF(Y$3="","",IF(TEXT(Y$3,"ddd")="CN","CN",VLOOKUP($A9&amp;Y$3,Data_Cong!$R:$AI,10,0))),"")</f>
        <v>x</v>
      </c>
      <c r="Z9" s="49" t="str">
        <f>IFERROR(IF(Z$3="","",IF(TEXT(Z$3,"ddd")="CN","CN",VLOOKUP($A9&amp;Z$3,Data_Cong!$R:$AI,10,0))),"")</f>
        <v>x</v>
      </c>
      <c r="AA9" s="49" t="str">
        <f>IFERROR(IF(AA$3="","",IF(TEXT(AA$3,"ddd")="CN","CN",VLOOKUP($A9&amp;AA$3,Data_Cong!$R:$AI,10,0))),"")</f>
        <v>x</v>
      </c>
      <c r="AB9" s="49" t="str">
        <f>IFERROR(IF(AB$3="","",IF(TEXT(AB$3,"ddd")="CN","CN",VLOOKUP($A9&amp;AB$3,Data_Cong!$R:$AI,10,0))),"")</f>
        <v>x</v>
      </c>
      <c r="AC9" s="49" t="str">
        <f>IFERROR(IF(AC$3="","",IF(TEXT(AC$3,"ddd")="CN","CN",VLOOKUP($A9&amp;AC$3,Data_Cong!$R:$AI,10,0))),"")</f>
        <v>x</v>
      </c>
      <c r="AD9" s="49" t="str">
        <f>IFERROR(IF(AD$3="","",IF(TEXT(AD$3,"ddd")="CN","CN",VLOOKUP($A9&amp;AD$3,Data_Cong!$R:$AI,10,0))),"")</f>
        <v>x</v>
      </c>
      <c r="AE9" s="49" t="str">
        <f>IFERROR(IF(AE$3="","",IF(TEXT(AE$3,"ddd")="CN","CN",VLOOKUP($A9&amp;AE$3,Data_Cong!$R:$AI,10,0))),"")</f>
        <v>CN</v>
      </c>
      <c r="AF9" s="49" t="str">
        <f>IFERROR(IF(AF$3="","",IF(TEXT(AF$3,"ddd")="CN","CN",VLOOKUP($A9&amp;AF$3,Data_Cong!$R:$AI,10,0))),"")</f>
        <v>x</v>
      </c>
      <c r="AG9" s="49" t="str">
        <f>IFERROR(IF(AG$3="","",IF(TEXT(AG$3,"ddd")="CN","CN",VLOOKUP($A9&amp;AG$3,Data_Cong!$R:$AI,10,0))),"")</f>
        <v>x</v>
      </c>
      <c r="AH9" s="49" t="str">
        <f>IFERROR(IF(AH$3="","",IF(TEXT(AH$3,"ddd")="CN","CN",VLOOKUP($A9&amp;AH$3,Data_Cong!$R:$AI,10,0))),"")</f>
        <v/>
      </c>
      <c r="AI9" s="50" cm="1">
        <f t="array" ref="AI9">SUMPRODUCT((D9:AH9="x")*1+(D9:AH9="P")*1+(D9:AH9="1/2P")*1+(D9:AH9="1/2")*0.5+(D9:AH9="2x")*2+(D9:AH9="L")*1)</f>
        <v>26</v>
      </c>
      <c r="AJ9" s="51">
        <f>SUMIF(Data_Cong!A:A,$A9,Data_Cong!AE:AE)</f>
        <v>0</v>
      </c>
      <c r="AK9" s="52">
        <f>COUNTIFS(Data_Cong!AB:AB,"&gt;6",Data_Cong!A:A,A9)</f>
        <v>2</v>
      </c>
      <c r="AL9" s="53" t="str">
        <f>IF(MONTH(VLOOKUP(A9,Data_NV!$A:$J,10,0))=BANG_CHAM_CONG!$R$2,"T"&amp;BANG_CHAM_CONG!$R$2,"")</f>
        <v>T9</v>
      </c>
      <c r="AM9" s="96">
        <v>3</v>
      </c>
      <c r="AN9" s="93" cm="1">
        <f t="array" ref="AN9">IF((AM9+1)&gt;12,12,(AM9+1))-SUMPRODUCT((D9:AH9="P")*1+(D9:AH9="1/2P")*0.5)</f>
        <v>1.5</v>
      </c>
      <c r="AO9" s="50"/>
      <c r="AP9" s="54">
        <f>SUMIFS(Data_Cong!AF:AF,Data_Cong!A:A,$A9)+SUMIFS(Data_Cong!AG:AG,Data_Cong!A:A,$A9)</f>
        <v>60000</v>
      </c>
    </row>
    <row r="10" spans="1:42" ht="15.75" x14ac:dyDescent="0.25">
      <c r="A10" s="28" t="s">
        <v>750</v>
      </c>
      <c r="B10" s="47">
        <v>5</v>
      </c>
      <c r="C10" s="48" t="s">
        <v>1248</v>
      </c>
      <c r="D10" s="49" t="str">
        <f>IFERROR(IF(D$3="","",IF(TEXT(D$3,"ddd")="CN","CN",VLOOKUP($A10&amp;D$3,Data_Cong!$R:$AI,10,0))),"")</f>
        <v>L</v>
      </c>
      <c r="E10" s="49" t="str">
        <f>IFERROR(IF(E$3="","",IF(TEXT(E$3,"ddd")="CN","CN",VLOOKUP($A10&amp;E$3,Data_Cong!$R:$AI,10,0))),"")</f>
        <v>L</v>
      </c>
      <c r="F10" s="49" t="str">
        <f>IFERROR(IF(F$3="","",IF(TEXT(F$3,"ddd")="CN","CN",VLOOKUP($A10&amp;F$3,Data_Cong!$R:$AI,10,0))),"")</f>
        <v>x</v>
      </c>
      <c r="G10" s="49" t="str">
        <f>IFERROR(IF(G$3="","",IF(TEXT(G$3,"ddd")="CN","CN",VLOOKUP($A10&amp;G$3,Data_Cong!$R:$AI,10,0))),"")</f>
        <v>x</v>
      </c>
      <c r="H10" s="49" t="str">
        <f>IFERROR(IF(H$3="","",IF(TEXT(H$3,"ddd")="CN","CN",VLOOKUP($A10&amp;H$3,Data_Cong!$R:$AI,10,0))),"")</f>
        <v>x</v>
      </c>
      <c r="I10" s="49" t="str">
        <f>IFERROR(IF(I$3="","",IF(TEXT(I$3,"ddd")="CN","CN",VLOOKUP($A10&amp;I$3,Data_Cong!$R:$AI,10,0))),"")</f>
        <v>x</v>
      </c>
      <c r="J10" s="49" t="str">
        <f>IFERROR(IF(J$3="","",IF(TEXT(J$3,"ddd")="CN","CN",VLOOKUP($A10&amp;J$3,Data_Cong!$R:$AI,10,0))),"")</f>
        <v>CN</v>
      </c>
      <c r="K10" s="49" t="str">
        <f>IFERROR(IF(K$3="","",IF(TEXT(K$3,"ddd")="CN","CN",VLOOKUP($A10&amp;K$3,Data_Cong!$R:$AI,10,0))),"")</f>
        <v>x</v>
      </c>
      <c r="L10" s="49" t="str">
        <f>IFERROR(IF(L$3="","",IF(TEXT(L$3,"ddd")="CN","CN",VLOOKUP($A10&amp;L$3,Data_Cong!$R:$AI,10,0))),"")</f>
        <v>x</v>
      </c>
      <c r="M10" s="49" t="str">
        <f>IFERROR(IF(M$3="","",IF(TEXT(M$3,"ddd")="CN","CN",VLOOKUP($A10&amp;M$3,Data_Cong!$R:$AI,10,0))),"")</f>
        <v>x</v>
      </c>
      <c r="N10" s="49" t="str">
        <f>IFERROR(IF(N$3="","",IF(TEXT(N$3,"ddd")="CN","CN",VLOOKUP($A10&amp;N$3,Data_Cong!$R:$AI,10,0))),"")</f>
        <v>x</v>
      </c>
      <c r="O10" s="49" t="str">
        <f>IFERROR(IF(O$3="","",IF(TEXT(O$3,"ddd")="CN","CN",VLOOKUP($A10&amp;O$3,Data_Cong!$R:$AI,10,0))),"")</f>
        <v>x</v>
      </c>
      <c r="P10" s="49" t="str">
        <f>IFERROR(IF(P$3="","",IF(TEXT(P$3,"ddd")="CN","CN",VLOOKUP($A10&amp;P$3,Data_Cong!$R:$AI,10,0))),"")</f>
        <v>x</v>
      </c>
      <c r="Q10" s="49" t="str">
        <f>IFERROR(IF(Q$3="","",IF(TEXT(Q$3,"ddd")="CN","CN",VLOOKUP($A10&amp;Q$3,Data_Cong!$R:$AI,10,0))),"")</f>
        <v>CN</v>
      </c>
      <c r="R10" s="49" t="str">
        <f>IFERROR(IF(R$3="","",IF(TEXT(R$3,"ddd")="CN","CN",VLOOKUP($A10&amp;R$3,Data_Cong!$R:$AI,10,0))),"")</f>
        <v>x</v>
      </c>
      <c r="S10" s="49" t="str">
        <f>IFERROR(IF(S$3="","",IF(TEXT(S$3,"ddd")="CN","CN",VLOOKUP($A10&amp;S$3,Data_Cong!$R:$AI,10,0))),"")</f>
        <v>x</v>
      </c>
      <c r="T10" s="49" t="str">
        <f>IFERROR(IF(T$3="","",IF(TEXT(T$3,"ddd")="CN","CN",VLOOKUP($A10&amp;T$3,Data_Cong!$R:$AI,10,0))),"")</f>
        <v>x</v>
      </c>
      <c r="U10" s="49" t="str">
        <f>IFERROR(IF(U$3="","",IF(TEXT(U$3,"ddd")="CN","CN",VLOOKUP($A10&amp;U$3,Data_Cong!$R:$AI,10,0))),"")</f>
        <v>x</v>
      </c>
      <c r="V10" s="49" t="str">
        <f>IFERROR(IF(V$3="","",IF(TEXT(V$3,"ddd")="CN","CN",VLOOKUP($A10&amp;V$3,Data_Cong!$R:$AI,10,0))),"")</f>
        <v>x</v>
      </c>
      <c r="W10" s="49" t="str">
        <f>IFERROR(IF(W$3="","",IF(TEXT(W$3,"ddd")="CN","CN",VLOOKUP($A10&amp;W$3,Data_Cong!$R:$AI,10,0))),"")</f>
        <v>X</v>
      </c>
      <c r="X10" s="49" t="str">
        <f>IFERROR(IF(X$3="","",IF(TEXT(X$3,"ddd")="CN","CN",VLOOKUP($A10&amp;X$3,Data_Cong!$R:$AI,10,0))),"")</f>
        <v>CN</v>
      </c>
      <c r="Y10" s="49" t="str">
        <f>IFERROR(IF(Y$3="","",IF(TEXT(Y$3,"ddd")="CN","CN",VLOOKUP($A10&amp;Y$3,Data_Cong!$R:$AI,10,0))),"")</f>
        <v>x</v>
      </c>
      <c r="Z10" s="49" t="str">
        <f>IFERROR(IF(Z$3="","",IF(TEXT(Z$3,"ddd")="CN","CN",VLOOKUP($A10&amp;Z$3,Data_Cong!$R:$AI,10,0))),"")</f>
        <v>x</v>
      </c>
      <c r="AA10" s="49" t="str">
        <f>IFERROR(IF(AA$3="","",IF(TEXT(AA$3,"ddd")="CN","CN",VLOOKUP($A10&amp;AA$3,Data_Cong!$R:$AI,10,0))),"")</f>
        <v>x</v>
      </c>
      <c r="AB10" s="49" t="str">
        <f>IFERROR(IF(AB$3="","",IF(TEXT(AB$3,"ddd")="CN","CN",VLOOKUP($A10&amp;AB$3,Data_Cong!$R:$AI,10,0))),"")</f>
        <v>x</v>
      </c>
      <c r="AC10" s="49" t="str">
        <f>IFERROR(IF(AC$3="","",IF(TEXT(AC$3,"ddd")="CN","CN",VLOOKUP($A10&amp;AC$3,Data_Cong!$R:$AI,10,0))),"")</f>
        <v>x</v>
      </c>
      <c r="AD10" s="49" t="str">
        <f>IFERROR(IF(AD$3="","",IF(TEXT(AD$3,"ddd")="CN","CN",VLOOKUP($A10&amp;AD$3,Data_Cong!$R:$AI,10,0))),"")</f>
        <v>X</v>
      </c>
      <c r="AE10" s="49" t="str">
        <f>IFERROR(IF(AE$3="","",IF(TEXT(AE$3,"ddd")="CN","CN",VLOOKUP($A10&amp;AE$3,Data_Cong!$R:$AI,10,0))),"")</f>
        <v>CN</v>
      </c>
      <c r="AF10" s="49" t="str">
        <f>IFERROR(IF(AF$3="","",IF(TEXT(AF$3,"ddd")="CN","CN",VLOOKUP($A10&amp;AF$3,Data_Cong!$R:$AI,10,0))),"")</f>
        <v>x</v>
      </c>
      <c r="AG10" s="49" t="str">
        <f>IFERROR(IF(AG$3="","",IF(TEXT(AG$3,"ddd")="CN","CN",VLOOKUP($A10&amp;AG$3,Data_Cong!$R:$AI,10,0))),"")</f>
        <v>x</v>
      </c>
      <c r="AH10" s="49" t="str">
        <f>IFERROR(IF(AH$3="","",IF(TEXT(AH$3,"ddd")="CN","CN",VLOOKUP($A10&amp;AH$3,Data_Cong!$R:$AI,10,0))),"")</f>
        <v/>
      </c>
      <c r="AI10" s="50" cm="1">
        <f t="array" ref="AI10">SUMPRODUCT((D10:AH10="x")*1+(D10:AH10="P")*1+(D10:AH10="1/2P")*1+(D10:AH10="1/2")*0.5+(D10:AH10="2x")*2+(D10:AH10="L")*1)</f>
        <v>26</v>
      </c>
      <c r="AJ10" s="51">
        <f>SUMIF(Data_Cong!A:A,$A10,Data_Cong!AE:AE)</f>
        <v>0</v>
      </c>
      <c r="AK10" s="52">
        <f>COUNTIFS(Data_Cong!AB:AB,"&gt;6",Data_Cong!A:A,A10)</f>
        <v>1</v>
      </c>
      <c r="AL10" s="53" t="str">
        <f>IF(MONTH(VLOOKUP(A10,Data_NV!$A:$J,10,0))=BANG_CHAM_CONG!$R$2,"T"&amp;BANG_CHAM_CONG!$R$2,"")</f>
        <v/>
      </c>
      <c r="AM10" s="96">
        <v>5</v>
      </c>
      <c r="AN10" s="93" cm="1">
        <f t="array" ref="AN10">IF((AM10+1)&gt;12,12,(AM10+1))-SUMPRODUCT((D10:AH10="P")*1+(D10:AH10="1/2P")*0.5)</f>
        <v>6</v>
      </c>
      <c r="AO10" s="50"/>
      <c r="AP10" s="54">
        <f>SUMIFS(Data_Cong!AF:AF,Data_Cong!A:A,$A10)+SUMIFS(Data_Cong!AG:AG,Data_Cong!A:A,$A10)</f>
        <v>30000</v>
      </c>
    </row>
    <row r="11" spans="1:42" ht="15.75" x14ac:dyDescent="0.25">
      <c r="A11" s="28" t="s">
        <v>805</v>
      </c>
      <c r="B11" s="47">
        <v>6</v>
      </c>
      <c r="C11" s="48" t="s">
        <v>1249</v>
      </c>
      <c r="D11" s="49" t="str">
        <f>IFERROR(IF(D$3="","",IF(TEXT(D$3,"ddd")="CN","CN",VLOOKUP($A11&amp;D$3,Data_Cong!$R:$AI,10,0))),"")</f>
        <v>L</v>
      </c>
      <c r="E11" s="49" t="str">
        <f>IFERROR(IF(E$3="","",IF(TEXT(E$3,"ddd")="CN","CN",VLOOKUP($A11&amp;E$3,Data_Cong!$R:$AI,10,0))),"")</f>
        <v>L</v>
      </c>
      <c r="F11" s="49" t="str">
        <f>IFERROR(IF(F$3="","",IF(TEXT(F$3,"ddd")="CN","CN",VLOOKUP($A11&amp;F$3,Data_Cong!$R:$AI,10,0))),"")</f>
        <v>x</v>
      </c>
      <c r="G11" s="49" t="str">
        <f>IFERROR(IF(G$3="","",IF(TEXT(G$3,"ddd")="CN","CN",VLOOKUP($A11&amp;G$3,Data_Cong!$R:$AI,10,0))),"")</f>
        <v>x</v>
      </c>
      <c r="H11" s="49" t="str">
        <f>IFERROR(IF(H$3="","",IF(TEXT(H$3,"ddd")="CN","CN",VLOOKUP($A11&amp;H$3,Data_Cong!$R:$AI,10,0))),"")</f>
        <v>x</v>
      </c>
      <c r="I11" s="49" t="str">
        <f>IFERROR(IF(I$3="","",IF(TEXT(I$3,"ddd")="CN","CN",VLOOKUP($A11&amp;I$3,Data_Cong!$R:$AI,10,0))),"")</f>
        <v>x</v>
      </c>
      <c r="J11" s="49" t="str">
        <f>IFERROR(IF(J$3="","",IF(TEXT(J$3,"ddd")="CN","CN",VLOOKUP($A11&amp;J$3,Data_Cong!$R:$AI,10,0))),"")</f>
        <v>CN</v>
      </c>
      <c r="K11" s="49" t="str">
        <f>IFERROR(IF(K$3="","",IF(TEXT(K$3,"ddd")="CN","CN",VLOOKUP($A11&amp;K$3,Data_Cong!$R:$AI,10,0))),"")</f>
        <v>x</v>
      </c>
      <c r="L11" s="49" t="str">
        <f>IFERROR(IF(L$3="","",IF(TEXT(L$3,"ddd")="CN","CN",VLOOKUP($A11&amp;L$3,Data_Cong!$R:$AI,10,0))),"")</f>
        <v>x</v>
      </c>
      <c r="M11" s="49" t="str">
        <f>IFERROR(IF(M$3="","",IF(TEXT(M$3,"ddd")="CN","CN",VLOOKUP($A11&amp;M$3,Data_Cong!$R:$AI,10,0))),"")</f>
        <v>x</v>
      </c>
      <c r="N11" s="49" t="str">
        <f>IFERROR(IF(N$3="","",IF(TEXT(N$3,"ddd")="CN","CN",VLOOKUP($A11&amp;N$3,Data_Cong!$R:$AI,10,0))),"")</f>
        <v>x</v>
      </c>
      <c r="O11" s="49" t="str">
        <f>IFERROR(IF(O$3="","",IF(TEXT(O$3,"ddd")="CN","CN",VLOOKUP($A11&amp;O$3,Data_Cong!$R:$AI,10,0))),"")</f>
        <v>x</v>
      </c>
      <c r="P11" s="49" t="str">
        <f>IFERROR(IF(P$3="","",IF(TEXT(P$3,"ddd")="CN","CN",VLOOKUP($A11&amp;P$3,Data_Cong!$R:$AI,10,0))),"")</f>
        <v>x</v>
      </c>
      <c r="Q11" s="49" t="str">
        <f>IFERROR(IF(Q$3="","",IF(TEXT(Q$3,"ddd")="CN","CN",VLOOKUP($A11&amp;Q$3,Data_Cong!$R:$AI,10,0))),"")</f>
        <v>CN</v>
      </c>
      <c r="R11" s="49" t="str">
        <f>IFERROR(IF(R$3="","",IF(TEXT(R$3,"ddd")="CN","CN",VLOOKUP($A11&amp;R$3,Data_Cong!$R:$AI,10,0))),"")</f>
        <v>x</v>
      </c>
      <c r="S11" s="49" t="str">
        <f>IFERROR(IF(S$3="","",IF(TEXT(S$3,"ddd")="CN","CN",VLOOKUP($A11&amp;S$3,Data_Cong!$R:$AI,10,0))),"")</f>
        <v>x</v>
      </c>
      <c r="T11" s="49" t="str">
        <f>IFERROR(IF(T$3="","",IF(TEXT(T$3,"ddd")="CN","CN",VLOOKUP($A11&amp;T$3,Data_Cong!$R:$AI,10,0))),"")</f>
        <v>1/2P</v>
      </c>
      <c r="U11" s="49" t="str">
        <f>IFERROR(IF(U$3="","",IF(TEXT(U$3,"ddd")="CN","CN",VLOOKUP($A11&amp;U$3,Data_Cong!$R:$AI,10,0))),"")</f>
        <v>P</v>
      </c>
      <c r="V11" s="49" t="str">
        <f>IFERROR(IF(V$3="","",IF(TEXT(V$3,"ddd")="CN","CN",VLOOKUP($A11&amp;V$3,Data_Cong!$R:$AI,10,0))),"")</f>
        <v>x</v>
      </c>
      <c r="W11" s="49" t="str">
        <f>IFERROR(IF(W$3="","",IF(TEXT(W$3,"ddd")="CN","CN",VLOOKUP($A11&amp;W$3,Data_Cong!$R:$AI,10,0))),"")</f>
        <v>x</v>
      </c>
      <c r="X11" s="49" t="str">
        <f>IFERROR(IF(X$3="","",IF(TEXT(X$3,"ddd")="CN","CN",VLOOKUP($A11&amp;X$3,Data_Cong!$R:$AI,10,0))),"")</f>
        <v>CN</v>
      </c>
      <c r="Y11" s="49" t="str">
        <f>IFERROR(IF(Y$3="","",IF(TEXT(Y$3,"ddd")="CN","CN",VLOOKUP($A11&amp;Y$3,Data_Cong!$R:$AI,10,0))),"")</f>
        <v>x</v>
      </c>
      <c r="Z11" s="49" t="str">
        <f>IFERROR(IF(Z$3="","",IF(TEXT(Z$3,"ddd")="CN","CN",VLOOKUP($A11&amp;Z$3,Data_Cong!$R:$AI,10,0))),"")</f>
        <v>x</v>
      </c>
      <c r="AA11" s="49" t="str">
        <f>IFERROR(IF(AA$3="","",IF(TEXT(AA$3,"ddd")="CN","CN",VLOOKUP($A11&amp;AA$3,Data_Cong!$R:$AI,10,0))),"")</f>
        <v>x</v>
      </c>
      <c r="AB11" s="49" t="str">
        <f>IFERROR(IF(AB$3="","",IF(TEXT(AB$3,"ddd")="CN","CN",VLOOKUP($A11&amp;AB$3,Data_Cong!$R:$AI,10,0))),"")</f>
        <v>x</v>
      </c>
      <c r="AC11" s="49" t="str">
        <f>IFERROR(IF(AC$3="","",IF(TEXT(AC$3,"ddd")="CN","CN",VLOOKUP($A11&amp;AC$3,Data_Cong!$R:$AI,10,0))),"")</f>
        <v>x</v>
      </c>
      <c r="AD11" s="49" t="str">
        <f>IFERROR(IF(AD$3="","",IF(TEXT(AD$3,"ddd")="CN","CN",VLOOKUP($A11&amp;AD$3,Data_Cong!$R:$AI,10,0))),"")</f>
        <v>X</v>
      </c>
      <c r="AE11" s="49" t="str">
        <f>IFERROR(IF(AE$3="","",IF(TEXT(AE$3,"ddd")="CN","CN",VLOOKUP($A11&amp;AE$3,Data_Cong!$R:$AI,10,0))),"")</f>
        <v>CN</v>
      </c>
      <c r="AF11" s="49" t="str">
        <f>IFERROR(IF(AF$3="","",IF(TEXT(AF$3,"ddd")="CN","CN",VLOOKUP($A11&amp;AF$3,Data_Cong!$R:$AI,10,0))),"")</f>
        <v>x</v>
      </c>
      <c r="AG11" s="49" t="str">
        <f>IFERROR(IF(AG$3="","",IF(TEXT(AG$3,"ddd")="CN","CN",VLOOKUP($A11&amp;AG$3,Data_Cong!$R:$AI,10,0))),"")</f>
        <v>x</v>
      </c>
      <c r="AH11" s="49" t="str">
        <f>IFERROR(IF(AH$3="","",IF(TEXT(AH$3,"ddd")="CN","CN",VLOOKUP($A11&amp;AH$3,Data_Cong!$R:$AI,10,0))),"")</f>
        <v/>
      </c>
      <c r="AI11" s="50" cm="1">
        <f t="array" ref="AI11">SUMPRODUCT((D11:AH11="x")*1+(D11:AH11="P")*1+(D11:AH11="1/2P")*1+(D11:AH11="1/2")*0.5+(D11:AH11="2x")*2+(D11:AH11="L")*1)</f>
        <v>26</v>
      </c>
      <c r="AJ11" s="51">
        <f>SUMIF(Data_Cong!A:A,$A11,Data_Cong!AE:AE)</f>
        <v>0</v>
      </c>
      <c r="AK11" s="52">
        <f>COUNTIFS(Data_Cong!AB:AB,"&gt;6",Data_Cong!A:A,A11)</f>
        <v>2</v>
      </c>
      <c r="AL11" s="53" t="str">
        <f>IF(MONTH(VLOOKUP(A11,Data_NV!$A:$J,10,0))=BANG_CHAM_CONG!$R$2,"T"&amp;BANG_CHAM_CONG!$R$2,"")</f>
        <v/>
      </c>
      <c r="AM11" s="96">
        <v>6</v>
      </c>
      <c r="AN11" s="93" cm="1">
        <f t="array" ref="AN11">IF((AM11+1)&gt;12,12,(AM11+1))-SUMPRODUCT((D11:AH11="P")*1+(D11:AH11="1/2P")*0.5)</f>
        <v>5.5</v>
      </c>
      <c r="AO11" s="50"/>
      <c r="AP11" s="54">
        <f>SUMIFS(Data_Cong!AF:AF,Data_Cong!A:A,$A11)+SUMIFS(Data_Cong!AG:AG,Data_Cong!A:A,$A11)</f>
        <v>60000</v>
      </c>
    </row>
    <row r="12" spans="1:42" ht="15.75" x14ac:dyDescent="0.25">
      <c r="A12" s="28" t="s">
        <v>915</v>
      </c>
      <c r="B12" s="47">
        <v>7</v>
      </c>
      <c r="C12" s="48" t="s">
        <v>1250</v>
      </c>
      <c r="D12" s="49" t="str">
        <f>IFERROR(IF(D$3="","",IF(TEXT(D$3,"ddd")="CN","CN",VLOOKUP($A12&amp;D$3,Data_Cong!$R:$AI,10,0))),"")</f>
        <v>L</v>
      </c>
      <c r="E12" s="49" t="str">
        <f>IFERROR(IF(E$3="","",IF(TEXT(E$3,"ddd")="CN","CN",VLOOKUP($A12&amp;E$3,Data_Cong!$R:$AI,10,0))),"")</f>
        <v>L</v>
      </c>
      <c r="F12" s="49" t="str">
        <f>IFERROR(IF(F$3="","",IF(TEXT(F$3,"ddd")="CN","CN",VLOOKUP($A12&amp;F$3,Data_Cong!$R:$AI,10,0))),"")</f>
        <v>x</v>
      </c>
      <c r="G12" s="49" t="str">
        <f>IFERROR(IF(G$3="","",IF(TEXT(G$3,"ddd")="CN","CN",VLOOKUP($A12&amp;G$3,Data_Cong!$R:$AI,10,0))),"")</f>
        <v>x</v>
      </c>
      <c r="H12" s="49" t="str">
        <f>IFERROR(IF(H$3="","",IF(TEXT(H$3,"ddd")="CN","CN",VLOOKUP($A12&amp;H$3,Data_Cong!$R:$AI,10,0))),"")</f>
        <v>x</v>
      </c>
      <c r="I12" s="49" t="str">
        <f>IFERROR(IF(I$3="","",IF(TEXT(I$3,"ddd")="CN","CN",VLOOKUP($A12&amp;I$3,Data_Cong!$R:$AI,10,0))),"")</f>
        <v>x</v>
      </c>
      <c r="J12" s="49" t="str">
        <f>IFERROR(IF(J$3="","",IF(TEXT(J$3,"ddd")="CN","CN",VLOOKUP($A12&amp;J$3,Data_Cong!$R:$AI,10,0))),"")</f>
        <v>CN</v>
      </c>
      <c r="K12" s="49" t="str">
        <f>IFERROR(IF(K$3="","",IF(TEXT(K$3,"ddd")="CN","CN",VLOOKUP($A12&amp;K$3,Data_Cong!$R:$AI,10,0))),"")</f>
        <v>x</v>
      </c>
      <c r="L12" s="49" t="str">
        <f>IFERROR(IF(L$3="","",IF(TEXT(L$3,"ddd")="CN","CN",VLOOKUP($A12&amp;L$3,Data_Cong!$R:$AI,10,0))),"")</f>
        <v>x</v>
      </c>
      <c r="M12" s="49" t="str">
        <f>IFERROR(IF(M$3="","",IF(TEXT(M$3,"ddd")="CN","CN",VLOOKUP($A12&amp;M$3,Data_Cong!$R:$AI,10,0))),"")</f>
        <v>x</v>
      </c>
      <c r="N12" s="49" t="str">
        <f>IFERROR(IF(N$3="","",IF(TEXT(N$3,"ddd")="CN","CN",VLOOKUP($A12&amp;N$3,Data_Cong!$R:$AI,10,0))),"")</f>
        <v>x</v>
      </c>
      <c r="O12" s="49" t="str">
        <f>IFERROR(IF(O$3="","",IF(TEXT(O$3,"ddd")="CN","CN",VLOOKUP($A12&amp;O$3,Data_Cong!$R:$AI,10,0))),"")</f>
        <v>x</v>
      </c>
      <c r="P12" s="49" t="str">
        <f>IFERROR(IF(P$3="","",IF(TEXT(P$3,"ddd")="CN","CN",VLOOKUP($A12&amp;P$3,Data_Cong!$R:$AI,10,0))),"")</f>
        <v>x</v>
      </c>
      <c r="Q12" s="49" t="str">
        <f>IFERROR(IF(Q$3="","",IF(TEXT(Q$3,"ddd")="CN","CN",VLOOKUP($A12&amp;Q$3,Data_Cong!$R:$AI,10,0))),"")</f>
        <v>CN</v>
      </c>
      <c r="R12" s="49" t="str">
        <f>IFERROR(IF(R$3="","",IF(TEXT(R$3,"ddd")="CN","CN",VLOOKUP($A12&amp;R$3,Data_Cong!$R:$AI,10,0))),"")</f>
        <v>x</v>
      </c>
      <c r="S12" s="49" t="str">
        <f>IFERROR(IF(S$3="","",IF(TEXT(S$3,"ddd")="CN","CN",VLOOKUP($A12&amp;S$3,Data_Cong!$R:$AI,10,0))),"")</f>
        <v>x</v>
      </c>
      <c r="T12" s="49" t="str">
        <f>IFERROR(IF(T$3="","",IF(TEXT(T$3,"ddd")="CN","CN",VLOOKUP($A12&amp;T$3,Data_Cong!$R:$AI,10,0))),"")</f>
        <v>x</v>
      </c>
      <c r="U12" s="49" t="str">
        <f>IFERROR(IF(U$3="","",IF(TEXT(U$3,"ddd")="CN","CN",VLOOKUP($A12&amp;U$3,Data_Cong!$R:$AI,10,0))),"")</f>
        <v>x</v>
      </c>
      <c r="V12" s="49" t="str">
        <f>IFERROR(IF(V$3="","",IF(TEXT(V$3,"ddd")="CN","CN",VLOOKUP($A12&amp;V$3,Data_Cong!$R:$AI,10,0))),"")</f>
        <v>x</v>
      </c>
      <c r="W12" s="49" t="str">
        <f>IFERROR(IF(W$3="","",IF(TEXT(W$3,"ddd")="CN","CN",VLOOKUP($A12&amp;W$3,Data_Cong!$R:$AI,10,0))),"")</f>
        <v>x</v>
      </c>
      <c r="X12" s="49" t="str">
        <f>IFERROR(IF(X$3="","",IF(TEXT(X$3,"ddd")="CN","CN",VLOOKUP($A12&amp;X$3,Data_Cong!$R:$AI,10,0))),"")</f>
        <v>CN</v>
      </c>
      <c r="Y12" s="49" t="str">
        <f>IFERROR(IF(Y$3="","",IF(TEXT(Y$3,"ddd")="CN","CN",VLOOKUP($A12&amp;Y$3,Data_Cong!$R:$AI,10,0))),"")</f>
        <v>x</v>
      </c>
      <c r="Z12" s="49" t="str">
        <f>IFERROR(IF(Z$3="","",IF(TEXT(Z$3,"ddd")="CN","CN",VLOOKUP($A12&amp;Z$3,Data_Cong!$R:$AI,10,0))),"")</f>
        <v>x</v>
      </c>
      <c r="AA12" s="49" t="str">
        <f>IFERROR(IF(AA$3="","",IF(TEXT(AA$3,"ddd")="CN","CN",VLOOKUP($A12&amp;AA$3,Data_Cong!$R:$AI,10,0))),"")</f>
        <v>x</v>
      </c>
      <c r="AB12" s="49" t="str">
        <f>IFERROR(IF(AB$3="","",IF(TEXT(AB$3,"ddd")="CN","CN",VLOOKUP($A12&amp;AB$3,Data_Cong!$R:$AI,10,0))),"")</f>
        <v>x</v>
      </c>
      <c r="AC12" s="49" t="str">
        <f>IFERROR(IF(AC$3="","",IF(TEXT(AC$3,"ddd")="CN","CN",VLOOKUP($A12&amp;AC$3,Data_Cong!$R:$AI,10,0))),"")</f>
        <v>x</v>
      </c>
      <c r="AD12" s="49" t="str">
        <f>IFERROR(IF(AD$3="","",IF(TEXT(AD$3,"ddd")="CN","CN",VLOOKUP($A12&amp;AD$3,Data_Cong!$R:$AI,10,0))),"")</f>
        <v>X</v>
      </c>
      <c r="AE12" s="49" t="str">
        <f>IFERROR(IF(AE$3="","",IF(TEXT(AE$3,"ddd")="CN","CN",VLOOKUP($A12&amp;AE$3,Data_Cong!$R:$AI,10,0))),"")</f>
        <v>CN</v>
      </c>
      <c r="AF12" s="49" t="str">
        <f>IFERROR(IF(AF$3="","",IF(TEXT(AF$3,"ddd")="CN","CN",VLOOKUP($A12&amp;AF$3,Data_Cong!$R:$AI,10,0))),"")</f>
        <v>x</v>
      </c>
      <c r="AG12" s="49" t="str">
        <f>IFERROR(IF(AG$3="","",IF(TEXT(AG$3,"ddd")="CN","CN",VLOOKUP($A12&amp;AG$3,Data_Cong!$R:$AI,10,0))),"")</f>
        <v>1/2</v>
      </c>
      <c r="AH12" s="49" t="str">
        <f>IFERROR(IF(AH$3="","",IF(TEXT(AH$3,"ddd")="CN","CN",VLOOKUP($A12&amp;AH$3,Data_Cong!$R:$AI,10,0))),"")</f>
        <v/>
      </c>
      <c r="AI12" s="50" cm="1">
        <f t="array" ref="AI12">SUMPRODUCT((D12:AH12="x")*1+(D12:AH12="P")*1+(D12:AH12="1/2P")*1+(D12:AH12="1/2")*0.5+(D12:AH12="2x")*2+(D12:AH12="L")*1)</f>
        <v>25.5</v>
      </c>
      <c r="AJ12" s="51">
        <f>SUMIF(Data_Cong!A:A,$A12,Data_Cong!AE:AE)</f>
        <v>0</v>
      </c>
      <c r="AK12" s="52">
        <f>COUNTIFS(Data_Cong!AB:AB,"&gt;6",Data_Cong!A:A,A12)</f>
        <v>6</v>
      </c>
      <c r="AL12" s="53" t="str">
        <f>IF(MONTH(VLOOKUP(A12,Data_NV!$A:$J,10,0))=BANG_CHAM_CONG!$R$2,"T"&amp;BANG_CHAM_CONG!$R$2,"")</f>
        <v/>
      </c>
      <c r="AM12" s="96">
        <v>7</v>
      </c>
      <c r="AN12" s="93" cm="1">
        <f t="array" ref="AN12">IF((AM12+1)&gt;12,12,(AM12+1))-SUMPRODUCT((D12:AH12="P")*1+(D12:AH12="1/2P")*0.5)</f>
        <v>8</v>
      </c>
      <c r="AO12" s="50"/>
      <c r="AP12" s="54">
        <f>SUMIFS(Data_Cong!AF:AF,Data_Cong!A:A,$A12)+SUMIFS(Data_Cong!AG:AG,Data_Cong!A:A,$A12)</f>
        <v>210000</v>
      </c>
    </row>
    <row r="13" spans="1:42" ht="15.75" x14ac:dyDescent="0.25">
      <c r="A13" s="28" t="s">
        <v>678</v>
      </c>
      <c r="B13" s="47">
        <v>8</v>
      </c>
      <c r="C13" s="48" t="s">
        <v>1251</v>
      </c>
      <c r="D13" s="49" t="str">
        <f>IFERROR(IF(D$3="","",IF(TEXT(D$3,"ddd")="CN","CN",VLOOKUP($A13&amp;D$3,Data_Cong!$R:$AI,10,0))),"")</f>
        <v>L</v>
      </c>
      <c r="E13" s="49" t="str">
        <f>IFERROR(IF(E$3="","",IF(TEXT(E$3,"ddd")="CN","CN",VLOOKUP($A13&amp;E$3,Data_Cong!$R:$AI,10,0))),"")</f>
        <v>L</v>
      </c>
      <c r="F13" s="49" t="str">
        <f>IFERROR(IF(F$3="","",IF(TEXT(F$3,"ddd")="CN","CN",VLOOKUP($A13&amp;F$3,Data_Cong!$R:$AI,10,0))),"")</f>
        <v>x</v>
      </c>
      <c r="G13" s="49" t="str">
        <f>IFERROR(IF(G$3="","",IF(TEXT(G$3,"ddd")="CN","CN",VLOOKUP($A13&amp;G$3,Data_Cong!$R:$AI,10,0))),"")</f>
        <v>x</v>
      </c>
      <c r="H13" s="49" t="str">
        <f>IFERROR(IF(H$3="","",IF(TEXT(H$3,"ddd")="CN","CN",VLOOKUP($A13&amp;H$3,Data_Cong!$R:$AI,10,0))),"")</f>
        <v>x</v>
      </c>
      <c r="I13" s="49" t="str">
        <f>IFERROR(IF(I$3="","",IF(TEXT(I$3,"ddd")="CN","CN",VLOOKUP($A13&amp;I$3,Data_Cong!$R:$AI,10,0))),"")</f>
        <v>x</v>
      </c>
      <c r="J13" s="49" t="str">
        <f>IFERROR(IF(J$3="","",IF(TEXT(J$3,"ddd")="CN","CN",VLOOKUP($A13&amp;J$3,Data_Cong!$R:$AI,10,0))),"")</f>
        <v>CN</v>
      </c>
      <c r="K13" s="49" t="str">
        <f>IFERROR(IF(K$3="","",IF(TEXT(K$3,"ddd")="CN","CN",VLOOKUP($A13&amp;K$3,Data_Cong!$R:$AI,10,0))),"")</f>
        <v>x</v>
      </c>
      <c r="L13" s="49" t="str">
        <f>IFERROR(IF(L$3="","",IF(TEXT(L$3,"ddd")="CN","CN",VLOOKUP($A13&amp;L$3,Data_Cong!$R:$AI,10,0))),"")</f>
        <v>x</v>
      </c>
      <c r="M13" s="49" t="str">
        <f>IFERROR(IF(M$3="","",IF(TEXT(M$3,"ddd")="CN","CN",VLOOKUP($A13&amp;M$3,Data_Cong!$R:$AI,10,0))),"")</f>
        <v>x</v>
      </c>
      <c r="N13" s="49" t="str">
        <f>IFERROR(IF(N$3="","",IF(TEXT(N$3,"ddd")="CN","CN",VLOOKUP($A13&amp;N$3,Data_Cong!$R:$AI,10,0))),"")</f>
        <v>x</v>
      </c>
      <c r="O13" s="49" t="str">
        <f>IFERROR(IF(O$3="","",IF(TEXT(O$3,"ddd")="CN","CN",VLOOKUP($A13&amp;O$3,Data_Cong!$R:$AI,10,0))),"")</f>
        <v>x</v>
      </c>
      <c r="P13" s="49" t="str">
        <f>IFERROR(IF(P$3="","",IF(TEXT(P$3,"ddd")="CN","CN",VLOOKUP($A13&amp;P$3,Data_Cong!$R:$AI,10,0))),"")</f>
        <v>x</v>
      </c>
      <c r="Q13" s="49" t="str">
        <f>IFERROR(IF(Q$3="","",IF(TEXT(Q$3,"ddd")="CN","CN",VLOOKUP($A13&amp;Q$3,Data_Cong!$R:$AI,10,0))),"")</f>
        <v>CN</v>
      </c>
      <c r="R13" s="49" t="str">
        <f>IFERROR(IF(R$3="","",IF(TEXT(R$3,"ddd")="CN","CN",VLOOKUP($A13&amp;R$3,Data_Cong!$R:$AI,10,0))),"")</f>
        <v>x</v>
      </c>
      <c r="S13" s="49" t="str">
        <f>IFERROR(IF(S$3="","",IF(TEXT(S$3,"ddd")="CN","CN",VLOOKUP($A13&amp;S$3,Data_Cong!$R:$AI,10,0))),"")</f>
        <v>x</v>
      </c>
      <c r="T13" s="49" t="str">
        <f>IFERROR(IF(T$3="","",IF(TEXT(T$3,"ddd")="CN","CN",VLOOKUP($A13&amp;T$3,Data_Cong!$R:$AI,10,0))),"")</f>
        <v>x</v>
      </c>
      <c r="U13" s="49" t="str">
        <f>IFERROR(IF(U$3="","",IF(TEXT(U$3,"ddd")="CN","CN",VLOOKUP($A13&amp;U$3,Data_Cong!$R:$AI,10,0))),"")</f>
        <v>x</v>
      </c>
      <c r="V13" s="49" t="str">
        <f>IFERROR(IF(V$3="","",IF(TEXT(V$3,"ddd")="CN","CN",VLOOKUP($A13&amp;V$3,Data_Cong!$R:$AI,10,0))),"")</f>
        <v>x</v>
      </c>
      <c r="W13" s="49" t="str">
        <f>IFERROR(IF(W$3="","",IF(TEXT(W$3,"ddd")="CN","CN",VLOOKUP($A13&amp;W$3,Data_Cong!$R:$AI,10,0))),"")</f>
        <v>X</v>
      </c>
      <c r="X13" s="49" t="str">
        <f>IFERROR(IF(X$3="","",IF(TEXT(X$3,"ddd")="CN","CN",VLOOKUP($A13&amp;X$3,Data_Cong!$R:$AI,10,0))),"")</f>
        <v>CN</v>
      </c>
      <c r="Y13" s="49" t="str">
        <f>IFERROR(IF(Y$3="","",IF(TEXT(Y$3,"ddd")="CN","CN",VLOOKUP($A13&amp;Y$3,Data_Cong!$R:$AI,10,0))),"")</f>
        <v>x</v>
      </c>
      <c r="Z13" s="49" t="str">
        <f>IFERROR(IF(Z$3="","",IF(TEXT(Z$3,"ddd")="CN","CN",VLOOKUP($A13&amp;Z$3,Data_Cong!$R:$AI,10,0))),"")</f>
        <v>x</v>
      </c>
      <c r="AA13" s="49" t="str">
        <f>IFERROR(IF(AA$3="","",IF(TEXT(AA$3,"ddd")="CN","CN",VLOOKUP($A13&amp;AA$3,Data_Cong!$R:$AI,10,0))),"")</f>
        <v>x</v>
      </c>
      <c r="AB13" s="49" t="str">
        <f>IFERROR(IF(AB$3="","",IF(TEXT(AB$3,"ddd")="CN","CN",VLOOKUP($A13&amp;AB$3,Data_Cong!$R:$AI,10,0))),"")</f>
        <v>x</v>
      </c>
      <c r="AC13" s="49" t="str">
        <f>IFERROR(IF(AC$3="","",IF(TEXT(AC$3,"ddd")="CN","CN",VLOOKUP($A13&amp;AC$3,Data_Cong!$R:$AI,10,0))),"")</f>
        <v>x</v>
      </c>
      <c r="AD13" s="49" t="str">
        <f>IFERROR(IF(AD$3="","",IF(TEXT(AD$3,"ddd")="CN","CN",VLOOKUP($A13&amp;AD$3,Data_Cong!$R:$AI,10,0))),"")</f>
        <v>x</v>
      </c>
      <c r="AE13" s="49" t="str">
        <f>IFERROR(IF(AE$3="","",IF(TEXT(AE$3,"ddd")="CN","CN",VLOOKUP($A13&amp;AE$3,Data_Cong!$R:$AI,10,0))),"")</f>
        <v>CN</v>
      </c>
      <c r="AF13" s="49" t="str">
        <f>IFERROR(IF(AF$3="","",IF(TEXT(AF$3,"ddd")="CN","CN",VLOOKUP($A13&amp;AF$3,Data_Cong!$R:$AI,10,0))),"")</f>
        <v>x</v>
      </c>
      <c r="AG13" s="49" t="str">
        <f>IFERROR(IF(AG$3="","",IF(TEXT(AG$3,"ddd")="CN","CN",VLOOKUP($A13&amp;AG$3,Data_Cong!$R:$AI,10,0))),"")</f>
        <v>x</v>
      </c>
      <c r="AH13" s="49" t="str">
        <f>IFERROR(IF(AH$3="","",IF(TEXT(AH$3,"ddd")="CN","CN",VLOOKUP($A13&amp;AH$3,Data_Cong!$R:$AI,10,0))),"")</f>
        <v/>
      </c>
      <c r="AI13" s="50" cm="1">
        <f t="array" ref="AI13">SUMPRODUCT((D13:AH13="x")*1+(D13:AH13="P")*1+(D13:AH13="1/2P")*1+(D13:AH13="1/2")*0.5+(D13:AH13="2x")*2+(D13:AH13="L")*1)</f>
        <v>26</v>
      </c>
      <c r="AJ13" s="51">
        <f>SUMIF(Data_Cong!A:A,$A13,Data_Cong!AE:AE)</f>
        <v>1657</v>
      </c>
      <c r="AK13" s="52">
        <f>COUNTIFS(Data_Cong!AB:AB,"&gt;6",Data_Cong!A:A,A13)</f>
        <v>3</v>
      </c>
      <c r="AL13" s="53" t="str">
        <f>IF(MONTH(VLOOKUP(A13,Data_NV!$A:$J,10,0))=BANG_CHAM_CONG!$R$2,"T"&amp;BANG_CHAM_CONG!$R$2,"")</f>
        <v/>
      </c>
      <c r="AM13" s="96">
        <v>8.5</v>
      </c>
      <c r="AN13" s="93" cm="1">
        <f t="array" ref="AN13">IF((AM13+1)&gt;12,12,(AM13+1))-SUMPRODUCT((D13:AH13="P")*1+(D13:AH13="1/2P")*0.5)</f>
        <v>9.5</v>
      </c>
      <c r="AO13" s="50"/>
      <c r="AP13" s="54">
        <f>SUMIFS(Data_Cong!AF:AF,Data_Cong!A:A,$A13)+SUMIFS(Data_Cong!AG:AG,Data_Cong!A:A,$A13)</f>
        <v>160000</v>
      </c>
    </row>
    <row r="14" spans="1:42" ht="15.75" x14ac:dyDescent="0.25">
      <c r="A14" s="28"/>
      <c r="B14" s="55"/>
      <c r="C14" s="56" t="s">
        <v>1337</v>
      </c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 t="str">
        <f t="shared" ref="AG14" si="3">IF(AF14="","",IF(DAY(AF14+1)=1,"",AF14+1))</f>
        <v/>
      </c>
      <c r="AH14" s="57"/>
      <c r="AI14" s="57"/>
      <c r="AJ14" s="57"/>
      <c r="AK14" s="57"/>
      <c r="AL14" s="57"/>
      <c r="AM14" s="94"/>
      <c r="AN14" s="94"/>
      <c r="AO14" s="57"/>
      <c r="AP14" s="57"/>
    </row>
    <row r="15" spans="1:42" ht="15.75" x14ac:dyDescent="0.25">
      <c r="A15" s="28" t="s">
        <v>18</v>
      </c>
      <c r="B15" s="47">
        <v>1</v>
      </c>
      <c r="C15" s="48" t="s">
        <v>1252</v>
      </c>
      <c r="D15" s="49" t="str">
        <f>IFERROR(IF(D$3="","",IF(TEXT(D$3,"ddd")="CN","CN",VLOOKUP($A15&amp;D$3,Data_Cong!$R:$AI,10,0))),"")</f>
        <v>L</v>
      </c>
      <c r="E15" s="49" t="str">
        <f>IFERROR(IF(E$3="","",IF(TEXT(E$3,"ddd")="CN","CN",VLOOKUP($A15&amp;E$3,Data_Cong!$R:$AI,10,0))),"")</f>
        <v>L</v>
      </c>
      <c r="F15" s="49" t="str">
        <f>IFERROR(IF(F$3="","",IF(TEXT(F$3,"ddd")="CN","CN",VLOOKUP($A15&amp;F$3,Data_Cong!$R:$AI,10,0))),"")</f>
        <v>x</v>
      </c>
      <c r="G15" s="49" t="str">
        <f>IFERROR(IF(G$3="","",IF(TEXT(G$3,"ddd")="CN","CN",VLOOKUP($A15&amp;G$3,Data_Cong!$R:$AI,10,0))),"")</f>
        <v>x</v>
      </c>
      <c r="H15" s="49" t="str">
        <f>IFERROR(IF(H$3="","",IF(TEXT(H$3,"ddd")="CN","CN",VLOOKUP($A15&amp;H$3,Data_Cong!$R:$AI,10,0))),"")</f>
        <v>x</v>
      </c>
      <c r="I15" s="49" t="str">
        <f>IFERROR(IF(I$3="","",IF(TEXT(I$3,"ddd")="CN","CN",VLOOKUP($A15&amp;I$3,Data_Cong!$R:$AI,10,0))),"")</f>
        <v>x</v>
      </c>
      <c r="J15" s="49" t="str">
        <f>IFERROR(IF(J$3="","",IF(TEXT(J$3,"ddd")="CN","CN",VLOOKUP($A15&amp;J$3,Data_Cong!$R:$AI,10,0))),"")</f>
        <v>CN</v>
      </c>
      <c r="K15" s="49" t="str">
        <f>IFERROR(IF(K$3="","",IF(TEXT(K$3,"ddd")="CN","CN",VLOOKUP($A15&amp;K$3,Data_Cong!$R:$AI,10,0))),"")</f>
        <v>x</v>
      </c>
      <c r="L15" s="49" t="str">
        <f>IFERROR(IF(L$3="","",IF(TEXT(L$3,"ddd")="CN","CN",VLOOKUP($A15&amp;L$3,Data_Cong!$R:$AI,10,0))),"")</f>
        <v>x</v>
      </c>
      <c r="M15" s="49" t="str">
        <f>IFERROR(IF(M$3="","",IF(TEXT(M$3,"ddd")="CN","CN",VLOOKUP($A15&amp;M$3,Data_Cong!$R:$AI,10,0))),"")</f>
        <v>x</v>
      </c>
      <c r="N15" s="49" t="str">
        <f>IFERROR(IF(N$3="","",IF(TEXT(N$3,"ddd")="CN","CN",VLOOKUP($A15&amp;N$3,Data_Cong!$R:$AI,10,0))),"")</f>
        <v>x</v>
      </c>
      <c r="O15" s="49" t="str">
        <f>IFERROR(IF(O$3="","",IF(TEXT(O$3,"ddd")="CN","CN",VLOOKUP($A15&amp;O$3,Data_Cong!$R:$AI,10,0))),"")</f>
        <v>x</v>
      </c>
      <c r="P15" s="49" t="str">
        <f>IFERROR(IF(P$3="","",IF(TEXT(P$3,"ddd")="CN","CN",VLOOKUP($A15&amp;P$3,Data_Cong!$R:$AI,10,0))),"")</f>
        <v>x</v>
      </c>
      <c r="Q15" s="49" t="str">
        <f>IFERROR(IF(Q$3="","",IF(TEXT(Q$3,"ddd")="CN","CN",VLOOKUP($A15&amp;Q$3,Data_Cong!$R:$AI,10,0))),"")</f>
        <v>CN</v>
      </c>
      <c r="R15" s="49" t="str">
        <f>IFERROR(IF(R$3="","",IF(TEXT(R$3,"ddd")="CN","CN",VLOOKUP($A15&amp;R$3,Data_Cong!$R:$AI,10,0))),"")</f>
        <v>x</v>
      </c>
      <c r="S15" s="49" t="str">
        <f>IFERROR(IF(S$3="","",IF(TEXT(S$3,"ddd")="CN","CN",VLOOKUP($A15&amp;S$3,Data_Cong!$R:$AI,10,0))),"")</f>
        <v>x</v>
      </c>
      <c r="T15" s="49" t="str">
        <f>IFERROR(IF(T$3="","",IF(TEXT(T$3,"ddd")="CN","CN",VLOOKUP($A15&amp;T$3,Data_Cong!$R:$AI,10,0))),"")</f>
        <v>x</v>
      </c>
      <c r="U15" s="49" t="str">
        <f>IFERROR(IF(U$3="","",IF(TEXT(U$3,"ddd")="CN","CN",VLOOKUP($A15&amp;U$3,Data_Cong!$R:$AI,10,0))),"")</f>
        <v>x</v>
      </c>
      <c r="V15" s="49" t="str">
        <f>IFERROR(IF(V$3="","",IF(TEXT(V$3,"ddd")="CN","CN",VLOOKUP($A15&amp;V$3,Data_Cong!$R:$AI,10,0))),"")</f>
        <v>x</v>
      </c>
      <c r="W15" s="49" t="str">
        <f>IFERROR(IF(W$3="","",IF(TEXT(W$3,"ddd")="CN","CN",VLOOKUP($A15&amp;W$3,Data_Cong!$R:$AI,10,0))),"")</f>
        <v>x</v>
      </c>
      <c r="X15" s="49" t="str">
        <f>IFERROR(IF(X$3="","",IF(TEXT(X$3,"ddd")="CN","CN",VLOOKUP($A15&amp;X$3,Data_Cong!$R:$AI,10,0))),"")</f>
        <v>CN</v>
      </c>
      <c r="Y15" s="49" t="str">
        <f>IFERROR(IF(Y$3="","",IF(TEXT(Y$3,"ddd")="CN","CN",VLOOKUP($A15&amp;Y$3,Data_Cong!$R:$AI,10,0))),"")</f>
        <v>x</v>
      </c>
      <c r="Z15" s="49" t="str">
        <f>IFERROR(IF(Z$3="","",IF(TEXT(Z$3,"ddd")="CN","CN",VLOOKUP($A15&amp;Z$3,Data_Cong!$R:$AI,10,0))),"")</f>
        <v>x</v>
      </c>
      <c r="AA15" s="49" t="str">
        <f>IFERROR(IF(AA$3="","",IF(TEXT(AA$3,"ddd")="CN","CN",VLOOKUP($A15&amp;AA$3,Data_Cong!$R:$AI,10,0))),"")</f>
        <v>x</v>
      </c>
      <c r="AB15" s="49" t="str">
        <f>IFERROR(IF(AB$3="","",IF(TEXT(AB$3,"ddd")="CN","CN",VLOOKUP($A15&amp;AB$3,Data_Cong!$R:$AI,10,0))),"")</f>
        <v>x</v>
      </c>
      <c r="AC15" s="49" t="str">
        <f>IFERROR(IF(AC$3="","",IF(TEXT(AC$3,"ddd")="CN","CN",VLOOKUP($A15&amp;AC$3,Data_Cong!$R:$AI,10,0))),"")</f>
        <v>x</v>
      </c>
      <c r="AD15" s="49" t="str">
        <f>IFERROR(IF(AD$3="","",IF(TEXT(AD$3,"ddd")="CN","CN",VLOOKUP($A15&amp;AD$3,Data_Cong!$R:$AI,10,0))),"")</f>
        <v>x</v>
      </c>
      <c r="AE15" s="49" t="str">
        <f>IFERROR(IF(AE$3="","",IF(TEXT(AE$3,"ddd")="CN","CN",VLOOKUP($A15&amp;AE$3,Data_Cong!$R:$AI,10,0))),"")</f>
        <v>CN</v>
      </c>
      <c r="AF15" s="49" t="str">
        <f>IFERROR(IF(AF$3="","",IF(TEXT(AF$3,"ddd")="CN","CN",VLOOKUP($A15&amp;AF$3,Data_Cong!$R:$AI,10,0))),"")</f>
        <v>x</v>
      </c>
      <c r="AG15" s="49" t="str">
        <f>IFERROR(IF(AG$3="","",IF(TEXT(AG$3,"ddd")="CN","CN",VLOOKUP($A15&amp;AG$3,Data_Cong!$R:$AI,10,0))),"")</f>
        <v>x</v>
      </c>
      <c r="AH15" s="49" t="str">
        <f>IFERROR(IF(AH$3="","",IF(TEXT(AH$3,"ddd")="CN","CN",VLOOKUP($A15&amp;AH$3,Data_Cong!$R:$AI,10,0))),"")</f>
        <v/>
      </c>
      <c r="AI15" s="50" cm="1">
        <f t="array" ref="AI15">SUMPRODUCT((D15:AH15="x")*1+(D15:AH15="P")*1+(D15:AH15="1/2P")*1+(D15:AH15="1/2")*0.5+(D15:AH15="2x")*2+(D15:AH15="L")*1)</f>
        <v>26</v>
      </c>
      <c r="AJ15" s="51">
        <f>SUMIF(Data_Cong!A:A,$A15,Data_Cong!AE:AE)</f>
        <v>0</v>
      </c>
      <c r="AK15" s="52">
        <f>COUNTIFS(Data_Cong!AB:AB,"&gt;6",Data_Cong!A:A,A15)</f>
        <v>0</v>
      </c>
      <c r="AL15" s="53" t="str">
        <f>IF(MONTH(VLOOKUP(A15,Data_NV!$A:$J,10,0))=BANG_CHAM_CONG!$R$2,"T"&amp;BANG_CHAM_CONG!$R$2,"")</f>
        <v>T9</v>
      </c>
      <c r="AM15" s="96">
        <v>10</v>
      </c>
      <c r="AN15" s="93" cm="1">
        <f t="array" ref="AN15">IF((AM15+1)&gt;12,12,(AM15+1))-SUMPRODUCT((D15:AH15="P")*1+(D15:AH15="1/2P")*0.5)</f>
        <v>11</v>
      </c>
      <c r="AO15" s="50"/>
      <c r="AP15" s="54">
        <f>SUMIFS(Data_Cong!AF:AF,Data_Cong!A:A,$A15)+SUMIFS(Data_Cong!AG:AG,Data_Cong!A:A,$A15)</f>
        <v>0</v>
      </c>
    </row>
    <row r="16" spans="1:42" ht="15.75" x14ac:dyDescent="0.25">
      <c r="A16" s="28" t="s">
        <v>172</v>
      </c>
      <c r="B16" s="47">
        <v>2</v>
      </c>
      <c r="C16" s="48" t="s">
        <v>1253</v>
      </c>
      <c r="D16" s="49" t="str">
        <f>IFERROR(IF(D$3="","",IF(TEXT(D$3,"ddd")="CN","CN",VLOOKUP($A16&amp;D$3,Data_Cong!$R:$AI,10,0))),"")</f>
        <v>L</v>
      </c>
      <c r="E16" s="49" t="str">
        <f>IFERROR(IF(E$3="","",IF(TEXT(E$3,"ddd")="CN","CN",VLOOKUP($A16&amp;E$3,Data_Cong!$R:$AI,10,0))),"")</f>
        <v>L</v>
      </c>
      <c r="F16" s="49" t="str">
        <f>IFERROR(IF(F$3="","",IF(TEXT(F$3,"ddd")="CN","CN",VLOOKUP($A16&amp;F$3,Data_Cong!$R:$AI,10,0))),"")</f>
        <v>x</v>
      </c>
      <c r="G16" s="49" t="str">
        <f>IFERROR(IF(G$3="","",IF(TEXT(G$3,"ddd")="CN","CN",VLOOKUP($A16&amp;G$3,Data_Cong!$R:$AI,10,0))),"")</f>
        <v>x</v>
      </c>
      <c r="H16" s="49" t="str">
        <f>IFERROR(IF(H$3="","",IF(TEXT(H$3,"ddd")="CN","CN",VLOOKUP($A16&amp;H$3,Data_Cong!$R:$AI,10,0))),"")</f>
        <v>x</v>
      </c>
      <c r="I16" s="49" t="str">
        <f>IFERROR(IF(I$3="","",IF(TEXT(I$3,"ddd")="CN","CN",VLOOKUP($A16&amp;I$3,Data_Cong!$R:$AI,10,0))),"")</f>
        <v>x</v>
      </c>
      <c r="J16" s="49" t="str">
        <f>IFERROR(IF(J$3="","",IF(TEXT(J$3,"ddd")="CN","CN",VLOOKUP($A16&amp;J$3,Data_Cong!$R:$AI,10,0))),"")</f>
        <v>CN</v>
      </c>
      <c r="K16" s="49" t="str">
        <f>IFERROR(IF(K$3="","",IF(TEXT(K$3,"ddd")="CN","CN",VLOOKUP($A16&amp;K$3,Data_Cong!$R:$AI,10,0))),"")</f>
        <v>x</v>
      </c>
      <c r="L16" s="49" t="str">
        <f>IFERROR(IF(L$3="","",IF(TEXT(L$3,"ddd")="CN","CN",VLOOKUP($A16&amp;L$3,Data_Cong!$R:$AI,10,0))),"")</f>
        <v>x</v>
      </c>
      <c r="M16" s="49" t="str">
        <f>IFERROR(IF(M$3="","",IF(TEXT(M$3,"ddd")="CN","CN",VLOOKUP($A16&amp;M$3,Data_Cong!$R:$AI,10,0))),"")</f>
        <v>x</v>
      </c>
      <c r="N16" s="49" t="str">
        <f>IFERROR(IF(N$3="","",IF(TEXT(N$3,"ddd")="CN","CN",VLOOKUP($A16&amp;N$3,Data_Cong!$R:$AI,10,0))),"")</f>
        <v>1/2P</v>
      </c>
      <c r="O16" s="49" t="str">
        <f>IFERROR(IF(O$3="","",IF(TEXT(O$3,"ddd")="CN","CN",VLOOKUP($A16&amp;O$3,Data_Cong!$R:$AI,10,0))),"")</f>
        <v>x</v>
      </c>
      <c r="P16" s="49" t="str">
        <f>IFERROR(IF(P$3="","",IF(TEXT(P$3,"ddd")="CN","CN",VLOOKUP($A16&amp;P$3,Data_Cong!$R:$AI,10,0))),"")</f>
        <v>x</v>
      </c>
      <c r="Q16" s="49" t="str">
        <f>IFERROR(IF(Q$3="","",IF(TEXT(Q$3,"ddd")="CN","CN",VLOOKUP($A16&amp;Q$3,Data_Cong!$R:$AI,10,0))),"")</f>
        <v>CN</v>
      </c>
      <c r="R16" s="49" t="str">
        <f>IFERROR(IF(R$3="","",IF(TEXT(R$3,"ddd")="CN","CN",VLOOKUP($A16&amp;R$3,Data_Cong!$R:$AI,10,0))),"")</f>
        <v>x</v>
      </c>
      <c r="S16" s="49" t="str">
        <f>IFERROR(IF(S$3="","",IF(TEXT(S$3,"ddd")="CN","CN",VLOOKUP($A16&amp;S$3,Data_Cong!$R:$AI,10,0))),"")</f>
        <v>x</v>
      </c>
      <c r="T16" s="49" t="str">
        <f>IFERROR(IF(T$3="","",IF(TEXT(T$3,"ddd")="CN","CN",VLOOKUP($A16&amp;T$3,Data_Cong!$R:$AI,10,0))),"")</f>
        <v>1/2P</v>
      </c>
      <c r="U16" s="49" t="str">
        <f>IFERROR(IF(U$3="","",IF(TEXT(U$3,"ddd")="CN","CN",VLOOKUP($A16&amp;U$3,Data_Cong!$R:$AI,10,0))),"")</f>
        <v>x</v>
      </c>
      <c r="V16" s="49" t="str">
        <f>IFERROR(IF(V$3="","",IF(TEXT(V$3,"ddd")="CN","CN",VLOOKUP($A16&amp;V$3,Data_Cong!$R:$AI,10,0))),"")</f>
        <v>x</v>
      </c>
      <c r="W16" s="49" t="str">
        <f>IFERROR(IF(W$3="","",IF(TEXT(W$3,"ddd")="CN","CN",VLOOKUP($A16&amp;W$3,Data_Cong!$R:$AI,10,0))),"")</f>
        <v>x</v>
      </c>
      <c r="X16" s="49" t="str">
        <f>IFERROR(IF(X$3="","",IF(TEXT(X$3,"ddd")="CN","CN",VLOOKUP($A16&amp;X$3,Data_Cong!$R:$AI,10,0))),"")</f>
        <v>CN</v>
      </c>
      <c r="Y16" s="49" t="str">
        <f>IFERROR(IF(Y$3="","",IF(TEXT(Y$3,"ddd")="CN","CN",VLOOKUP($A16&amp;Y$3,Data_Cong!$R:$AI,10,0))),"")</f>
        <v>x</v>
      </c>
      <c r="Z16" s="49" t="str">
        <f>IFERROR(IF(Z$3="","",IF(TEXT(Z$3,"ddd")="CN","CN",VLOOKUP($A16&amp;Z$3,Data_Cong!$R:$AI,10,0))),"")</f>
        <v>x</v>
      </c>
      <c r="AA16" s="49" t="str">
        <f>IFERROR(IF(AA$3="","",IF(TEXT(AA$3,"ddd")="CN","CN",VLOOKUP($A16&amp;AA$3,Data_Cong!$R:$AI,10,0))),"")</f>
        <v>x</v>
      </c>
      <c r="AB16" s="49" t="str">
        <f>IFERROR(IF(AB$3="","",IF(TEXT(AB$3,"ddd")="CN","CN",VLOOKUP($A16&amp;AB$3,Data_Cong!$R:$AI,10,0))),"")</f>
        <v>x</v>
      </c>
      <c r="AC16" s="49" t="str">
        <f>IFERROR(IF(AC$3="","",IF(TEXT(AC$3,"ddd")="CN","CN",VLOOKUP($A16&amp;AC$3,Data_Cong!$R:$AI,10,0))),"")</f>
        <v>x</v>
      </c>
      <c r="AD16" s="49" t="str">
        <f>IFERROR(IF(AD$3="","",IF(TEXT(AD$3,"ddd")="CN","CN",VLOOKUP($A16&amp;AD$3,Data_Cong!$R:$AI,10,0))),"")</f>
        <v>1/2P</v>
      </c>
      <c r="AE16" s="49" t="str">
        <f>IFERROR(IF(AE$3="","",IF(TEXT(AE$3,"ddd")="CN","CN",VLOOKUP($A16&amp;AE$3,Data_Cong!$R:$AI,10,0))),"")</f>
        <v>CN</v>
      </c>
      <c r="AF16" s="49" t="str">
        <f>IFERROR(IF(AF$3="","",IF(TEXT(AF$3,"ddd")="CN","CN",VLOOKUP($A16&amp;AF$3,Data_Cong!$R:$AI,10,0))),"")</f>
        <v>x</v>
      </c>
      <c r="AG16" s="49" t="str">
        <f>IFERROR(IF(AG$3="","",IF(TEXT(AG$3,"ddd")="CN","CN",VLOOKUP($A16&amp;AG$3,Data_Cong!$R:$AI,10,0))),"")</f>
        <v>x</v>
      </c>
      <c r="AH16" s="49" t="str">
        <f>IFERROR(IF(AH$3="","",IF(TEXT(AH$3,"ddd")="CN","CN",VLOOKUP($A16&amp;AH$3,Data_Cong!$R:$AI,10,0))),"")</f>
        <v/>
      </c>
      <c r="AI16" s="50" cm="1">
        <f t="array" ref="AI16">SUMPRODUCT((D16:AH16="x")*1+(D16:AH16="P")*1+(D16:AH16="1/2P")*1+(D16:AH16="1/2")*0.5+(D16:AH16="2x")*2+(D16:AH16="L")*1)</f>
        <v>26</v>
      </c>
      <c r="AJ16" s="51">
        <f>SUMIF(Data_Cong!A:A,$A16,Data_Cong!AE:AE)</f>
        <v>0</v>
      </c>
      <c r="AK16" s="52">
        <f>COUNTIFS(Data_Cong!AB:AB,"&gt;6",Data_Cong!A:A,A16)</f>
        <v>0</v>
      </c>
      <c r="AL16" s="53" t="str">
        <f>IF(MONTH(VLOOKUP(A16,Data_NV!$A:$J,10,0))=BANG_CHAM_CONG!$R$2,"T"&amp;BANG_CHAM_CONG!$R$2,"")</f>
        <v>T9</v>
      </c>
      <c r="AM16" s="96">
        <v>7.5</v>
      </c>
      <c r="AN16" s="93" cm="1">
        <f t="array" ref="AN16">IF((AM16+1)&gt;12,12,(AM16+1))-SUMPRODUCT((D16:AH16="P")*1+(D16:AH16="1/2P")*0.5)</f>
        <v>7</v>
      </c>
      <c r="AO16" s="50"/>
      <c r="AP16" s="54">
        <f>SUMIFS(Data_Cong!AF:AF,Data_Cong!A:A,$A16)+SUMIFS(Data_Cong!AG:AG,Data_Cong!A:A,$A16)</f>
        <v>0</v>
      </c>
    </row>
    <row r="17" spans="1:42" ht="15.75" x14ac:dyDescent="0.25">
      <c r="A17" s="28" t="s">
        <v>198</v>
      </c>
      <c r="B17" s="47">
        <v>3</v>
      </c>
      <c r="C17" s="48" t="s">
        <v>1254</v>
      </c>
      <c r="D17" s="49" t="str">
        <f>IFERROR(IF(D$3="","",IF(TEXT(D$3,"ddd")="CN","CN",VLOOKUP($A17&amp;D$3,Data_Cong!$R:$AI,10,0))),"")</f>
        <v>L</v>
      </c>
      <c r="E17" s="49" t="str">
        <f>IFERROR(IF(E$3="","",IF(TEXT(E$3,"ddd")="CN","CN",VLOOKUP($A17&amp;E$3,Data_Cong!$R:$AI,10,0))),"")</f>
        <v>L</v>
      </c>
      <c r="F17" s="49" t="str">
        <f>IFERROR(IF(F$3="","",IF(TEXT(F$3,"ddd")="CN","CN",VLOOKUP($A17&amp;F$3,Data_Cong!$R:$AI,10,0))),"")</f>
        <v>x</v>
      </c>
      <c r="G17" s="49" t="str">
        <f>IFERROR(IF(G$3="","",IF(TEXT(G$3,"ddd")="CN","CN",VLOOKUP($A17&amp;G$3,Data_Cong!$R:$AI,10,0))),"")</f>
        <v>p</v>
      </c>
      <c r="H17" s="49" t="str">
        <f>IFERROR(IF(H$3="","",IF(TEXT(H$3,"ddd")="CN","CN",VLOOKUP($A17&amp;H$3,Data_Cong!$R:$AI,10,0))),"")</f>
        <v>x</v>
      </c>
      <c r="I17" s="49" t="str">
        <f>IFERROR(IF(I$3="","",IF(TEXT(I$3,"ddd")="CN","CN",VLOOKUP($A17&amp;I$3,Data_Cong!$R:$AI,10,0))),"")</f>
        <v>x</v>
      </c>
      <c r="J17" s="49" t="str">
        <f>IFERROR(IF(J$3="","",IF(TEXT(J$3,"ddd")="CN","CN",VLOOKUP($A17&amp;J$3,Data_Cong!$R:$AI,10,0))),"")</f>
        <v>CN</v>
      </c>
      <c r="K17" s="49" t="str">
        <f>IFERROR(IF(K$3="","",IF(TEXT(K$3,"ddd")="CN","CN",VLOOKUP($A17&amp;K$3,Data_Cong!$R:$AI,10,0))),"")</f>
        <v>x</v>
      </c>
      <c r="L17" s="49" t="str">
        <f>IFERROR(IF(L$3="","",IF(TEXT(L$3,"ddd")="CN","CN",VLOOKUP($A17&amp;L$3,Data_Cong!$R:$AI,10,0))),"")</f>
        <v>x</v>
      </c>
      <c r="M17" s="49" t="str">
        <f>IFERROR(IF(M$3="","",IF(TEXT(M$3,"ddd")="CN","CN",VLOOKUP($A17&amp;M$3,Data_Cong!$R:$AI,10,0))),"")</f>
        <v>x</v>
      </c>
      <c r="N17" s="49" t="str">
        <f>IFERROR(IF(N$3="","",IF(TEXT(N$3,"ddd")="CN","CN",VLOOKUP($A17&amp;N$3,Data_Cong!$R:$AI,10,0))),"")</f>
        <v>x</v>
      </c>
      <c r="O17" s="49" t="str">
        <f>IFERROR(IF(O$3="","",IF(TEXT(O$3,"ddd")="CN","CN",VLOOKUP($A17&amp;O$3,Data_Cong!$R:$AI,10,0))),"")</f>
        <v>x</v>
      </c>
      <c r="P17" s="49" t="str">
        <f>IFERROR(IF(P$3="","",IF(TEXT(P$3,"ddd")="CN","CN",VLOOKUP($A17&amp;P$3,Data_Cong!$R:$AI,10,0))),"")</f>
        <v>x</v>
      </c>
      <c r="Q17" s="49" t="str">
        <f>IFERROR(IF(Q$3="","",IF(TEXT(Q$3,"ddd")="CN","CN",VLOOKUP($A17&amp;Q$3,Data_Cong!$R:$AI,10,0))),"")</f>
        <v>CN</v>
      </c>
      <c r="R17" s="49" t="str">
        <f>IFERROR(IF(R$3="","",IF(TEXT(R$3,"ddd")="CN","CN",VLOOKUP($A17&amp;R$3,Data_Cong!$R:$AI,10,0))),"")</f>
        <v>x</v>
      </c>
      <c r="S17" s="49" t="str">
        <f>IFERROR(IF(S$3="","",IF(TEXT(S$3,"ddd")="CN","CN",VLOOKUP($A17&amp;S$3,Data_Cong!$R:$AI,10,0))),"")</f>
        <v>x</v>
      </c>
      <c r="T17" s="49" t="str">
        <f>IFERROR(IF(T$3="","",IF(TEXT(T$3,"ddd")="CN","CN",VLOOKUP($A17&amp;T$3,Data_Cong!$R:$AI,10,0))),"")</f>
        <v>x</v>
      </c>
      <c r="U17" s="49" t="str">
        <f>IFERROR(IF(U$3="","",IF(TEXT(U$3,"ddd")="CN","CN",VLOOKUP($A17&amp;U$3,Data_Cong!$R:$AI,10,0))),"")</f>
        <v>x</v>
      </c>
      <c r="V17" s="49" t="str">
        <f>IFERROR(IF(V$3="","",IF(TEXT(V$3,"ddd")="CN","CN",VLOOKUP($A17&amp;V$3,Data_Cong!$R:$AI,10,0))),"")</f>
        <v>x</v>
      </c>
      <c r="W17" s="49" t="str">
        <f>IFERROR(IF(W$3="","",IF(TEXT(W$3,"ddd")="CN","CN",VLOOKUP($A17&amp;W$3,Data_Cong!$R:$AI,10,0))),"")</f>
        <v>x</v>
      </c>
      <c r="X17" s="49" t="str">
        <f>IFERROR(IF(X$3="","",IF(TEXT(X$3,"ddd")="CN","CN",VLOOKUP($A17&amp;X$3,Data_Cong!$R:$AI,10,0))),"")</f>
        <v>CN</v>
      </c>
      <c r="Y17" s="49" t="str">
        <f>IFERROR(IF(Y$3="","",IF(TEXT(Y$3,"ddd")="CN","CN",VLOOKUP($A17&amp;Y$3,Data_Cong!$R:$AI,10,0))),"")</f>
        <v>x</v>
      </c>
      <c r="Z17" s="49" t="str">
        <f>IFERROR(IF(Z$3="","",IF(TEXT(Z$3,"ddd")="CN","CN",VLOOKUP($A17&amp;Z$3,Data_Cong!$R:$AI,10,0))),"")</f>
        <v>x</v>
      </c>
      <c r="AA17" s="49" t="str">
        <f>IFERROR(IF(AA$3="","",IF(TEXT(AA$3,"ddd")="CN","CN",VLOOKUP($A17&amp;AA$3,Data_Cong!$R:$AI,10,0))),"")</f>
        <v>x</v>
      </c>
      <c r="AB17" s="49" t="str">
        <f>IFERROR(IF(AB$3="","",IF(TEXT(AB$3,"ddd")="CN","CN",VLOOKUP($A17&amp;AB$3,Data_Cong!$R:$AI,10,0))),"")</f>
        <v>x</v>
      </c>
      <c r="AC17" s="49" t="str">
        <f>IFERROR(IF(AC$3="","",IF(TEXT(AC$3,"ddd")="CN","CN",VLOOKUP($A17&amp;AC$3,Data_Cong!$R:$AI,10,0))),"")</f>
        <v>x</v>
      </c>
      <c r="AD17" s="49" t="str">
        <f>IFERROR(IF(AD$3="","",IF(TEXT(AD$3,"ddd")="CN","CN",VLOOKUP($A17&amp;AD$3,Data_Cong!$R:$AI,10,0))),"")</f>
        <v>x</v>
      </c>
      <c r="AE17" s="49" t="str">
        <f>IFERROR(IF(AE$3="","",IF(TEXT(AE$3,"ddd")="CN","CN",VLOOKUP($A17&amp;AE$3,Data_Cong!$R:$AI,10,0))),"")</f>
        <v>CN</v>
      </c>
      <c r="AF17" s="49" t="str">
        <f>IFERROR(IF(AF$3="","",IF(TEXT(AF$3,"ddd")="CN","CN",VLOOKUP($A17&amp;AF$3,Data_Cong!$R:$AI,10,0))),"")</f>
        <v>x</v>
      </c>
      <c r="AG17" s="49" t="str">
        <f>IFERROR(IF(AG$3="","",IF(TEXT(AG$3,"ddd")="CN","CN",VLOOKUP($A17&amp;AG$3,Data_Cong!$R:$AI,10,0))),"")</f>
        <v/>
      </c>
      <c r="AH17" s="49" t="str">
        <f>IFERROR(IF(AH$3="","",IF(TEXT(AH$3,"ddd")="CN","CN",VLOOKUP($A17&amp;AH$3,Data_Cong!$R:$AI,10,0))),"")</f>
        <v/>
      </c>
      <c r="AI17" s="50" cm="1">
        <f t="array" ref="AI17">SUMPRODUCT((D17:AH17="x")*1+(D17:AH17="P")*1+(D17:AH17="1/2P")*1+(D17:AH17="1/2")*0.5+(D17:AH17="2x")*2+(D17:AH17="L")*1)</f>
        <v>25</v>
      </c>
      <c r="AJ17" s="51">
        <f>SUMIF(Data_Cong!A:A,$A17,Data_Cong!AE:AE)</f>
        <v>0</v>
      </c>
      <c r="AK17" s="52">
        <f>COUNTIFS(Data_Cong!AB:AB,"&gt;6",Data_Cong!A:A,A17)</f>
        <v>2</v>
      </c>
      <c r="AL17" s="53" t="str">
        <f>IF(MONTH(VLOOKUP(A17,Data_NV!$A:$J,10,0))=BANG_CHAM_CONG!$R$2,"T"&amp;BANG_CHAM_CONG!$R$2,"")</f>
        <v/>
      </c>
      <c r="AM17" s="96">
        <v>6</v>
      </c>
      <c r="AN17" s="93" cm="1">
        <f t="array" ref="AN17">IF((AM17+1)&gt;12,12,(AM17+1))-SUMPRODUCT((D17:AH17="P")*1+(D17:AH17="1/2P")*0.5)</f>
        <v>6</v>
      </c>
      <c r="AO17" s="50"/>
      <c r="AP17" s="54">
        <f>SUMIFS(Data_Cong!AF:AF,Data_Cong!A:A,$A17)+SUMIFS(Data_Cong!AG:AG,Data_Cong!A:A,$A17)</f>
        <v>80000</v>
      </c>
    </row>
    <row r="18" spans="1:42" ht="15.75" x14ac:dyDescent="0.25">
      <c r="A18" s="28" t="s">
        <v>566</v>
      </c>
      <c r="B18" s="47">
        <v>4</v>
      </c>
      <c r="C18" s="48" t="s">
        <v>1255</v>
      </c>
      <c r="D18" s="49" t="str">
        <f>IFERROR(IF(D$3="","",IF(TEXT(D$3,"ddd")="CN","CN",VLOOKUP($A18&amp;D$3,Data_Cong!$R:$AI,10,0))),"")</f>
        <v>L</v>
      </c>
      <c r="E18" s="49" t="str">
        <f>IFERROR(IF(E$3="","",IF(TEXT(E$3,"ddd")="CN","CN",VLOOKUP($A18&amp;E$3,Data_Cong!$R:$AI,10,0))),"")</f>
        <v>L</v>
      </c>
      <c r="F18" s="49" t="str">
        <f>IFERROR(IF(F$3="","",IF(TEXT(F$3,"ddd")="CN","CN",VLOOKUP($A18&amp;F$3,Data_Cong!$R:$AI,10,0))),"")</f>
        <v>x</v>
      </c>
      <c r="G18" s="49" t="str">
        <f>IFERROR(IF(G$3="","",IF(TEXT(G$3,"ddd")="CN","CN",VLOOKUP($A18&amp;G$3,Data_Cong!$R:$AI,10,0))),"")</f>
        <v>x</v>
      </c>
      <c r="H18" s="49" t="str">
        <f>IFERROR(IF(H$3="","",IF(TEXT(H$3,"ddd")="CN","CN",VLOOKUP($A18&amp;H$3,Data_Cong!$R:$AI,10,0))),"")</f>
        <v>x</v>
      </c>
      <c r="I18" s="49" t="str">
        <f>IFERROR(IF(I$3="","",IF(TEXT(I$3,"ddd")="CN","CN",VLOOKUP($A18&amp;I$3,Data_Cong!$R:$AI,10,0))),"")</f>
        <v>x</v>
      </c>
      <c r="J18" s="49" t="str">
        <f>IFERROR(IF(J$3="","",IF(TEXT(J$3,"ddd")="CN","CN",VLOOKUP($A18&amp;J$3,Data_Cong!$R:$AI,10,0))),"")</f>
        <v>CN</v>
      </c>
      <c r="K18" s="49" t="str">
        <f>IFERROR(IF(K$3="","",IF(TEXT(K$3,"ddd")="CN","CN",VLOOKUP($A18&amp;K$3,Data_Cong!$R:$AI,10,0))),"")</f>
        <v>x</v>
      </c>
      <c r="L18" s="49" t="str">
        <f>IFERROR(IF(L$3="","",IF(TEXT(L$3,"ddd")="CN","CN",VLOOKUP($A18&amp;L$3,Data_Cong!$R:$AI,10,0))),"")</f>
        <v>x</v>
      </c>
      <c r="M18" s="49" t="str">
        <f>IFERROR(IF(M$3="","",IF(TEXT(M$3,"ddd")="CN","CN",VLOOKUP($A18&amp;M$3,Data_Cong!$R:$AI,10,0))),"")</f>
        <v>x</v>
      </c>
      <c r="N18" s="49" t="str">
        <f>IFERROR(IF(N$3="","",IF(TEXT(N$3,"ddd")="CN","CN",VLOOKUP($A18&amp;N$3,Data_Cong!$R:$AI,10,0))),"")</f>
        <v>x</v>
      </c>
      <c r="O18" s="49" t="str">
        <f>IFERROR(IF(O$3="","",IF(TEXT(O$3,"ddd")="CN","CN",VLOOKUP($A18&amp;O$3,Data_Cong!$R:$AI,10,0))),"")</f>
        <v>x</v>
      </c>
      <c r="P18" s="49" t="str">
        <f>IFERROR(IF(P$3="","",IF(TEXT(P$3,"ddd")="CN","CN",VLOOKUP($A18&amp;P$3,Data_Cong!$R:$AI,10,0))),"")</f>
        <v>x</v>
      </c>
      <c r="Q18" s="49" t="str">
        <f>IFERROR(IF(Q$3="","",IF(TEXT(Q$3,"ddd")="CN","CN",VLOOKUP($A18&amp;Q$3,Data_Cong!$R:$AI,10,0))),"")</f>
        <v>CN</v>
      </c>
      <c r="R18" s="49" t="str">
        <f>IFERROR(IF(R$3="","",IF(TEXT(R$3,"ddd")="CN","CN",VLOOKUP($A18&amp;R$3,Data_Cong!$R:$AI,10,0))),"")</f>
        <v>x</v>
      </c>
      <c r="S18" s="49" t="str">
        <f>IFERROR(IF(S$3="","",IF(TEXT(S$3,"ddd")="CN","CN",VLOOKUP($A18&amp;S$3,Data_Cong!$R:$AI,10,0))),"")</f>
        <v>x</v>
      </c>
      <c r="T18" s="49" t="str">
        <f>IFERROR(IF(T$3="","",IF(TEXT(T$3,"ddd")="CN","CN",VLOOKUP($A18&amp;T$3,Data_Cong!$R:$AI,10,0))),"")</f>
        <v>x</v>
      </c>
      <c r="U18" s="49" t="str">
        <f>IFERROR(IF(U$3="","",IF(TEXT(U$3,"ddd")="CN","CN",VLOOKUP($A18&amp;U$3,Data_Cong!$R:$AI,10,0))),"")</f>
        <v>x</v>
      </c>
      <c r="V18" s="49" t="str">
        <f>IFERROR(IF(V$3="","",IF(TEXT(V$3,"ddd")="CN","CN",VLOOKUP($A18&amp;V$3,Data_Cong!$R:$AI,10,0))),"")</f>
        <v>x</v>
      </c>
      <c r="W18" s="49" t="str">
        <f>IFERROR(IF(W$3="","",IF(TEXT(W$3,"ddd")="CN","CN",VLOOKUP($A18&amp;W$3,Data_Cong!$R:$AI,10,0))),"")</f>
        <v>x</v>
      </c>
      <c r="X18" s="49" t="str">
        <f>IFERROR(IF(X$3="","",IF(TEXT(X$3,"ddd")="CN","CN",VLOOKUP($A18&amp;X$3,Data_Cong!$R:$AI,10,0))),"")</f>
        <v>CN</v>
      </c>
      <c r="Y18" s="49" t="str">
        <f>IFERROR(IF(Y$3="","",IF(TEXT(Y$3,"ddd")="CN","CN",VLOOKUP($A18&amp;Y$3,Data_Cong!$R:$AI,10,0))),"")</f>
        <v>x</v>
      </c>
      <c r="Z18" s="49" t="str">
        <f>IFERROR(IF(Z$3="","",IF(TEXT(Z$3,"ddd")="CN","CN",VLOOKUP($A18&amp;Z$3,Data_Cong!$R:$AI,10,0))),"")</f>
        <v>x</v>
      </c>
      <c r="AA18" s="49" t="str">
        <f>IFERROR(IF(AA$3="","",IF(TEXT(AA$3,"ddd")="CN","CN",VLOOKUP($A18&amp;AA$3,Data_Cong!$R:$AI,10,0))),"")</f>
        <v>x</v>
      </c>
      <c r="AB18" s="49" t="str">
        <f>IFERROR(IF(AB$3="","",IF(TEXT(AB$3,"ddd")="CN","CN",VLOOKUP($A18&amp;AB$3,Data_Cong!$R:$AI,10,0))),"")</f>
        <v>x</v>
      </c>
      <c r="AC18" s="49" t="str">
        <f>IFERROR(IF(AC$3="","",IF(TEXT(AC$3,"ddd")="CN","CN",VLOOKUP($A18&amp;AC$3,Data_Cong!$R:$AI,10,0))),"")</f>
        <v>x</v>
      </c>
      <c r="AD18" s="49" t="str">
        <f>IFERROR(IF(AD$3="","",IF(TEXT(AD$3,"ddd")="CN","CN",VLOOKUP($A18&amp;AD$3,Data_Cong!$R:$AI,10,0))),"")</f>
        <v>x</v>
      </c>
      <c r="AE18" s="49" t="str">
        <f>IFERROR(IF(AE$3="","",IF(TEXT(AE$3,"ddd")="CN","CN",VLOOKUP($A18&amp;AE$3,Data_Cong!$R:$AI,10,0))),"")</f>
        <v>CN</v>
      </c>
      <c r="AF18" s="49" t="str">
        <f>IFERROR(IF(AF$3="","",IF(TEXT(AF$3,"ddd")="CN","CN",VLOOKUP($A18&amp;AF$3,Data_Cong!$R:$AI,10,0))),"")</f>
        <v>x</v>
      </c>
      <c r="AG18" s="49" t="str">
        <f>IFERROR(IF(AG$3="","",IF(TEXT(AG$3,"ddd")="CN","CN",VLOOKUP($A18&amp;AG$3,Data_Cong!$R:$AI,10,0))),"")</f>
        <v>x</v>
      </c>
      <c r="AH18" s="49" t="str">
        <f>IFERROR(IF(AH$3="","",IF(TEXT(AH$3,"ddd")="CN","CN",VLOOKUP($A18&amp;AH$3,Data_Cong!$R:$AI,10,0))),"")</f>
        <v/>
      </c>
      <c r="AI18" s="50" cm="1">
        <f t="array" ref="AI18">SUMPRODUCT((D18:AH18="x")*1+(D18:AH18="P")*1+(D18:AH18="1/2P")*1+(D18:AH18="1/2")*0.5+(D18:AH18="2x")*2+(D18:AH18="L")*1)</f>
        <v>26</v>
      </c>
      <c r="AJ18" s="51">
        <f>SUMIF(Data_Cong!A:A,$A18,Data_Cong!AE:AE)</f>
        <v>0</v>
      </c>
      <c r="AK18" s="52">
        <f>COUNTIFS(Data_Cong!AB:AB,"&gt;6",Data_Cong!A:A,A18)</f>
        <v>2</v>
      </c>
      <c r="AL18" s="53" t="str">
        <f>IF(MONTH(VLOOKUP(A18,Data_NV!$A:$J,10,0))=BANG_CHAM_CONG!$R$2,"T"&amp;BANG_CHAM_CONG!$R$2,"")</f>
        <v/>
      </c>
      <c r="AM18" s="96">
        <v>8</v>
      </c>
      <c r="AN18" s="93" cm="1">
        <f t="array" ref="AN18">IF((AM18+1)&gt;12,12,(AM18+1))-SUMPRODUCT((D18:AH18="P")*1+(D18:AH18="1/2P")*0.5)</f>
        <v>9</v>
      </c>
      <c r="AO18" s="50"/>
      <c r="AP18" s="54">
        <f>SUMIFS(Data_Cong!AF:AF,Data_Cong!A:A,$A18)+SUMIFS(Data_Cong!AG:AG,Data_Cong!A:A,$A18)</f>
        <v>60000</v>
      </c>
    </row>
    <row r="19" spans="1:42" ht="15.75" x14ac:dyDescent="0.25">
      <c r="A19" s="28" t="s">
        <v>163</v>
      </c>
      <c r="B19" s="47">
        <v>5</v>
      </c>
      <c r="C19" s="48" t="s">
        <v>1256</v>
      </c>
      <c r="D19" s="49" t="str">
        <f>IFERROR(IF(D$3="","",IF(TEXT(D$3,"ddd")="CN","CN",VLOOKUP($A19&amp;D$3,Data_Cong!$R:$AI,10,0))),"")</f>
        <v>L</v>
      </c>
      <c r="E19" s="49" t="str">
        <f>IFERROR(IF(E$3="","",IF(TEXT(E$3,"ddd")="CN","CN",VLOOKUP($A19&amp;E$3,Data_Cong!$R:$AI,10,0))),"")</f>
        <v>L</v>
      </c>
      <c r="F19" s="49" t="str">
        <f>IFERROR(IF(F$3="","",IF(TEXT(F$3,"ddd")="CN","CN",VLOOKUP($A19&amp;F$3,Data_Cong!$R:$AI,10,0))),"")</f>
        <v>x</v>
      </c>
      <c r="G19" s="49" t="str">
        <f>IFERROR(IF(G$3="","",IF(TEXT(G$3,"ddd")="CN","CN",VLOOKUP($A19&amp;G$3,Data_Cong!$R:$AI,10,0))),"")</f>
        <v>x</v>
      </c>
      <c r="H19" s="49" t="str">
        <f>IFERROR(IF(H$3="","",IF(TEXT(H$3,"ddd")="CN","CN",VLOOKUP($A19&amp;H$3,Data_Cong!$R:$AI,10,0))),"")</f>
        <v>x</v>
      </c>
      <c r="I19" s="49" t="str">
        <f>IFERROR(IF(I$3="","",IF(TEXT(I$3,"ddd")="CN","CN",VLOOKUP($A19&amp;I$3,Data_Cong!$R:$AI,10,0))),"")</f>
        <v>x</v>
      </c>
      <c r="J19" s="49" t="str">
        <f>IFERROR(IF(J$3="","",IF(TEXT(J$3,"ddd")="CN","CN",VLOOKUP($A19&amp;J$3,Data_Cong!$R:$AI,10,0))),"")</f>
        <v>CN</v>
      </c>
      <c r="K19" s="49" t="str">
        <f>IFERROR(IF(K$3="","",IF(TEXT(K$3,"ddd")="CN","CN",VLOOKUP($A19&amp;K$3,Data_Cong!$R:$AI,10,0))),"")</f>
        <v>p</v>
      </c>
      <c r="L19" s="49" t="str">
        <f>IFERROR(IF(L$3="","",IF(TEXT(L$3,"ddd")="CN","CN",VLOOKUP($A19&amp;L$3,Data_Cong!$R:$AI,10,0))),"")</f>
        <v>x</v>
      </c>
      <c r="M19" s="49" t="str">
        <f>IFERROR(IF(M$3="","",IF(TEXT(M$3,"ddd")="CN","CN",VLOOKUP($A19&amp;M$3,Data_Cong!$R:$AI,10,0))),"")</f>
        <v>x</v>
      </c>
      <c r="N19" s="49" t="str">
        <f>IFERROR(IF(N$3="","",IF(TEXT(N$3,"ddd")="CN","CN",VLOOKUP($A19&amp;N$3,Data_Cong!$R:$AI,10,0))),"")</f>
        <v>x</v>
      </c>
      <c r="O19" s="49" t="str">
        <f>IFERROR(IF(O$3="","",IF(TEXT(O$3,"ddd")="CN","CN",VLOOKUP($A19&amp;O$3,Data_Cong!$R:$AI,10,0))),"")</f>
        <v>x</v>
      </c>
      <c r="P19" s="49" t="str">
        <f>IFERROR(IF(P$3="","",IF(TEXT(P$3,"ddd")="CN","CN",VLOOKUP($A19&amp;P$3,Data_Cong!$R:$AI,10,0))),"")</f>
        <v>x</v>
      </c>
      <c r="Q19" s="49" t="str">
        <f>IFERROR(IF(Q$3="","",IF(TEXT(Q$3,"ddd")="CN","CN",VLOOKUP($A19&amp;Q$3,Data_Cong!$R:$AI,10,0))),"")</f>
        <v>CN</v>
      </c>
      <c r="R19" s="49" t="str">
        <f>IFERROR(IF(R$3="","",IF(TEXT(R$3,"ddd")="CN","CN",VLOOKUP($A19&amp;R$3,Data_Cong!$R:$AI,10,0))),"")</f>
        <v>x</v>
      </c>
      <c r="S19" s="49" t="str">
        <f>IFERROR(IF(S$3="","",IF(TEXT(S$3,"ddd")="CN","CN",VLOOKUP($A19&amp;S$3,Data_Cong!$R:$AI,10,0))),"")</f>
        <v>x</v>
      </c>
      <c r="T19" s="49" t="str">
        <f>IFERROR(IF(T$3="","",IF(TEXT(T$3,"ddd")="CN","CN",VLOOKUP($A19&amp;T$3,Data_Cong!$R:$AI,10,0))),"")</f>
        <v>x</v>
      </c>
      <c r="U19" s="49" t="str">
        <f>IFERROR(IF(U$3="","",IF(TEXT(U$3,"ddd")="CN","CN",VLOOKUP($A19&amp;U$3,Data_Cong!$R:$AI,10,0))),"")</f>
        <v>1/2</v>
      </c>
      <c r="V19" s="49" t="str">
        <f>IFERROR(IF(V$3="","",IF(TEXT(V$3,"ddd")="CN","CN",VLOOKUP($A19&amp;V$3,Data_Cong!$R:$AI,10,0))),"")</f>
        <v>x</v>
      </c>
      <c r="W19" s="49" t="str">
        <f>IFERROR(IF(W$3="","",IF(TEXT(W$3,"ddd")="CN","CN",VLOOKUP($A19&amp;W$3,Data_Cong!$R:$AI,10,0))),"")</f>
        <v>x</v>
      </c>
      <c r="X19" s="49" t="str">
        <f>IFERROR(IF(X$3="","",IF(TEXT(X$3,"ddd")="CN","CN",VLOOKUP($A19&amp;X$3,Data_Cong!$R:$AI,10,0))),"")</f>
        <v>CN</v>
      </c>
      <c r="Y19" s="49" t="str">
        <f>IFERROR(IF(Y$3="","",IF(TEXT(Y$3,"ddd")="CN","CN",VLOOKUP($A19&amp;Y$3,Data_Cong!$R:$AI,10,0))),"")</f>
        <v>x</v>
      </c>
      <c r="Z19" s="49" t="str">
        <f>IFERROR(IF(Z$3="","",IF(TEXT(Z$3,"ddd")="CN","CN",VLOOKUP($A19&amp;Z$3,Data_Cong!$R:$AI,10,0))),"")</f>
        <v>x</v>
      </c>
      <c r="AA19" s="49" t="str">
        <f>IFERROR(IF(AA$3="","",IF(TEXT(AA$3,"ddd")="CN","CN",VLOOKUP($A19&amp;AA$3,Data_Cong!$R:$AI,10,0))),"")</f>
        <v>x</v>
      </c>
      <c r="AB19" s="49" t="str">
        <f>IFERROR(IF(AB$3="","",IF(TEXT(AB$3,"ddd")="CN","CN",VLOOKUP($A19&amp;AB$3,Data_Cong!$R:$AI,10,0))),"")</f>
        <v>x</v>
      </c>
      <c r="AC19" s="49" t="str">
        <f>IFERROR(IF(AC$3="","",IF(TEXT(AC$3,"ddd")="CN","CN",VLOOKUP($A19&amp;AC$3,Data_Cong!$R:$AI,10,0))),"")</f>
        <v>x</v>
      </c>
      <c r="AD19" s="49" t="str">
        <f>IFERROR(IF(AD$3="","",IF(TEXT(AD$3,"ddd")="CN","CN",VLOOKUP($A19&amp;AD$3,Data_Cong!$R:$AI,10,0))),"")</f>
        <v>x</v>
      </c>
      <c r="AE19" s="49" t="str">
        <f>IFERROR(IF(AE$3="","",IF(TEXT(AE$3,"ddd")="CN","CN",VLOOKUP($A19&amp;AE$3,Data_Cong!$R:$AI,10,0))),"")</f>
        <v>CN</v>
      </c>
      <c r="AF19" s="49" t="str">
        <f>IFERROR(IF(AF$3="","",IF(TEXT(AF$3,"ddd")="CN","CN",VLOOKUP($A19&amp;AF$3,Data_Cong!$R:$AI,10,0))),"")</f>
        <v>x</v>
      </c>
      <c r="AG19" s="49" t="str">
        <f>IFERROR(IF(AG$3="","",IF(TEXT(AG$3,"ddd")="CN","CN",VLOOKUP($A19&amp;AG$3,Data_Cong!$R:$AI,10,0))),"")</f>
        <v>x</v>
      </c>
      <c r="AH19" s="49" t="str">
        <f>IFERROR(IF(AH$3="","",IF(TEXT(AH$3,"ddd")="CN","CN",VLOOKUP($A19&amp;AH$3,Data_Cong!$R:$AI,10,0))),"")</f>
        <v/>
      </c>
      <c r="AI19" s="50" cm="1">
        <f t="array" ref="AI19">SUMPRODUCT((D19:AH19="x")*1+(D19:AH19="P")*1+(D19:AH19="1/2P")*1+(D19:AH19="1/2")*0.5+(D19:AH19="2x")*2+(D19:AH19="L")*1)</f>
        <v>25.5</v>
      </c>
      <c r="AJ19" s="51">
        <f>SUMIF(Data_Cong!A:A,$A19,Data_Cong!AE:AE)</f>
        <v>0</v>
      </c>
      <c r="AK19" s="52">
        <f>COUNTIFS(Data_Cong!AB:AB,"&gt;6",Data_Cong!A:A,A19)</f>
        <v>2</v>
      </c>
      <c r="AL19" s="53" t="str">
        <f>IF(MONTH(VLOOKUP(A19,Data_NV!$A:$J,10,0))=BANG_CHAM_CONG!$R$2,"T"&amp;BANG_CHAM_CONG!$R$2,"")</f>
        <v/>
      </c>
      <c r="AM19" s="96">
        <v>6</v>
      </c>
      <c r="AN19" s="93" cm="1">
        <f t="array" ref="AN19">IF((AM19+1)&gt;12,12,(AM19+1))-SUMPRODUCT((D19:AH19="P")*1+(D19:AH19="1/2P")*0.5)</f>
        <v>6</v>
      </c>
      <c r="AO19" s="50"/>
      <c r="AP19" s="54">
        <f>SUMIFS(Data_Cong!AF:AF,Data_Cong!A:A,$A19)+SUMIFS(Data_Cong!AG:AG,Data_Cong!A:A,$A19)</f>
        <v>30000</v>
      </c>
    </row>
    <row r="20" spans="1:42" ht="15.75" x14ac:dyDescent="0.25">
      <c r="A20" s="28" t="s">
        <v>141</v>
      </c>
      <c r="B20" s="47">
        <v>6</v>
      </c>
      <c r="C20" s="48" t="s">
        <v>1257</v>
      </c>
      <c r="D20" s="49" t="str">
        <f>IFERROR(IF(D$3="","",IF(TEXT(D$3,"ddd")="CN","CN",VLOOKUP($A20&amp;D$3,Data_Cong!$R:$AI,10,0))),"")</f>
        <v>L</v>
      </c>
      <c r="E20" s="49" t="str">
        <f>IFERROR(IF(E$3="","",IF(TEXT(E$3,"ddd")="CN","CN",VLOOKUP($A20&amp;E$3,Data_Cong!$R:$AI,10,0))),"")</f>
        <v>L</v>
      </c>
      <c r="F20" s="49" t="str">
        <f>IFERROR(IF(F$3="","",IF(TEXT(F$3,"ddd")="CN","CN",VLOOKUP($A20&amp;F$3,Data_Cong!$R:$AI,10,0))),"")</f>
        <v>x</v>
      </c>
      <c r="G20" s="49" t="str">
        <f>IFERROR(IF(G$3="","",IF(TEXT(G$3,"ddd")="CN","CN",VLOOKUP($A20&amp;G$3,Data_Cong!$R:$AI,10,0))),"")</f>
        <v>x</v>
      </c>
      <c r="H20" s="49" t="str">
        <f>IFERROR(IF(H$3="","",IF(TEXT(H$3,"ddd")="CN","CN",VLOOKUP($A20&amp;H$3,Data_Cong!$R:$AI,10,0))),"")</f>
        <v>x</v>
      </c>
      <c r="I20" s="49" t="str">
        <f>IFERROR(IF(I$3="","",IF(TEXT(I$3,"ddd")="CN","CN",VLOOKUP($A20&amp;I$3,Data_Cong!$R:$AI,10,0))),"")</f>
        <v>x</v>
      </c>
      <c r="J20" s="49" t="str">
        <f>IFERROR(IF(J$3="","",IF(TEXT(J$3,"ddd")="CN","CN",VLOOKUP($A20&amp;J$3,Data_Cong!$R:$AI,10,0))),"")</f>
        <v>CN</v>
      </c>
      <c r="K20" s="49" t="str">
        <f>IFERROR(IF(K$3="","",IF(TEXT(K$3,"ddd")="CN","CN",VLOOKUP($A20&amp;K$3,Data_Cong!$R:$AI,10,0))),"")</f>
        <v>x</v>
      </c>
      <c r="L20" s="49" t="str">
        <f>IFERROR(IF(L$3="","",IF(TEXT(L$3,"ddd")="CN","CN",VLOOKUP($A20&amp;L$3,Data_Cong!$R:$AI,10,0))),"")</f>
        <v>x</v>
      </c>
      <c r="M20" s="49" t="str">
        <f>IFERROR(IF(M$3="","",IF(TEXT(M$3,"ddd")="CN","CN",VLOOKUP($A20&amp;M$3,Data_Cong!$R:$AI,10,0))),"")</f>
        <v>x</v>
      </c>
      <c r="N20" s="49" t="str">
        <f>IFERROR(IF(N$3="","",IF(TEXT(N$3,"ddd")="CN","CN",VLOOKUP($A20&amp;N$3,Data_Cong!$R:$AI,10,0))),"")</f>
        <v>x</v>
      </c>
      <c r="O20" s="49" t="str">
        <f>IFERROR(IF(O$3="","",IF(TEXT(O$3,"ddd")="CN","CN",VLOOKUP($A20&amp;O$3,Data_Cong!$R:$AI,10,0))),"")</f>
        <v>x</v>
      </c>
      <c r="P20" s="49" t="str">
        <f>IFERROR(IF(P$3="","",IF(TEXT(P$3,"ddd")="CN","CN",VLOOKUP($A20&amp;P$3,Data_Cong!$R:$AI,10,0))),"")</f>
        <v>P</v>
      </c>
      <c r="Q20" s="49" t="str">
        <f>IFERROR(IF(Q$3="","",IF(TEXT(Q$3,"ddd")="CN","CN",VLOOKUP($A20&amp;Q$3,Data_Cong!$R:$AI,10,0))),"")</f>
        <v>CN</v>
      </c>
      <c r="R20" s="49" t="str">
        <f>IFERROR(IF(R$3="","",IF(TEXT(R$3,"ddd")="CN","CN",VLOOKUP($A20&amp;R$3,Data_Cong!$R:$AI,10,0))),"")</f>
        <v>x</v>
      </c>
      <c r="S20" s="49" t="str">
        <f>IFERROR(IF(S$3="","",IF(TEXT(S$3,"ddd")="CN","CN",VLOOKUP($A20&amp;S$3,Data_Cong!$R:$AI,10,0))),"")</f>
        <v>x</v>
      </c>
      <c r="T20" s="49" t="str">
        <f>IFERROR(IF(T$3="","",IF(TEXT(T$3,"ddd")="CN","CN",VLOOKUP($A20&amp;T$3,Data_Cong!$R:$AI,10,0))),"")</f>
        <v>x</v>
      </c>
      <c r="U20" s="49" t="str">
        <f>IFERROR(IF(U$3="","",IF(TEXT(U$3,"ddd")="CN","CN",VLOOKUP($A20&amp;U$3,Data_Cong!$R:$AI,10,0))),"")</f>
        <v>x</v>
      </c>
      <c r="V20" s="49" t="str">
        <f>IFERROR(IF(V$3="","",IF(TEXT(V$3,"ddd")="CN","CN",VLOOKUP($A20&amp;V$3,Data_Cong!$R:$AI,10,0))),"")</f>
        <v>x</v>
      </c>
      <c r="W20" s="49" t="str">
        <f>IFERROR(IF(W$3="","",IF(TEXT(W$3,"ddd")="CN","CN",VLOOKUP($A20&amp;W$3,Data_Cong!$R:$AI,10,0))),"")</f>
        <v>x</v>
      </c>
      <c r="X20" s="49" t="str">
        <f>IFERROR(IF(X$3="","",IF(TEXT(X$3,"ddd")="CN","CN",VLOOKUP($A20&amp;X$3,Data_Cong!$R:$AI,10,0))),"")</f>
        <v>CN</v>
      </c>
      <c r="Y20" s="49" t="str">
        <f>IFERROR(IF(Y$3="","",IF(TEXT(Y$3,"ddd")="CN","CN",VLOOKUP($A20&amp;Y$3,Data_Cong!$R:$AI,10,0))),"")</f>
        <v>x</v>
      </c>
      <c r="Z20" s="49" t="str">
        <f>IFERROR(IF(Z$3="","",IF(TEXT(Z$3,"ddd")="CN","CN",VLOOKUP($A20&amp;Z$3,Data_Cong!$R:$AI,10,0))),"")</f>
        <v>x</v>
      </c>
      <c r="AA20" s="49" t="str">
        <f>IFERROR(IF(AA$3="","",IF(TEXT(AA$3,"ddd")="CN","CN",VLOOKUP($A20&amp;AA$3,Data_Cong!$R:$AI,10,0))),"")</f>
        <v>x</v>
      </c>
      <c r="AB20" s="49" t="str">
        <f>IFERROR(IF(AB$3="","",IF(TEXT(AB$3,"ddd")="CN","CN",VLOOKUP($A20&amp;AB$3,Data_Cong!$R:$AI,10,0))),"")</f>
        <v>x</v>
      </c>
      <c r="AC20" s="49" t="str">
        <f>IFERROR(IF(AC$3="","",IF(TEXT(AC$3,"ddd")="CN","CN",VLOOKUP($A20&amp;AC$3,Data_Cong!$R:$AI,10,0))),"")</f>
        <v>x</v>
      </c>
      <c r="AD20" s="49" t="str">
        <f>IFERROR(IF(AD$3="","",IF(TEXT(AD$3,"ddd")="CN","CN",VLOOKUP($A20&amp;AD$3,Data_Cong!$R:$AI,10,0))),"")</f>
        <v>x</v>
      </c>
      <c r="AE20" s="49" t="str">
        <f>IFERROR(IF(AE$3="","",IF(TEXT(AE$3,"ddd")="CN","CN",VLOOKUP($A20&amp;AE$3,Data_Cong!$R:$AI,10,0))),"")</f>
        <v>CN</v>
      </c>
      <c r="AF20" s="49" t="str">
        <f>IFERROR(IF(AF$3="","",IF(TEXT(AF$3,"ddd")="CN","CN",VLOOKUP($A20&amp;AF$3,Data_Cong!$R:$AI,10,0))),"")</f>
        <v>x</v>
      </c>
      <c r="AG20" s="49" t="str">
        <f>IFERROR(IF(AG$3="","",IF(TEXT(AG$3,"ddd")="CN","CN",VLOOKUP($A20&amp;AG$3,Data_Cong!$R:$AI,10,0))),"")</f>
        <v>x</v>
      </c>
      <c r="AH20" s="49" t="str">
        <f>IFERROR(IF(AH$3="","",IF(TEXT(AH$3,"ddd")="CN","CN",VLOOKUP($A20&amp;AH$3,Data_Cong!$R:$AI,10,0))),"")</f>
        <v/>
      </c>
      <c r="AI20" s="50" cm="1">
        <f t="array" ref="AI20">SUMPRODUCT((D20:AH20="x")*1+(D20:AH20="P")*1+(D20:AH20="1/2P")*1+(D20:AH20="1/2")*0.5+(D20:AH20="2x")*2+(D20:AH20="L")*1)</f>
        <v>26</v>
      </c>
      <c r="AJ20" s="51">
        <f>SUMIF(Data_Cong!A:A,$A20,Data_Cong!AE:AE)</f>
        <v>0</v>
      </c>
      <c r="AK20" s="52">
        <f>COUNTIFS(Data_Cong!AB:AB,"&gt;6",Data_Cong!A:A,A20)</f>
        <v>0</v>
      </c>
      <c r="AL20" s="53" t="str">
        <f>IF(MONTH(VLOOKUP(A20,Data_NV!$A:$J,10,0))=BANG_CHAM_CONG!$R$2,"T"&amp;BANG_CHAM_CONG!$R$2,"")</f>
        <v/>
      </c>
      <c r="AM20" s="96">
        <v>10</v>
      </c>
      <c r="AN20" s="93" cm="1">
        <f t="array" ref="AN20">IF((AM20+1)&gt;12,12,(AM20+1))-SUMPRODUCT((D20:AH20="P")*1+(D20:AH20="1/2P")*0.5)</f>
        <v>10</v>
      </c>
      <c r="AO20" s="50"/>
      <c r="AP20" s="54">
        <f>SUMIFS(Data_Cong!AF:AF,Data_Cong!A:A,$A20)+SUMIFS(Data_Cong!AG:AG,Data_Cong!A:A,$A20)</f>
        <v>50000</v>
      </c>
    </row>
    <row r="21" spans="1:42" ht="15.75" x14ac:dyDescent="0.25">
      <c r="A21" s="28" t="s">
        <v>501</v>
      </c>
      <c r="B21" s="47">
        <v>7</v>
      </c>
      <c r="C21" s="48" t="s">
        <v>1258</v>
      </c>
      <c r="D21" s="49" t="str">
        <f>IFERROR(IF(D$3="","",IF(TEXT(D$3,"ddd")="CN","CN",VLOOKUP($A21&amp;D$3,Data_Cong!$R:$AI,10,0))),"")</f>
        <v>L</v>
      </c>
      <c r="E21" s="49" t="str">
        <f>IFERROR(IF(E$3="","",IF(TEXT(E$3,"ddd")="CN","CN",VLOOKUP($A21&amp;E$3,Data_Cong!$R:$AI,10,0))),"")</f>
        <v>L</v>
      </c>
      <c r="F21" s="49" t="str">
        <f>IFERROR(IF(F$3="","",IF(TEXT(F$3,"ddd")="CN","CN",VLOOKUP($A21&amp;F$3,Data_Cong!$R:$AI,10,0))),"")</f>
        <v>x</v>
      </c>
      <c r="G21" s="49" t="str">
        <f>IFERROR(IF(G$3="","",IF(TEXT(G$3,"ddd")="CN","CN",VLOOKUP($A21&amp;G$3,Data_Cong!$R:$AI,10,0))),"")</f>
        <v>x</v>
      </c>
      <c r="H21" s="49" t="str">
        <f>IFERROR(IF(H$3="","",IF(TEXT(H$3,"ddd")="CN","CN",VLOOKUP($A21&amp;H$3,Data_Cong!$R:$AI,10,0))),"")</f>
        <v>x</v>
      </c>
      <c r="I21" s="49" t="str">
        <f>IFERROR(IF(I$3="","",IF(TEXT(I$3,"ddd")="CN","CN",VLOOKUP($A21&amp;I$3,Data_Cong!$R:$AI,10,0))),"")</f>
        <v>x</v>
      </c>
      <c r="J21" s="49" t="str">
        <f>IFERROR(IF(J$3="","",IF(TEXT(J$3,"ddd")="CN","CN",VLOOKUP($A21&amp;J$3,Data_Cong!$R:$AI,10,0))),"")</f>
        <v>CN</v>
      </c>
      <c r="K21" s="49" t="str">
        <f>IFERROR(IF(K$3="","",IF(TEXT(K$3,"ddd")="CN","CN",VLOOKUP($A21&amp;K$3,Data_Cong!$R:$AI,10,0))),"")</f>
        <v>x</v>
      </c>
      <c r="L21" s="49" t="str">
        <f>IFERROR(IF(L$3="","",IF(TEXT(L$3,"ddd")="CN","CN",VLOOKUP($A21&amp;L$3,Data_Cong!$R:$AI,10,0))),"")</f>
        <v>x</v>
      </c>
      <c r="M21" s="49" t="str">
        <f>IFERROR(IF(M$3="","",IF(TEXT(M$3,"ddd")="CN","CN",VLOOKUP($A21&amp;M$3,Data_Cong!$R:$AI,10,0))),"")</f>
        <v>x</v>
      </c>
      <c r="N21" s="49" t="str">
        <f>IFERROR(IF(N$3="","",IF(TEXT(N$3,"ddd")="CN","CN",VLOOKUP($A21&amp;N$3,Data_Cong!$R:$AI,10,0))),"")</f>
        <v>x</v>
      </c>
      <c r="O21" s="49" t="str">
        <f>IFERROR(IF(O$3="","",IF(TEXT(O$3,"ddd")="CN","CN",VLOOKUP($A21&amp;O$3,Data_Cong!$R:$AI,10,0))),"")</f>
        <v>x</v>
      </c>
      <c r="P21" s="49" t="str">
        <f>IFERROR(IF(P$3="","",IF(TEXT(P$3,"ddd")="CN","CN",VLOOKUP($A21&amp;P$3,Data_Cong!$R:$AI,10,0))),"")</f>
        <v>x</v>
      </c>
      <c r="Q21" s="49" t="str">
        <f>IFERROR(IF(Q$3="","",IF(TEXT(Q$3,"ddd")="CN","CN",VLOOKUP($A21&amp;Q$3,Data_Cong!$R:$AI,10,0))),"")</f>
        <v>CN</v>
      </c>
      <c r="R21" s="49" t="str">
        <f>IFERROR(IF(R$3="","",IF(TEXT(R$3,"ddd")="CN","CN",VLOOKUP($A21&amp;R$3,Data_Cong!$R:$AI,10,0))),"")</f>
        <v>x</v>
      </c>
      <c r="S21" s="49" t="str">
        <f>IFERROR(IF(S$3="","",IF(TEXT(S$3,"ddd")="CN","CN",VLOOKUP($A21&amp;S$3,Data_Cong!$R:$AI,10,0))),"")</f>
        <v>x</v>
      </c>
      <c r="T21" s="49" t="str">
        <f>IFERROR(IF(T$3="","",IF(TEXT(T$3,"ddd")="CN","CN",VLOOKUP($A21&amp;T$3,Data_Cong!$R:$AI,10,0))),"")</f>
        <v>x</v>
      </c>
      <c r="U21" s="49" t="str">
        <f>IFERROR(IF(U$3="","",IF(TEXT(U$3,"ddd")="CN","CN",VLOOKUP($A21&amp;U$3,Data_Cong!$R:$AI,10,0))),"")</f>
        <v>x</v>
      </c>
      <c r="V21" s="49" t="str">
        <f>IFERROR(IF(V$3="","",IF(TEXT(V$3,"ddd")="CN","CN",VLOOKUP($A21&amp;V$3,Data_Cong!$R:$AI,10,0))),"")</f>
        <v>x</v>
      </c>
      <c r="W21" s="49" t="str">
        <f>IFERROR(IF(W$3="","",IF(TEXT(W$3,"ddd")="CN","CN",VLOOKUP($A21&amp;W$3,Data_Cong!$R:$AI,10,0))),"")</f>
        <v>x</v>
      </c>
      <c r="X21" s="49" t="str">
        <f>IFERROR(IF(X$3="","",IF(TEXT(X$3,"ddd")="CN","CN",VLOOKUP($A21&amp;X$3,Data_Cong!$R:$AI,10,0))),"")</f>
        <v>CN</v>
      </c>
      <c r="Y21" s="49" t="str">
        <f>IFERROR(IF(Y$3="","",IF(TEXT(Y$3,"ddd")="CN","CN",VLOOKUP($A21&amp;Y$3,Data_Cong!$R:$AI,10,0))),"")</f>
        <v>x</v>
      </c>
      <c r="Z21" s="49" t="str">
        <f>IFERROR(IF(Z$3="","",IF(TEXT(Z$3,"ddd")="CN","CN",VLOOKUP($A21&amp;Z$3,Data_Cong!$R:$AI,10,0))),"")</f>
        <v>x</v>
      </c>
      <c r="AA21" s="49" t="str">
        <f>IFERROR(IF(AA$3="","",IF(TEXT(AA$3,"ddd")="CN","CN",VLOOKUP($A21&amp;AA$3,Data_Cong!$R:$AI,10,0))),"")</f>
        <v>x</v>
      </c>
      <c r="AB21" s="49" t="str">
        <f>IFERROR(IF(AB$3="","",IF(TEXT(AB$3,"ddd")="CN","CN",VLOOKUP($A21&amp;AB$3,Data_Cong!$R:$AI,10,0))),"")</f>
        <v>x</v>
      </c>
      <c r="AC21" s="49" t="str">
        <f>IFERROR(IF(AC$3="","",IF(TEXT(AC$3,"ddd")="CN","CN",VLOOKUP($A21&amp;AC$3,Data_Cong!$R:$AI,10,0))),"")</f>
        <v>x</v>
      </c>
      <c r="AD21" s="49" t="str">
        <f>IFERROR(IF(AD$3="","",IF(TEXT(AD$3,"ddd")="CN","CN",VLOOKUP($A21&amp;AD$3,Data_Cong!$R:$AI,10,0))),"")</f>
        <v>x</v>
      </c>
      <c r="AE21" s="49" t="str">
        <f>IFERROR(IF(AE$3="","",IF(TEXT(AE$3,"ddd")="CN","CN",VLOOKUP($A21&amp;AE$3,Data_Cong!$R:$AI,10,0))),"")</f>
        <v>CN</v>
      </c>
      <c r="AF21" s="49" t="str">
        <f>IFERROR(IF(AF$3="","",IF(TEXT(AF$3,"ddd")="CN","CN",VLOOKUP($A21&amp;AF$3,Data_Cong!$R:$AI,10,0))),"")</f>
        <v>x</v>
      </c>
      <c r="AG21" s="49" t="str">
        <f>IFERROR(IF(AG$3="","",IF(TEXT(AG$3,"ddd")="CN","CN",VLOOKUP($A21&amp;AG$3,Data_Cong!$R:$AI,10,0))),"")</f>
        <v>x</v>
      </c>
      <c r="AH21" s="49" t="str">
        <f>IFERROR(IF(AH$3="","",IF(TEXT(AH$3,"ddd")="CN","CN",VLOOKUP($A21&amp;AH$3,Data_Cong!$R:$AI,10,0))),"")</f>
        <v/>
      </c>
      <c r="AI21" s="50" cm="1">
        <f t="array" ref="AI21">SUMPRODUCT((D21:AH21="x")*1+(D21:AH21="P")*1+(D21:AH21="1/2P")*1+(D21:AH21="1/2")*0.5+(D21:AH21="2x")*2+(D21:AH21="L")*1)</f>
        <v>26</v>
      </c>
      <c r="AJ21" s="51">
        <f>SUMIF(Data_Cong!A:A,$A21,Data_Cong!AE:AE)</f>
        <v>2494</v>
      </c>
      <c r="AK21" s="52">
        <f>COUNTIFS(Data_Cong!AB:AB,"&gt;6",Data_Cong!A:A,A21)</f>
        <v>0</v>
      </c>
      <c r="AL21" s="53" t="str">
        <f>IF(MONTH(VLOOKUP(A21,Data_NV!$A:$J,10,0))=BANG_CHAM_CONG!$R$2,"T"&amp;BANG_CHAM_CONG!$R$2,"")</f>
        <v/>
      </c>
      <c r="AM21" s="96">
        <v>12</v>
      </c>
      <c r="AN21" s="93" cm="1">
        <f t="array" ref="AN21">IF((AM21+1)&gt;12,12,(AM21+1))-SUMPRODUCT((D21:AH21="P")*1+(D21:AH21="1/2P")*0.5)</f>
        <v>12</v>
      </c>
      <c r="AO21" s="50"/>
      <c r="AP21" s="54">
        <f>SUMIFS(Data_Cong!AF:AF,Data_Cong!A:A,$A21)+SUMIFS(Data_Cong!AG:AG,Data_Cong!A:A,$A21)</f>
        <v>0</v>
      </c>
    </row>
    <row r="22" spans="1:42" ht="15.75" x14ac:dyDescent="0.25">
      <c r="A22" s="28" t="s">
        <v>433</v>
      </c>
      <c r="B22" s="47">
        <v>8</v>
      </c>
      <c r="C22" s="48" t="s">
        <v>1259</v>
      </c>
      <c r="D22" s="49" t="str">
        <f>IFERROR(IF(D$3="","",IF(TEXT(D$3,"ddd")="CN","CN",VLOOKUP($A22&amp;D$3,Data_Cong!$R:$AI,10,0))),"")</f>
        <v>L</v>
      </c>
      <c r="E22" s="49" t="str">
        <f>IFERROR(IF(E$3="","",IF(TEXT(E$3,"ddd")="CN","CN",VLOOKUP($A22&amp;E$3,Data_Cong!$R:$AI,10,0))),"")</f>
        <v>L</v>
      </c>
      <c r="F22" s="49" t="str">
        <f>IFERROR(IF(F$3="","",IF(TEXT(F$3,"ddd")="CN","CN",VLOOKUP($A22&amp;F$3,Data_Cong!$R:$AI,10,0))),"")</f>
        <v>x</v>
      </c>
      <c r="G22" s="49" t="str">
        <f>IFERROR(IF(G$3="","",IF(TEXT(G$3,"ddd")="CN","CN",VLOOKUP($A22&amp;G$3,Data_Cong!$R:$AI,10,0))),"")</f>
        <v>x</v>
      </c>
      <c r="H22" s="49" t="str">
        <f>IFERROR(IF(H$3="","",IF(TEXT(H$3,"ddd")="CN","CN",VLOOKUP($A22&amp;H$3,Data_Cong!$R:$AI,10,0))),"")</f>
        <v>x</v>
      </c>
      <c r="I22" s="49" t="str">
        <f>IFERROR(IF(I$3="","",IF(TEXT(I$3,"ddd")="CN","CN",VLOOKUP($A22&amp;I$3,Data_Cong!$R:$AI,10,0))),"")</f>
        <v>x</v>
      </c>
      <c r="J22" s="49" t="str">
        <f>IFERROR(IF(J$3="","",IF(TEXT(J$3,"ddd")="CN","CN",VLOOKUP($A22&amp;J$3,Data_Cong!$R:$AI,10,0))),"")</f>
        <v>CN</v>
      </c>
      <c r="K22" s="49" t="str">
        <f>IFERROR(IF(K$3="","",IF(TEXT(K$3,"ddd")="CN","CN",VLOOKUP($A22&amp;K$3,Data_Cong!$R:$AI,10,0))),"")</f>
        <v>x</v>
      </c>
      <c r="L22" s="49" t="str">
        <f>IFERROR(IF(L$3="","",IF(TEXT(L$3,"ddd")="CN","CN",VLOOKUP($A22&amp;L$3,Data_Cong!$R:$AI,10,0))),"")</f>
        <v>x</v>
      </c>
      <c r="M22" s="49" t="str">
        <f>IFERROR(IF(M$3="","",IF(TEXT(M$3,"ddd")="CN","CN",VLOOKUP($A22&amp;M$3,Data_Cong!$R:$AI,10,0))),"")</f>
        <v>x</v>
      </c>
      <c r="N22" s="49" t="str">
        <f>IFERROR(IF(N$3="","",IF(TEXT(N$3,"ddd")="CN","CN",VLOOKUP($A22&amp;N$3,Data_Cong!$R:$AI,10,0))),"")</f>
        <v>x</v>
      </c>
      <c r="O22" s="49" t="str">
        <f>IFERROR(IF(O$3="","",IF(TEXT(O$3,"ddd")="CN","CN",VLOOKUP($A22&amp;O$3,Data_Cong!$R:$AI,10,0))),"")</f>
        <v>x</v>
      </c>
      <c r="P22" s="49" t="str">
        <f>IFERROR(IF(P$3="","",IF(TEXT(P$3,"ddd")="CN","CN",VLOOKUP($A22&amp;P$3,Data_Cong!$R:$AI,10,0))),"")</f>
        <v>x</v>
      </c>
      <c r="Q22" s="49" t="str">
        <f>IFERROR(IF(Q$3="","",IF(TEXT(Q$3,"ddd")="CN","CN",VLOOKUP($A22&amp;Q$3,Data_Cong!$R:$AI,10,0))),"")</f>
        <v>CN</v>
      </c>
      <c r="R22" s="49" t="str">
        <f>IFERROR(IF(R$3="","",IF(TEXT(R$3,"ddd")="CN","CN",VLOOKUP($A22&amp;R$3,Data_Cong!$R:$AI,10,0))),"")</f>
        <v>x</v>
      </c>
      <c r="S22" s="49" t="str">
        <f>IFERROR(IF(S$3="","",IF(TEXT(S$3,"ddd")="CN","CN",VLOOKUP($A22&amp;S$3,Data_Cong!$R:$AI,10,0))),"")</f>
        <v>x</v>
      </c>
      <c r="T22" s="49" t="str">
        <f>IFERROR(IF(T$3="","",IF(TEXT(T$3,"ddd")="CN","CN",VLOOKUP($A22&amp;T$3,Data_Cong!$R:$AI,10,0))),"")</f>
        <v>x</v>
      </c>
      <c r="U22" s="49" t="str">
        <f>IFERROR(IF(U$3="","",IF(TEXT(U$3,"ddd")="CN","CN",VLOOKUP($A22&amp;U$3,Data_Cong!$R:$AI,10,0))),"")</f>
        <v>x</v>
      </c>
      <c r="V22" s="49" t="str">
        <f>IFERROR(IF(V$3="","",IF(TEXT(V$3,"ddd")="CN","CN",VLOOKUP($A22&amp;V$3,Data_Cong!$R:$AI,10,0))),"")</f>
        <v>x</v>
      </c>
      <c r="W22" s="49" t="str">
        <f>IFERROR(IF(W$3="","",IF(TEXT(W$3,"ddd")="CN","CN",VLOOKUP($A22&amp;W$3,Data_Cong!$R:$AI,10,0))),"")</f>
        <v>x</v>
      </c>
      <c r="X22" s="49" t="str">
        <f>IFERROR(IF(X$3="","",IF(TEXT(X$3,"ddd")="CN","CN",VLOOKUP($A22&amp;X$3,Data_Cong!$R:$AI,10,0))),"")</f>
        <v>CN</v>
      </c>
      <c r="Y22" s="49" t="str">
        <f>IFERROR(IF(Y$3="","",IF(TEXT(Y$3,"ddd")="CN","CN",VLOOKUP($A22&amp;Y$3,Data_Cong!$R:$AI,10,0))),"")</f>
        <v>x</v>
      </c>
      <c r="Z22" s="49" t="str">
        <f>IFERROR(IF(Z$3="","",IF(TEXT(Z$3,"ddd")="CN","CN",VLOOKUP($A22&amp;Z$3,Data_Cong!$R:$AI,10,0))),"")</f>
        <v>x</v>
      </c>
      <c r="AA22" s="49" t="str">
        <f>IFERROR(IF(AA$3="","",IF(TEXT(AA$3,"ddd")="CN","CN",VLOOKUP($A22&amp;AA$3,Data_Cong!$R:$AI,10,0))),"")</f>
        <v>x</v>
      </c>
      <c r="AB22" s="49" t="str">
        <f>IFERROR(IF(AB$3="","",IF(TEXT(AB$3,"ddd")="CN","CN",VLOOKUP($A22&amp;AB$3,Data_Cong!$R:$AI,10,0))),"")</f>
        <v>x</v>
      </c>
      <c r="AC22" s="49" t="str">
        <f>IFERROR(IF(AC$3="","",IF(TEXT(AC$3,"ddd")="CN","CN",VLOOKUP($A22&amp;AC$3,Data_Cong!$R:$AI,10,0))),"")</f>
        <v>x</v>
      </c>
      <c r="AD22" s="49" t="str">
        <f>IFERROR(IF(AD$3="","",IF(TEXT(AD$3,"ddd")="CN","CN",VLOOKUP($A22&amp;AD$3,Data_Cong!$R:$AI,10,0))),"")</f>
        <v>x</v>
      </c>
      <c r="AE22" s="49" t="str">
        <f>IFERROR(IF(AE$3="","",IF(TEXT(AE$3,"ddd")="CN","CN",VLOOKUP($A22&amp;AE$3,Data_Cong!$R:$AI,10,0))),"")</f>
        <v>CN</v>
      </c>
      <c r="AF22" s="49" t="str">
        <f>IFERROR(IF(AF$3="","",IF(TEXT(AF$3,"ddd")="CN","CN",VLOOKUP($A22&amp;AF$3,Data_Cong!$R:$AI,10,0))),"")</f>
        <v>x</v>
      </c>
      <c r="AG22" s="49" t="str">
        <f>IFERROR(IF(AG$3="","",IF(TEXT(AG$3,"ddd")="CN","CN",VLOOKUP($A22&amp;AG$3,Data_Cong!$R:$AI,10,0))),"")</f>
        <v>x</v>
      </c>
      <c r="AH22" s="49" t="str">
        <f>IFERROR(IF(AH$3="","",IF(TEXT(AH$3,"ddd")="CN","CN",VLOOKUP($A22&amp;AH$3,Data_Cong!$R:$AI,10,0))),"")</f>
        <v/>
      </c>
      <c r="AI22" s="50" cm="1">
        <f t="array" ref="AI22">SUMPRODUCT((D22:AH22="x")*1+(D22:AH22="P")*1+(D22:AH22="1/2P")*1+(D22:AH22="1/2")*0.5+(D22:AH22="2x")*2+(D22:AH22="L")*1)</f>
        <v>26</v>
      </c>
      <c r="AJ22" s="51">
        <f>SUMIF(Data_Cong!A:A,$A22,Data_Cong!AE:AE)</f>
        <v>2635</v>
      </c>
      <c r="AK22" s="52">
        <f>COUNTIFS(Data_Cong!AB:AB,"&gt;6",Data_Cong!A:A,A22)</f>
        <v>0</v>
      </c>
      <c r="AL22" s="53" t="str">
        <f>IF(MONTH(VLOOKUP(A22,Data_NV!$A:$J,10,0))=BANG_CHAM_CONG!$R$2,"T"&amp;BANG_CHAM_CONG!$R$2,"")</f>
        <v/>
      </c>
      <c r="AM22" s="96">
        <v>12</v>
      </c>
      <c r="AN22" s="93" cm="1">
        <f t="array" ref="AN22">IF((AM22+1)&gt;12,12,(AM22+1))-SUMPRODUCT((D22:AH22="P")*1+(D22:AH22="1/2P")*0.5)</f>
        <v>12</v>
      </c>
      <c r="AO22" s="50"/>
      <c r="AP22" s="54">
        <f>SUMIFS(Data_Cong!AF:AF,Data_Cong!A:A,$A22)+SUMIFS(Data_Cong!AG:AG,Data_Cong!A:A,$A22)</f>
        <v>0</v>
      </c>
    </row>
    <row r="23" spans="1:42" ht="15.75" x14ac:dyDescent="0.25">
      <c r="A23" s="28" t="s">
        <v>605</v>
      </c>
      <c r="B23" s="47">
        <v>9</v>
      </c>
      <c r="C23" s="48" t="s">
        <v>1260</v>
      </c>
      <c r="D23" s="49" t="str">
        <f>IFERROR(IF(D$3="","",IF(TEXT(D$3,"ddd")="CN","CN",VLOOKUP($A23&amp;D$3,Data_Cong!$R:$AI,10,0))),"")</f>
        <v>L</v>
      </c>
      <c r="E23" s="49" t="str">
        <f>IFERROR(IF(E$3="","",IF(TEXT(E$3,"ddd")="CN","CN",VLOOKUP($A23&amp;E$3,Data_Cong!$R:$AI,10,0))),"")</f>
        <v>L</v>
      </c>
      <c r="F23" s="49" t="str">
        <f>IFERROR(IF(F$3="","",IF(TEXT(F$3,"ddd")="CN","CN",VLOOKUP($A23&amp;F$3,Data_Cong!$R:$AI,10,0))),"")</f>
        <v>x</v>
      </c>
      <c r="G23" s="49" t="str">
        <f>IFERROR(IF(G$3="","",IF(TEXT(G$3,"ddd")="CN","CN",VLOOKUP($A23&amp;G$3,Data_Cong!$R:$AI,10,0))),"")</f>
        <v>x</v>
      </c>
      <c r="H23" s="49" t="str">
        <f>IFERROR(IF(H$3="","",IF(TEXT(H$3,"ddd")="CN","CN",VLOOKUP($A23&amp;H$3,Data_Cong!$R:$AI,10,0))),"")</f>
        <v>x</v>
      </c>
      <c r="I23" s="49" t="str">
        <f>IFERROR(IF(I$3="","",IF(TEXT(I$3,"ddd")="CN","CN",VLOOKUP($A23&amp;I$3,Data_Cong!$R:$AI,10,0))),"")</f>
        <v>x</v>
      </c>
      <c r="J23" s="49" t="str">
        <f>IFERROR(IF(J$3="","",IF(TEXT(J$3,"ddd")="CN","CN",VLOOKUP($A23&amp;J$3,Data_Cong!$R:$AI,10,0))),"")</f>
        <v>CN</v>
      </c>
      <c r="K23" s="49" t="str">
        <f>IFERROR(IF(K$3="","",IF(TEXT(K$3,"ddd")="CN","CN",VLOOKUP($A23&amp;K$3,Data_Cong!$R:$AI,10,0))),"")</f>
        <v>x</v>
      </c>
      <c r="L23" s="49" t="str">
        <f>IFERROR(IF(L$3="","",IF(TEXT(L$3,"ddd")="CN","CN",VLOOKUP($A23&amp;L$3,Data_Cong!$R:$AI,10,0))),"")</f>
        <v>x</v>
      </c>
      <c r="M23" s="49" t="str">
        <f>IFERROR(IF(M$3="","",IF(TEXT(M$3,"ddd")="CN","CN",VLOOKUP($A23&amp;M$3,Data_Cong!$R:$AI,10,0))),"")</f>
        <v>x</v>
      </c>
      <c r="N23" s="49" t="str">
        <f>IFERROR(IF(N$3="","",IF(TEXT(N$3,"ddd")="CN","CN",VLOOKUP($A23&amp;N$3,Data_Cong!$R:$AI,10,0))),"")</f>
        <v>x</v>
      </c>
      <c r="O23" s="49" t="str">
        <f>IFERROR(IF(O$3="","",IF(TEXT(O$3,"ddd")="CN","CN",VLOOKUP($A23&amp;O$3,Data_Cong!$R:$AI,10,0))),"")</f>
        <v>x</v>
      </c>
      <c r="P23" s="49" t="str">
        <f>IFERROR(IF(P$3="","",IF(TEXT(P$3,"ddd")="CN","CN",VLOOKUP($A23&amp;P$3,Data_Cong!$R:$AI,10,0))),"")</f>
        <v>x</v>
      </c>
      <c r="Q23" s="49" t="str">
        <f>IFERROR(IF(Q$3="","",IF(TEXT(Q$3,"ddd")="CN","CN",VLOOKUP($A23&amp;Q$3,Data_Cong!$R:$AI,10,0))),"")</f>
        <v>CN</v>
      </c>
      <c r="R23" s="49" t="str">
        <f>IFERROR(IF(R$3="","",IF(TEXT(R$3,"ddd")="CN","CN",VLOOKUP($A23&amp;R$3,Data_Cong!$R:$AI,10,0))),"")</f>
        <v>x</v>
      </c>
      <c r="S23" s="49" t="str">
        <f>IFERROR(IF(S$3="","",IF(TEXT(S$3,"ddd")="CN","CN",VLOOKUP($A23&amp;S$3,Data_Cong!$R:$AI,10,0))),"")</f>
        <v>x</v>
      </c>
      <c r="T23" s="49" t="str">
        <f>IFERROR(IF(T$3="","",IF(TEXT(T$3,"ddd")="CN","CN",VLOOKUP($A23&amp;T$3,Data_Cong!$R:$AI,10,0))),"")</f>
        <v>x</v>
      </c>
      <c r="U23" s="49" t="str">
        <f>IFERROR(IF(U$3="","",IF(TEXT(U$3,"ddd")="CN","CN",VLOOKUP($A23&amp;U$3,Data_Cong!$R:$AI,10,0))),"")</f>
        <v>x</v>
      </c>
      <c r="V23" s="49" t="str">
        <f>IFERROR(IF(V$3="","",IF(TEXT(V$3,"ddd")="CN","CN",VLOOKUP($A23&amp;V$3,Data_Cong!$R:$AI,10,0))),"")</f>
        <v>x</v>
      </c>
      <c r="W23" s="49" t="str">
        <f>IFERROR(IF(W$3="","",IF(TEXT(W$3,"ddd")="CN","CN",VLOOKUP($A23&amp;W$3,Data_Cong!$R:$AI,10,0))),"")</f>
        <v>x</v>
      </c>
      <c r="X23" s="49" t="str">
        <f>IFERROR(IF(X$3="","",IF(TEXT(X$3,"ddd")="CN","CN",VLOOKUP($A23&amp;X$3,Data_Cong!$R:$AI,10,0))),"")</f>
        <v>CN</v>
      </c>
      <c r="Y23" s="49" t="str">
        <f>IFERROR(IF(Y$3="","",IF(TEXT(Y$3,"ddd")="CN","CN",VLOOKUP($A23&amp;Y$3,Data_Cong!$R:$AI,10,0))),"")</f>
        <v>x</v>
      </c>
      <c r="Z23" s="49" t="str">
        <f>IFERROR(IF(Z$3="","",IF(TEXT(Z$3,"ddd")="CN","CN",VLOOKUP($A23&amp;Z$3,Data_Cong!$R:$AI,10,0))),"")</f>
        <v>x</v>
      </c>
      <c r="AA23" s="49" t="str">
        <f>IFERROR(IF(AA$3="","",IF(TEXT(AA$3,"ddd")="CN","CN",VLOOKUP($A23&amp;AA$3,Data_Cong!$R:$AI,10,0))),"")</f>
        <v>x</v>
      </c>
      <c r="AB23" s="49" t="str">
        <f>IFERROR(IF(AB$3="","",IF(TEXT(AB$3,"ddd")="CN","CN",VLOOKUP($A23&amp;AB$3,Data_Cong!$R:$AI,10,0))),"")</f>
        <v>x</v>
      </c>
      <c r="AC23" s="49" t="str">
        <f>IFERROR(IF(AC$3="","",IF(TEXT(AC$3,"ddd")="CN","CN",VLOOKUP($A23&amp;AC$3,Data_Cong!$R:$AI,10,0))),"")</f>
        <v>x</v>
      </c>
      <c r="AD23" s="49" t="str">
        <f>IFERROR(IF(AD$3="","",IF(TEXT(AD$3,"ddd")="CN","CN",VLOOKUP($A23&amp;AD$3,Data_Cong!$R:$AI,10,0))),"")</f>
        <v>x</v>
      </c>
      <c r="AE23" s="49" t="str">
        <f>IFERROR(IF(AE$3="","",IF(TEXT(AE$3,"ddd")="CN","CN",VLOOKUP($A23&amp;AE$3,Data_Cong!$R:$AI,10,0))),"")</f>
        <v>CN</v>
      </c>
      <c r="AF23" s="49" t="str">
        <f>IFERROR(IF(AF$3="","",IF(TEXT(AF$3,"ddd")="CN","CN",VLOOKUP($A23&amp;AF$3,Data_Cong!$R:$AI,10,0))),"")</f>
        <v>x</v>
      </c>
      <c r="AG23" s="49" t="str">
        <f>IFERROR(IF(AG$3="","",IF(TEXT(AG$3,"ddd")="CN","CN",VLOOKUP($A23&amp;AG$3,Data_Cong!$R:$AI,10,0))),"")</f>
        <v>x</v>
      </c>
      <c r="AH23" s="49" t="str">
        <f>IFERROR(IF(AH$3="","",IF(TEXT(AH$3,"ddd")="CN","CN",VLOOKUP($A23&amp;AH$3,Data_Cong!$R:$AI,10,0))),"")</f>
        <v/>
      </c>
      <c r="AI23" s="50" cm="1">
        <f t="array" ref="AI23">SUMPRODUCT((D23:AH23="x")*1+(D23:AH23="P")*1+(D23:AH23="1/2P")*1+(D23:AH23="1/2")*0.5+(D23:AH23="2x")*2+(D23:AH23="L")*1)</f>
        <v>26</v>
      </c>
      <c r="AJ23" s="51">
        <f>SUMIF(Data_Cong!A:A,$A23,Data_Cong!AE:AE)</f>
        <v>698</v>
      </c>
      <c r="AK23" s="52">
        <f>COUNTIFS(Data_Cong!AB:AB,"&gt;6",Data_Cong!A:A,A23)</f>
        <v>2</v>
      </c>
      <c r="AL23" s="53" t="str">
        <f>IF(MONTH(VLOOKUP(A23,Data_NV!$A:$J,10,0))=BANG_CHAM_CONG!$R$2,"T"&amp;BANG_CHAM_CONG!$R$2,"")</f>
        <v/>
      </c>
      <c r="AM23" s="96">
        <v>8</v>
      </c>
      <c r="AN23" s="93" cm="1">
        <f t="array" ref="AN23">IF((AM23+1)&gt;12,12,(AM23+1))-SUMPRODUCT((D23:AH23="P")*1+(D23:AH23="1/2P")*0.5)</f>
        <v>9</v>
      </c>
      <c r="AO23" s="50"/>
      <c r="AP23" s="54">
        <f>SUMIFS(Data_Cong!AF:AF,Data_Cong!A:A,$A23)+SUMIFS(Data_Cong!AG:AG,Data_Cong!A:A,$A23)</f>
        <v>80000</v>
      </c>
    </row>
    <row r="24" spans="1:42" ht="15.75" x14ac:dyDescent="0.25">
      <c r="A24" s="28" t="s">
        <v>890</v>
      </c>
      <c r="B24" s="47">
        <v>10</v>
      </c>
      <c r="C24" s="48" t="s">
        <v>1261</v>
      </c>
      <c r="D24" s="49" t="str">
        <f>IFERROR(IF(D$3="","",IF(TEXT(D$3,"ddd")="CN","CN",VLOOKUP($A24&amp;D$3,Data_Cong!$R:$AI,10,0))),"")</f>
        <v>L</v>
      </c>
      <c r="E24" s="49" t="str">
        <f>IFERROR(IF(E$3="","",IF(TEXT(E$3,"ddd")="CN","CN",VLOOKUP($A24&amp;E$3,Data_Cong!$R:$AI,10,0))),"")</f>
        <v>L</v>
      </c>
      <c r="F24" s="49" t="str">
        <f>IFERROR(IF(F$3="","",IF(TEXT(F$3,"ddd")="CN","CN",VLOOKUP($A24&amp;F$3,Data_Cong!$R:$AI,10,0))),"")</f>
        <v>x</v>
      </c>
      <c r="G24" s="49" t="str">
        <f>IFERROR(IF(G$3="","",IF(TEXT(G$3,"ddd")="CN","CN",VLOOKUP($A24&amp;G$3,Data_Cong!$R:$AI,10,0))),"")</f>
        <v>x</v>
      </c>
      <c r="H24" s="49" t="str">
        <f>IFERROR(IF(H$3="","",IF(TEXT(H$3,"ddd")="CN","CN",VLOOKUP($A24&amp;H$3,Data_Cong!$R:$AI,10,0))),"")</f>
        <v>x</v>
      </c>
      <c r="I24" s="49" t="str">
        <f>IFERROR(IF(I$3="","",IF(TEXT(I$3,"ddd")="CN","CN",VLOOKUP($A24&amp;I$3,Data_Cong!$R:$AI,10,0))),"")</f>
        <v>x</v>
      </c>
      <c r="J24" s="49" t="str">
        <f>IFERROR(IF(J$3="","",IF(TEXT(J$3,"ddd")="CN","CN",VLOOKUP($A24&amp;J$3,Data_Cong!$R:$AI,10,0))),"")</f>
        <v>CN</v>
      </c>
      <c r="K24" s="49" t="str">
        <f>IFERROR(IF(K$3="","",IF(TEXT(K$3,"ddd")="CN","CN",VLOOKUP($A24&amp;K$3,Data_Cong!$R:$AI,10,0))),"")</f>
        <v>x</v>
      </c>
      <c r="L24" s="49" t="str">
        <f>IFERROR(IF(L$3="","",IF(TEXT(L$3,"ddd")="CN","CN",VLOOKUP($A24&amp;L$3,Data_Cong!$R:$AI,10,0))),"")</f>
        <v>x</v>
      </c>
      <c r="M24" s="49" t="str">
        <f>IFERROR(IF(M$3="","",IF(TEXT(M$3,"ddd")="CN","CN",VLOOKUP($A24&amp;M$3,Data_Cong!$R:$AI,10,0))),"")</f>
        <v>x</v>
      </c>
      <c r="N24" s="49" t="str">
        <f>IFERROR(IF(N$3="","",IF(TEXT(N$3,"ddd")="CN","CN",VLOOKUP($A24&amp;N$3,Data_Cong!$R:$AI,10,0))),"")</f>
        <v>x</v>
      </c>
      <c r="O24" s="49" t="str">
        <f>IFERROR(IF(O$3="","",IF(TEXT(O$3,"ddd")="CN","CN",VLOOKUP($A24&amp;O$3,Data_Cong!$R:$AI,10,0))),"")</f>
        <v>x</v>
      </c>
      <c r="P24" s="49" t="str">
        <f>IFERROR(IF(P$3="","",IF(TEXT(P$3,"ddd")="CN","CN",VLOOKUP($A24&amp;P$3,Data_Cong!$R:$AI,10,0))),"")</f>
        <v>x</v>
      </c>
      <c r="Q24" s="49" t="str">
        <f>IFERROR(IF(Q$3="","",IF(TEXT(Q$3,"ddd")="CN","CN",VLOOKUP($A24&amp;Q$3,Data_Cong!$R:$AI,10,0))),"")</f>
        <v>CN</v>
      </c>
      <c r="R24" s="49" t="str">
        <f>IFERROR(IF(R$3="","",IF(TEXT(R$3,"ddd")="CN","CN",VLOOKUP($A24&amp;R$3,Data_Cong!$R:$AI,10,0))),"")</f>
        <v>1/2</v>
      </c>
      <c r="S24" s="49" t="str">
        <f>IFERROR(IF(S$3="","",IF(TEXT(S$3,"ddd")="CN","CN",VLOOKUP($A24&amp;S$3,Data_Cong!$R:$AI,10,0))),"")</f>
        <v>x</v>
      </c>
      <c r="T24" s="49" t="str">
        <f>IFERROR(IF(T$3="","",IF(TEXT(T$3,"ddd")="CN","CN",VLOOKUP($A24&amp;T$3,Data_Cong!$R:$AI,10,0))),"")</f>
        <v>x</v>
      </c>
      <c r="U24" s="49" t="str">
        <f>IFERROR(IF(U$3="","",IF(TEXT(U$3,"ddd")="CN","CN",VLOOKUP($A24&amp;U$3,Data_Cong!$R:$AI,10,0))),"")</f>
        <v>x</v>
      </c>
      <c r="V24" s="49" t="str">
        <f>IFERROR(IF(V$3="","",IF(TEXT(V$3,"ddd")="CN","CN",VLOOKUP($A24&amp;V$3,Data_Cong!$R:$AI,10,0))),"")</f>
        <v>x</v>
      </c>
      <c r="W24" s="49" t="str">
        <f>IFERROR(IF(W$3="","",IF(TEXT(W$3,"ddd")="CN","CN",VLOOKUP($A24&amp;W$3,Data_Cong!$R:$AI,10,0))),"")</f>
        <v>x</v>
      </c>
      <c r="X24" s="49" t="str">
        <f>IFERROR(IF(X$3="","",IF(TEXT(X$3,"ddd")="CN","CN",VLOOKUP($A24&amp;X$3,Data_Cong!$R:$AI,10,0))),"")</f>
        <v>CN</v>
      </c>
      <c r="Y24" s="49" t="str">
        <f>IFERROR(IF(Y$3="","",IF(TEXT(Y$3,"ddd")="CN","CN",VLOOKUP($A24&amp;Y$3,Data_Cong!$R:$AI,10,0))),"")</f>
        <v>x</v>
      </c>
      <c r="Z24" s="49" t="str">
        <f>IFERROR(IF(Z$3="","",IF(TEXT(Z$3,"ddd")="CN","CN",VLOOKUP($A24&amp;Z$3,Data_Cong!$R:$AI,10,0))),"")</f>
        <v>x</v>
      </c>
      <c r="AA24" s="49" t="str">
        <f>IFERROR(IF(AA$3="","",IF(TEXT(AA$3,"ddd")="CN","CN",VLOOKUP($A24&amp;AA$3,Data_Cong!$R:$AI,10,0))),"")</f>
        <v>x</v>
      </c>
      <c r="AB24" s="49" t="str">
        <f>IFERROR(IF(AB$3="","",IF(TEXT(AB$3,"ddd")="CN","CN",VLOOKUP($A24&amp;AB$3,Data_Cong!$R:$AI,10,0))),"")</f>
        <v>x</v>
      </c>
      <c r="AC24" s="49" t="str">
        <f>IFERROR(IF(AC$3="","",IF(TEXT(AC$3,"ddd")="CN","CN",VLOOKUP($A24&amp;AC$3,Data_Cong!$R:$AI,10,0))),"")</f>
        <v>x</v>
      </c>
      <c r="AD24" s="49" t="str">
        <f>IFERROR(IF(AD$3="","",IF(TEXT(AD$3,"ddd")="CN","CN",VLOOKUP($A24&amp;AD$3,Data_Cong!$R:$AI,10,0))),"")</f>
        <v>x</v>
      </c>
      <c r="AE24" s="49" t="str">
        <f>IFERROR(IF(AE$3="","",IF(TEXT(AE$3,"ddd")="CN","CN",VLOOKUP($A24&amp;AE$3,Data_Cong!$R:$AI,10,0))),"")</f>
        <v>CN</v>
      </c>
      <c r="AF24" s="49" t="str">
        <f>IFERROR(IF(AF$3="","",IF(TEXT(AF$3,"ddd")="CN","CN",VLOOKUP($A24&amp;AF$3,Data_Cong!$R:$AI,10,0))),"")</f>
        <v>x</v>
      </c>
      <c r="AG24" s="49" t="str">
        <f>IFERROR(IF(AG$3="","",IF(TEXT(AG$3,"ddd")="CN","CN",VLOOKUP($A24&amp;AG$3,Data_Cong!$R:$AI,10,0))),"")</f>
        <v>x</v>
      </c>
      <c r="AH24" s="49" t="str">
        <f>IFERROR(IF(AH$3="","",IF(TEXT(AH$3,"ddd")="CN","CN",VLOOKUP($A24&amp;AH$3,Data_Cong!$R:$AI,10,0))),"")</f>
        <v/>
      </c>
      <c r="AI24" s="50" cm="1">
        <f t="array" ref="AI24">SUMPRODUCT((D24:AH24="x")*1+(D24:AH24="P")*1+(D24:AH24="1/2P")*1+(D24:AH24="1/2")*0.5+(D24:AH24="2x")*2+(D24:AH24="L")*1)</f>
        <v>25.5</v>
      </c>
      <c r="AJ24" s="51">
        <f>SUMIF(Data_Cong!A:A,$A24,Data_Cong!AE:AE)</f>
        <v>0</v>
      </c>
      <c r="AK24" s="52">
        <f>COUNTIFS(Data_Cong!AB:AB,"&gt;6",Data_Cong!A:A,A24)</f>
        <v>2</v>
      </c>
      <c r="AL24" s="53" t="str">
        <f>IF(MONTH(VLOOKUP(A24,Data_NV!$A:$J,10,0))=BANG_CHAM_CONG!$R$2,"T"&amp;BANG_CHAM_CONG!$R$2,"")</f>
        <v/>
      </c>
      <c r="AM24" s="96">
        <v>0</v>
      </c>
      <c r="AN24" s="93" cm="1">
        <f t="array" ref="AN24">IF((AM24+1)&gt;12,12,(AM24+1))-SUMPRODUCT((D24:AH24="P")*1+(D24:AH24="1/2P")*0.5)</f>
        <v>1</v>
      </c>
      <c r="AO24" s="50"/>
      <c r="AP24" s="54">
        <f>SUMIFS(Data_Cong!AF:AF,Data_Cong!A:A,$A24)+SUMIFS(Data_Cong!AG:AG,Data_Cong!A:A,$A24)</f>
        <v>30000</v>
      </c>
    </row>
    <row r="25" spans="1:42" ht="15.75" x14ac:dyDescent="0.25">
      <c r="A25" s="28" t="s">
        <v>1006</v>
      </c>
      <c r="B25" s="47">
        <v>11</v>
      </c>
      <c r="C25" s="48" t="s">
        <v>1262</v>
      </c>
      <c r="D25" s="49" t="str">
        <f>IFERROR(IF(D$3="","",IF(TEXT(D$3,"ddd")="CN","CN",VLOOKUP($A25&amp;D$3,Data_Cong!$R:$AI,10,0))),"")</f>
        <v>L</v>
      </c>
      <c r="E25" s="49" t="str">
        <f>IFERROR(IF(E$3="","",IF(TEXT(E$3,"ddd")="CN","CN",VLOOKUP($A25&amp;E$3,Data_Cong!$R:$AI,10,0))),"")</f>
        <v>L</v>
      </c>
      <c r="F25" s="49" t="str">
        <f>IFERROR(IF(F$3="","",IF(TEXT(F$3,"ddd")="CN","CN",VLOOKUP($A25&amp;F$3,Data_Cong!$R:$AI,10,0))),"")</f>
        <v>x</v>
      </c>
      <c r="G25" s="49" t="str">
        <f>IFERROR(IF(G$3="","",IF(TEXT(G$3,"ddd")="CN","CN",VLOOKUP($A25&amp;G$3,Data_Cong!$R:$AI,10,0))),"")</f>
        <v>x</v>
      </c>
      <c r="H25" s="49" t="str">
        <f>IFERROR(IF(H$3="","",IF(TEXT(H$3,"ddd")="CN","CN",VLOOKUP($A25&amp;H$3,Data_Cong!$R:$AI,10,0))),"")</f>
        <v>x</v>
      </c>
      <c r="I25" s="49" t="str">
        <f>IFERROR(IF(I$3="","",IF(TEXT(I$3,"ddd")="CN","CN",VLOOKUP($A25&amp;I$3,Data_Cong!$R:$AI,10,0))),"")</f>
        <v>x</v>
      </c>
      <c r="J25" s="49" t="str">
        <f>IFERROR(IF(J$3="","",IF(TEXT(J$3,"ddd")="CN","CN",VLOOKUP($A25&amp;J$3,Data_Cong!$R:$AI,10,0))),"")</f>
        <v>CN</v>
      </c>
      <c r="K25" s="49" t="str">
        <f>IFERROR(IF(K$3="","",IF(TEXT(K$3,"ddd")="CN","CN",VLOOKUP($A25&amp;K$3,Data_Cong!$R:$AI,10,0))),"")</f>
        <v>x</v>
      </c>
      <c r="L25" s="49" t="str">
        <f>IFERROR(IF(L$3="","",IF(TEXT(L$3,"ddd")="CN","CN",VLOOKUP($A25&amp;L$3,Data_Cong!$R:$AI,10,0))),"")</f>
        <v>x</v>
      </c>
      <c r="M25" s="49" t="str">
        <f>IFERROR(IF(M$3="","",IF(TEXT(M$3,"ddd")="CN","CN",VLOOKUP($A25&amp;M$3,Data_Cong!$R:$AI,10,0))),"")</f>
        <v>x</v>
      </c>
      <c r="N25" s="49" t="str">
        <f>IFERROR(IF(N$3="","",IF(TEXT(N$3,"ddd")="CN","CN",VLOOKUP($A25&amp;N$3,Data_Cong!$R:$AI,10,0))),"")</f>
        <v>p</v>
      </c>
      <c r="O25" s="49" t="str">
        <f>IFERROR(IF(O$3="","",IF(TEXT(O$3,"ddd")="CN","CN",VLOOKUP($A25&amp;O$3,Data_Cong!$R:$AI,10,0))),"")</f>
        <v>x</v>
      </c>
      <c r="P25" s="49" t="str">
        <f>IFERROR(IF(P$3="","",IF(TEXT(P$3,"ddd")="CN","CN",VLOOKUP($A25&amp;P$3,Data_Cong!$R:$AI,10,0))),"")</f>
        <v>x</v>
      </c>
      <c r="Q25" s="49" t="str">
        <f>IFERROR(IF(Q$3="","",IF(TEXT(Q$3,"ddd")="CN","CN",VLOOKUP($A25&amp;Q$3,Data_Cong!$R:$AI,10,0))),"")</f>
        <v>CN</v>
      </c>
      <c r="R25" s="49" t="str">
        <f>IFERROR(IF(R$3="","",IF(TEXT(R$3,"ddd")="CN","CN",VLOOKUP($A25&amp;R$3,Data_Cong!$R:$AI,10,0))),"")</f>
        <v>x</v>
      </c>
      <c r="S25" s="49" t="str">
        <f>IFERROR(IF(S$3="","",IF(TEXT(S$3,"ddd")="CN","CN",VLOOKUP($A25&amp;S$3,Data_Cong!$R:$AI,10,0))),"")</f>
        <v>x</v>
      </c>
      <c r="T25" s="49" t="str">
        <f>IFERROR(IF(T$3="","",IF(TEXT(T$3,"ddd")="CN","CN",VLOOKUP($A25&amp;T$3,Data_Cong!$R:$AI,10,0))),"")</f>
        <v>x</v>
      </c>
      <c r="U25" s="49" t="str">
        <f>IFERROR(IF(U$3="","",IF(TEXT(U$3,"ddd")="CN","CN",VLOOKUP($A25&amp;U$3,Data_Cong!$R:$AI,10,0))),"")</f>
        <v>x</v>
      </c>
      <c r="V25" s="49" t="str">
        <f>IFERROR(IF(V$3="","",IF(TEXT(V$3,"ddd")="CN","CN",VLOOKUP($A25&amp;V$3,Data_Cong!$R:$AI,10,0))),"")</f>
        <v>x</v>
      </c>
      <c r="W25" s="49" t="str">
        <f>IFERROR(IF(W$3="","",IF(TEXT(W$3,"ddd")="CN","CN",VLOOKUP($A25&amp;W$3,Data_Cong!$R:$AI,10,0))),"")</f>
        <v>x</v>
      </c>
      <c r="X25" s="49" t="str">
        <f>IFERROR(IF(X$3="","",IF(TEXT(X$3,"ddd")="CN","CN",VLOOKUP($A25&amp;X$3,Data_Cong!$R:$AI,10,0))),"")</f>
        <v>CN</v>
      </c>
      <c r="Y25" s="49" t="str">
        <f>IFERROR(IF(Y$3="","",IF(TEXT(Y$3,"ddd")="CN","CN",VLOOKUP($A25&amp;Y$3,Data_Cong!$R:$AI,10,0))),"")</f>
        <v>x</v>
      </c>
      <c r="Z25" s="49" t="str">
        <f>IFERROR(IF(Z$3="","",IF(TEXT(Z$3,"ddd")="CN","CN",VLOOKUP($A25&amp;Z$3,Data_Cong!$R:$AI,10,0))),"")</f>
        <v>x</v>
      </c>
      <c r="AA25" s="49" t="str">
        <f>IFERROR(IF(AA$3="","",IF(TEXT(AA$3,"ddd")="CN","CN",VLOOKUP($A25&amp;AA$3,Data_Cong!$R:$AI,10,0))),"")</f>
        <v>x</v>
      </c>
      <c r="AB25" s="49" t="str">
        <f>IFERROR(IF(AB$3="","",IF(TEXT(AB$3,"ddd")="CN","CN",VLOOKUP($A25&amp;AB$3,Data_Cong!$R:$AI,10,0))),"")</f>
        <v>x</v>
      </c>
      <c r="AC25" s="49" t="str">
        <f>IFERROR(IF(AC$3="","",IF(TEXT(AC$3,"ddd")="CN","CN",VLOOKUP($A25&amp;AC$3,Data_Cong!$R:$AI,10,0))),"")</f>
        <v>x</v>
      </c>
      <c r="AD25" s="49" t="str">
        <f>IFERROR(IF(AD$3="","",IF(TEXT(AD$3,"ddd")="CN","CN",VLOOKUP($A25&amp;AD$3,Data_Cong!$R:$AI,10,0))),"")</f>
        <v>x</v>
      </c>
      <c r="AE25" s="49" t="str">
        <f>IFERROR(IF(AE$3="","",IF(TEXT(AE$3,"ddd")="CN","CN",VLOOKUP($A25&amp;AE$3,Data_Cong!$R:$AI,10,0))),"")</f>
        <v>CN</v>
      </c>
      <c r="AF25" s="49" t="str">
        <f>IFERROR(IF(AF$3="","",IF(TEXT(AF$3,"ddd")="CN","CN",VLOOKUP($A25&amp;AF$3,Data_Cong!$R:$AI,10,0))),"")</f>
        <v>x</v>
      </c>
      <c r="AG25" s="49" t="str">
        <f>IFERROR(IF(AG$3="","",IF(TEXT(AG$3,"ddd")="CN","CN",VLOOKUP($A25&amp;AG$3,Data_Cong!$R:$AI,10,0))),"")</f>
        <v>x</v>
      </c>
      <c r="AH25" s="49" t="str">
        <f>IFERROR(IF(AH$3="","",IF(TEXT(AH$3,"ddd")="CN","CN",VLOOKUP($A25&amp;AH$3,Data_Cong!$R:$AI,10,0))),"")</f>
        <v/>
      </c>
      <c r="AI25" s="50" cm="1">
        <f t="array" ref="AI25">SUMPRODUCT((D25:AH25="x")*1+(D25:AH25="P")*1+(D25:AH25="1/2P")*1+(D25:AH25="1/2")*0.5+(D25:AH25="2x")*2+(D25:AH25="L")*1)</f>
        <v>26</v>
      </c>
      <c r="AJ25" s="51">
        <f>SUMIF(Data_Cong!A:A,$A25,Data_Cong!AE:AE)</f>
        <v>0</v>
      </c>
      <c r="AK25" s="52">
        <f>COUNTIFS(Data_Cong!AB:AB,"&gt;6",Data_Cong!A:A,A25)</f>
        <v>0</v>
      </c>
      <c r="AL25" s="53" t="str">
        <f>IF(MONTH(VLOOKUP(A25,Data_NV!$A:$J,10,0))=BANG_CHAM_CONG!$R$2,"T"&amp;BANG_CHAM_CONG!$R$2,"")</f>
        <v/>
      </c>
      <c r="AM25" s="96">
        <v>1</v>
      </c>
      <c r="AN25" s="93" cm="1">
        <f t="array" ref="AN25">IF((AM25+1)&gt;12,12,(AM25+1))-SUMPRODUCT((D25:AH25="P")*1+(D25:AH25="1/2P")*0.5)</f>
        <v>1</v>
      </c>
      <c r="AO25" s="50"/>
      <c r="AP25" s="54">
        <f>SUMIFS(Data_Cong!AF:AF,Data_Cong!A:A,$A25)+SUMIFS(Data_Cong!AG:AG,Data_Cong!A:A,$A25)</f>
        <v>0</v>
      </c>
    </row>
    <row r="26" spans="1:42" ht="15.75" x14ac:dyDescent="0.25">
      <c r="A26" s="28" t="s">
        <v>256</v>
      </c>
      <c r="B26" s="47">
        <v>12</v>
      </c>
      <c r="C26" s="48" t="s">
        <v>1263</v>
      </c>
      <c r="D26" s="49" t="str">
        <f>IFERROR(IF(D$3="","",IF(TEXT(D$3,"ddd")="CN","CN",VLOOKUP($A26&amp;D$3,Data_Cong!$R:$AI,10,0))),"")</f>
        <v>L</v>
      </c>
      <c r="E26" s="49" t="str">
        <f>IFERROR(IF(E$3="","",IF(TEXT(E$3,"ddd")="CN","CN",VLOOKUP($A26&amp;E$3,Data_Cong!$R:$AI,10,0))),"")</f>
        <v>L</v>
      </c>
      <c r="F26" s="49" t="str">
        <f>IFERROR(IF(F$3="","",IF(TEXT(F$3,"ddd")="CN","CN",VLOOKUP($A26&amp;F$3,Data_Cong!$R:$AI,10,0))),"")</f>
        <v>x</v>
      </c>
      <c r="G26" s="49" t="str">
        <f>IFERROR(IF(G$3="","",IF(TEXT(G$3,"ddd")="CN","CN",VLOOKUP($A26&amp;G$3,Data_Cong!$R:$AI,10,0))),"")</f>
        <v>x</v>
      </c>
      <c r="H26" s="49" t="str">
        <f>IFERROR(IF(H$3="","",IF(TEXT(H$3,"ddd")="CN","CN",VLOOKUP($A26&amp;H$3,Data_Cong!$R:$AI,10,0))),"")</f>
        <v>x</v>
      </c>
      <c r="I26" s="49" t="str">
        <f>IFERROR(IF(I$3="","",IF(TEXT(I$3,"ddd")="CN","CN",VLOOKUP($A26&amp;I$3,Data_Cong!$R:$AI,10,0))),"")</f>
        <v>x</v>
      </c>
      <c r="J26" s="49" t="str">
        <f>IFERROR(IF(J$3="","",IF(TEXT(J$3,"ddd")="CN","CN",VLOOKUP($A26&amp;J$3,Data_Cong!$R:$AI,10,0))),"")</f>
        <v>CN</v>
      </c>
      <c r="K26" s="49" t="str">
        <f>IFERROR(IF(K$3="","",IF(TEXT(K$3,"ddd")="CN","CN",VLOOKUP($A26&amp;K$3,Data_Cong!$R:$AI,10,0))),"")</f>
        <v>x</v>
      </c>
      <c r="L26" s="49" t="str">
        <f>IFERROR(IF(L$3="","",IF(TEXT(L$3,"ddd")="CN","CN",VLOOKUP($A26&amp;L$3,Data_Cong!$R:$AI,10,0))),"")</f>
        <v>x</v>
      </c>
      <c r="M26" s="49" t="str">
        <f>IFERROR(IF(M$3="","",IF(TEXT(M$3,"ddd")="CN","CN",VLOOKUP($A26&amp;M$3,Data_Cong!$R:$AI,10,0))),"")</f>
        <v>x</v>
      </c>
      <c r="N26" s="49" t="str">
        <f>IFERROR(IF(N$3="","",IF(TEXT(N$3,"ddd")="CN","CN",VLOOKUP($A26&amp;N$3,Data_Cong!$R:$AI,10,0))),"")</f>
        <v>x</v>
      </c>
      <c r="O26" s="49" t="str">
        <f>IFERROR(IF(O$3="","",IF(TEXT(O$3,"ddd")="CN","CN",VLOOKUP($A26&amp;O$3,Data_Cong!$R:$AI,10,0))),"")</f>
        <v>x</v>
      </c>
      <c r="P26" s="49" t="str">
        <f>IFERROR(IF(P$3="","",IF(TEXT(P$3,"ddd")="CN","CN",VLOOKUP($A26&amp;P$3,Data_Cong!$R:$AI,10,0))),"")</f>
        <v>x</v>
      </c>
      <c r="Q26" s="49" t="str">
        <f>IFERROR(IF(Q$3="","",IF(TEXT(Q$3,"ddd")="CN","CN",VLOOKUP($A26&amp;Q$3,Data_Cong!$R:$AI,10,0))),"")</f>
        <v>CN</v>
      </c>
      <c r="R26" s="49" t="str">
        <f>IFERROR(IF(R$3="","",IF(TEXT(R$3,"ddd")="CN","CN",VLOOKUP($A26&amp;R$3,Data_Cong!$R:$AI,10,0))),"")</f>
        <v>x</v>
      </c>
      <c r="S26" s="49" t="str">
        <f>IFERROR(IF(S$3="","",IF(TEXT(S$3,"ddd")="CN","CN",VLOOKUP($A26&amp;S$3,Data_Cong!$R:$AI,10,0))),"")</f>
        <v>x</v>
      </c>
      <c r="T26" s="49" t="str">
        <f>IFERROR(IF(T$3="","",IF(TEXT(T$3,"ddd")="CN","CN",VLOOKUP($A26&amp;T$3,Data_Cong!$R:$AI,10,0))),"")</f>
        <v>x</v>
      </c>
      <c r="U26" s="49" t="str">
        <f>IFERROR(IF(U$3="","",IF(TEXT(U$3,"ddd")="CN","CN",VLOOKUP($A26&amp;U$3,Data_Cong!$R:$AI,10,0))),"")</f>
        <v>x</v>
      </c>
      <c r="V26" s="49" t="str">
        <f>IFERROR(IF(V$3="","",IF(TEXT(V$3,"ddd")="CN","CN",VLOOKUP($A26&amp;V$3,Data_Cong!$R:$AI,10,0))),"")</f>
        <v>x</v>
      </c>
      <c r="W26" s="49" t="str">
        <f>IFERROR(IF(W$3="","",IF(TEXT(W$3,"ddd")="CN","CN",VLOOKUP($A26&amp;W$3,Data_Cong!$R:$AI,10,0))),"")</f>
        <v>x</v>
      </c>
      <c r="X26" s="49" t="str">
        <f>IFERROR(IF(X$3="","",IF(TEXT(X$3,"ddd")="CN","CN",VLOOKUP($A26&amp;X$3,Data_Cong!$R:$AI,10,0))),"")</f>
        <v>CN</v>
      </c>
      <c r="Y26" s="49" t="str">
        <f>IFERROR(IF(Y$3="","",IF(TEXT(Y$3,"ddd")="CN","CN",VLOOKUP($A26&amp;Y$3,Data_Cong!$R:$AI,10,0))),"")</f>
        <v>x</v>
      </c>
      <c r="Z26" s="49" t="str">
        <f>IFERROR(IF(Z$3="","",IF(TEXT(Z$3,"ddd")="CN","CN",VLOOKUP($A26&amp;Z$3,Data_Cong!$R:$AI,10,0))),"")</f>
        <v>x</v>
      </c>
      <c r="AA26" s="49" t="str">
        <f>IFERROR(IF(AA$3="","",IF(TEXT(AA$3,"ddd")="CN","CN",VLOOKUP($A26&amp;AA$3,Data_Cong!$R:$AI,10,0))),"")</f>
        <v>x</v>
      </c>
      <c r="AB26" s="49" t="str">
        <f>IFERROR(IF(AB$3="","",IF(TEXT(AB$3,"ddd")="CN","CN",VLOOKUP($A26&amp;AB$3,Data_Cong!$R:$AI,10,0))),"")</f>
        <v>x</v>
      </c>
      <c r="AC26" s="49" t="str">
        <f>IFERROR(IF(AC$3="","",IF(TEXT(AC$3,"ddd")="CN","CN",VLOOKUP($A26&amp;AC$3,Data_Cong!$R:$AI,10,0))),"")</f>
        <v>x</v>
      </c>
      <c r="AD26" s="49" t="str">
        <f>IFERROR(IF(AD$3="","",IF(TEXT(AD$3,"ddd")="CN","CN",VLOOKUP($A26&amp;AD$3,Data_Cong!$R:$AI,10,0))),"")</f>
        <v>x</v>
      </c>
      <c r="AE26" s="49" t="str">
        <f>IFERROR(IF(AE$3="","",IF(TEXT(AE$3,"ddd")="CN","CN",VLOOKUP($A26&amp;AE$3,Data_Cong!$R:$AI,10,0))),"")</f>
        <v>CN</v>
      </c>
      <c r="AF26" s="49" t="str">
        <f>IFERROR(IF(AF$3="","",IF(TEXT(AF$3,"ddd")="CN","CN",VLOOKUP($A26&amp;AF$3,Data_Cong!$R:$AI,10,0))),"")</f>
        <v>x</v>
      </c>
      <c r="AG26" s="49" t="str">
        <f>IFERROR(IF(AG$3="","",IF(TEXT(AG$3,"ddd")="CN","CN",VLOOKUP($A26&amp;AG$3,Data_Cong!$R:$AI,10,0))),"")</f>
        <v>x</v>
      </c>
      <c r="AH26" s="49" t="str">
        <f>IFERROR(IF(AH$3="","",IF(TEXT(AH$3,"ddd")="CN","CN",VLOOKUP($A26&amp;AH$3,Data_Cong!$R:$AI,10,0))),"")</f>
        <v/>
      </c>
      <c r="AI26" s="50" cm="1">
        <f t="array" ref="AI26">SUMPRODUCT((D26:AH26="x")*1+(D26:AH26="P")*1+(D26:AH26="1/2P")*1+(D26:AH26="1/2")*0.5+(D26:AH26="2x")*2+(D26:AH26="L")*1)</f>
        <v>26</v>
      </c>
      <c r="AJ26" s="51">
        <f>SUMIF(Data_Cong!A:A,$A26,Data_Cong!AE:AE)</f>
        <v>1259</v>
      </c>
      <c r="AK26" s="52">
        <f>COUNTIFS(Data_Cong!AB:AB,"&gt;6",Data_Cong!A:A,A26)</f>
        <v>0</v>
      </c>
      <c r="AL26" s="53" t="str">
        <f>IF(MONTH(VLOOKUP(A26,Data_NV!$A:$J,10,0))=BANG_CHAM_CONG!$R$2,"T"&amp;BANG_CHAM_CONG!$R$2,"")</f>
        <v/>
      </c>
      <c r="AM26" s="96">
        <v>10.5</v>
      </c>
      <c r="AN26" s="93" cm="1">
        <f t="array" ref="AN26">IF((AM26+1)&gt;12,12,(AM26+1))-SUMPRODUCT((D26:AH26="P")*1+(D26:AH26="1/2P")*0.5)</f>
        <v>11.5</v>
      </c>
      <c r="AO26" s="50">
        <v>5</v>
      </c>
      <c r="AP26" s="54">
        <f>SUMIFS(Data_Cong!AF:AF,Data_Cong!A:A,$A26)+SUMIFS(Data_Cong!AG:AG,Data_Cong!A:A,$A26)</f>
        <v>0</v>
      </c>
    </row>
    <row r="27" spans="1:42" ht="15.75" x14ac:dyDescent="0.25">
      <c r="A27" s="28"/>
      <c r="B27" s="41"/>
      <c r="C27" s="41" t="s">
        <v>1264</v>
      </c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9"/>
      <c r="AM27" s="95"/>
      <c r="AN27" s="95"/>
      <c r="AO27" s="59"/>
      <c r="AP27" s="59"/>
    </row>
    <row r="28" spans="1:42" ht="15.75" x14ac:dyDescent="0.25">
      <c r="A28" s="28" t="s">
        <v>1088</v>
      </c>
      <c r="B28" s="47">
        <v>1</v>
      </c>
      <c r="C28" s="60" t="s">
        <v>1265</v>
      </c>
      <c r="D28" s="49" t="str">
        <f>IFERROR(IF(D$3="","",IF(TEXT(D$3,"ddd")="CN","CN",VLOOKUP($A28&amp;D$3,Data_Cong!$R:$AI,10,0))),"")</f>
        <v>L</v>
      </c>
      <c r="E28" s="49" t="str">
        <f>IFERROR(IF(E$3="","",IF(TEXT(E$3,"ddd")="CN","CN",VLOOKUP($A28&amp;E$3,Data_Cong!$R:$AI,10,0))),"")</f>
        <v>L</v>
      </c>
      <c r="F28" s="49" t="str">
        <f>IFERROR(IF(F$3="","",IF(TEXT(F$3,"ddd")="CN","CN",VLOOKUP($A28&amp;F$3,Data_Cong!$R:$AI,10,0))),"")</f>
        <v>x</v>
      </c>
      <c r="G28" s="49" t="str">
        <f>IFERROR(IF(G$3="","",IF(TEXT(G$3,"ddd")="CN","CN",VLOOKUP($A28&amp;G$3,Data_Cong!$R:$AI,10,0))),"")</f>
        <v>x</v>
      </c>
      <c r="H28" s="49" t="str">
        <f>IFERROR(IF(H$3="","",IF(TEXT(H$3,"ddd")="CN","CN",VLOOKUP($A28&amp;H$3,Data_Cong!$R:$AI,10,0))),"")</f>
        <v>x</v>
      </c>
      <c r="I28" s="49" t="str">
        <f>IFERROR(IF(I$3="","",IF(TEXT(I$3,"ddd")="CN","CN",VLOOKUP($A28&amp;I$3,Data_Cong!$R:$AI,10,0))),"")</f>
        <v>x</v>
      </c>
      <c r="J28" s="49" t="str">
        <f>IFERROR(IF(J$3="","",IF(TEXT(J$3,"ddd")="CN","CN",VLOOKUP($A28&amp;J$3,Data_Cong!$R:$AI,10,0))),"")</f>
        <v>CN</v>
      </c>
      <c r="K28" s="49" t="str">
        <f>IFERROR(IF(K$3="","",IF(TEXT(K$3,"ddd")="CN","CN",VLOOKUP($A28&amp;K$3,Data_Cong!$R:$AI,10,0))),"")</f>
        <v>x</v>
      </c>
      <c r="L28" s="49" t="str">
        <f>IFERROR(IF(L$3="","",IF(TEXT(L$3,"ddd")="CN","CN",VLOOKUP($A28&amp;L$3,Data_Cong!$R:$AI,10,0))),"")</f>
        <v>x</v>
      </c>
      <c r="M28" s="49" t="str">
        <f>IFERROR(IF(M$3="","",IF(TEXT(M$3,"ddd")="CN","CN",VLOOKUP($A28&amp;M$3,Data_Cong!$R:$AI,10,0))),"")</f>
        <v>x</v>
      </c>
      <c r="N28" s="49" t="str">
        <f>IFERROR(IF(N$3="","",IF(TEXT(N$3,"ddd")="CN","CN",VLOOKUP($A28&amp;N$3,Data_Cong!$R:$AI,10,0))),"")</f>
        <v>x</v>
      </c>
      <c r="O28" s="49" t="str">
        <f>IFERROR(IF(O$3="","",IF(TEXT(O$3,"ddd")="CN","CN",VLOOKUP($A28&amp;O$3,Data_Cong!$R:$AI,10,0))),"")</f>
        <v>x</v>
      </c>
      <c r="P28" s="49" t="str">
        <f>IFERROR(IF(P$3="","",IF(TEXT(P$3,"ddd")="CN","CN",VLOOKUP($A28&amp;P$3,Data_Cong!$R:$AI,10,0))),"")</f>
        <v>p</v>
      </c>
      <c r="Q28" s="49" t="str">
        <f>IFERROR(IF(Q$3="","",IF(TEXT(Q$3,"ddd")="CN","CN",VLOOKUP($A28&amp;Q$3,Data_Cong!$R:$AI,10,0))),"")</f>
        <v>CN</v>
      </c>
      <c r="R28" s="49" t="str">
        <f>IFERROR(IF(R$3="","",IF(TEXT(R$3,"ddd")="CN","CN",VLOOKUP($A28&amp;R$3,Data_Cong!$R:$AI,10,0))),"")</f>
        <v>p</v>
      </c>
      <c r="S28" s="49" t="str">
        <f>IFERROR(IF(S$3="","",IF(TEXT(S$3,"ddd")="CN","CN",VLOOKUP($A28&amp;S$3,Data_Cong!$R:$AI,10,0))),"")</f>
        <v>x</v>
      </c>
      <c r="T28" s="49" t="str">
        <f>IFERROR(IF(T$3="","",IF(TEXT(T$3,"ddd")="CN","CN",VLOOKUP($A28&amp;T$3,Data_Cong!$R:$AI,10,0))),"")</f>
        <v>x</v>
      </c>
      <c r="U28" s="49" t="str">
        <f>IFERROR(IF(U$3="","",IF(TEXT(U$3,"ddd")="CN","CN",VLOOKUP($A28&amp;U$3,Data_Cong!$R:$AI,10,0))),"")</f>
        <v>x</v>
      </c>
      <c r="V28" s="49" t="str">
        <f>IFERROR(IF(V$3="","",IF(TEXT(V$3,"ddd")="CN","CN",VLOOKUP($A28&amp;V$3,Data_Cong!$R:$AI,10,0))),"")</f>
        <v>x</v>
      </c>
      <c r="W28" s="49" t="str">
        <f>IFERROR(IF(W$3="","",IF(TEXT(W$3,"ddd")="CN","CN",VLOOKUP($A28&amp;W$3,Data_Cong!$R:$AI,10,0))),"")</f>
        <v>x</v>
      </c>
      <c r="X28" s="49" t="str">
        <f>IFERROR(IF(X$3="","",IF(TEXT(X$3,"ddd")="CN","CN",VLOOKUP($A28&amp;X$3,Data_Cong!$R:$AI,10,0))),"")</f>
        <v>CN</v>
      </c>
      <c r="Y28" s="49" t="str">
        <f>IFERROR(IF(Y$3="","",IF(TEXT(Y$3,"ddd")="CN","CN",VLOOKUP($A28&amp;Y$3,Data_Cong!$R:$AI,10,0))),"")</f>
        <v>x</v>
      </c>
      <c r="Z28" s="49" t="str">
        <f>IFERROR(IF(Z$3="","",IF(TEXT(Z$3,"ddd")="CN","CN",VLOOKUP($A28&amp;Z$3,Data_Cong!$R:$AI,10,0))),"")</f>
        <v>x</v>
      </c>
      <c r="AA28" s="49" t="str">
        <f>IFERROR(IF(AA$3="","",IF(TEXT(AA$3,"ddd")="CN","CN",VLOOKUP($A28&amp;AA$3,Data_Cong!$R:$AI,10,0))),"")</f>
        <v>x</v>
      </c>
      <c r="AB28" s="49" t="str">
        <f>IFERROR(IF(AB$3="","",IF(TEXT(AB$3,"ddd")="CN","CN",VLOOKUP($A28&amp;AB$3,Data_Cong!$R:$AI,10,0))),"")</f>
        <v>x</v>
      </c>
      <c r="AC28" s="49" t="str">
        <f>IFERROR(IF(AC$3="","",IF(TEXT(AC$3,"ddd")="CN","CN",VLOOKUP($A28&amp;AC$3,Data_Cong!$R:$AI,10,0))),"")</f>
        <v>x</v>
      </c>
      <c r="AD28" s="49" t="str">
        <f>IFERROR(IF(AD$3="","",IF(TEXT(AD$3,"ddd")="CN","CN",VLOOKUP($A28&amp;AD$3,Data_Cong!$R:$AI,10,0))),"")</f>
        <v>x</v>
      </c>
      <c r="AE28" s="49" t="str">
        <f>IFERROR(IF(AE$3="","",IF(TEXT(AE$3,"ddd")="CN","CN",VLOOKUP($A28&amp;AE$3,Data_Cong!$R:$AI,10,0))),"")</f>
        <v>CN</v>
      </c>
      <c r="AF28" s="49" t="str">
        <f>IFERROR(IF(AF$3="","",IF(TEXT(AF$3,"ddd")="CN","CN",VLOOKUP($A28&amp;AF$3,Data_Cong!$R:$AI,10,0))),"")</f>
        <v>x</v>
      </c>
      <c r="AG28" s="49" t="str">
        <f>IFERROR(IF(AG$3="","",IF(TEXT(AG$3,"ddd")="CN","CN",VLOOKUP($A28&amp;AG$3,Data_Cong!$R:$AI,10,0))),"")</f>
        <v>x</v>
      </c>
      <c r="AH28" s="49" t="str">
        <f>IFERROR(IF(AH$3="","",IF(TEXT(AH$3,"ddd")="CN","CN",VLOOKUP($A28&amp;AH$3,Data_Cong!$R:$AI,10,0))),"")</f>
        <v/>
      </c>
      <c r="AI28" s="50" cm="1">
        <f t="array" ref="AI28">SUMPRODUCT((D28:AH28="x")*1+(D28:AH28="P")*1+(D28:AH28="1/2P")*1+(D28:AH28="1/2")*0.5+(D28:AH28="2x")*2+(D28:AH28="L")*1)</f>
        <v>26</v>
      </c>
      <c r="AJ28" s="51">
        <f>SUMIF(Data_Cong!A:A,$A28,Data_Cong!AE:AE)</f>
        <v>0</v>
      </c>
      <c r="AK28" s="52">
        <f>COUNTIFS(Data_Cong!AB:AB,"&gt;6",Data_Cong!A:A,A28)</f>
        <v>0</v>
      </c>
      <c r="AL28" s="53" t="str">
        <f>IF(MONTH(VLOOKUP(A28,Data_NV!$A:$J,10,0))=BANG_CHAM_CONG!$R$2,"T"&amp;BANG_CHAM_CONG!$R$2,"")</f>
        <v/>
      </c>
      <c r="AM28" s="96">
        <v>1</v>
      </c>
      <c r="AN28" s="93" cm="1">
        <f t="array" ref="AN28">IF((AM28+1)&gt;12,12,(AM28+1))-SUMPRODUCT((D28:AH28="P")*1+(D28:AH28="1/2P")*0.5)</f>
        <v>0</v>
      </c>
      <c r="AO28" s="50">
        <v>2</v>
      </c>
      <c r="AP28" s="54">
        <f>SUMIFS(Data_Cong!AF:AF,Data_Cong!A:A,$A28)+SUMIFS(Data_Cong!AG:AG,Data_Cong!A:A,$A28)</f>
        <v>0</v>
      </c>
    </row>
    <row r="29" spans="1:42" ht="15.75" x14ac:dyDescent="0.25">
      <c r="A29" s="28" t="s">
        <v>1036</v>
      </c>
      <c r="B29" s="47">
        <v>2</v>
      </c>
      <c r="C29" s="60" t="s">
        <v>1266</v>
      </c>
      <c r="D29" s="49" t="str">
        <f>IFERROR(IF(D$3="","",IF(TEXT(D$3,"ddd")="CN","CN",VLOOKUP($A29&amp;D$3,Data_Cong!$R:$AI,10,0))),"")</f>
        <v>L</v>
      </c>
      <c r="E29" s="49" t="str">
        <f>IFERROR(IF(E$3="","",IF(TEXT(E$3,"ddd")="CN","CN",VLOOKUP($A29&amp;E$3,Data_Cong!$R:$AI,10,0))),"")</f>
        <v>L</v>
      </c>
      <c r="F29" s="49" t="str">
        <f>IFERROR(IF(F$3="","",IF(TEXT(F$3,"ddd")="CN","CN",VLOOKUP($A29&amp;F$3,Data_Cong!$R:$AI,10,0))),"")</f>
        <v/>
      </c>
      <c r="G29" s="49" t="str">
        <f>IFERROR(IF(G$3="","",IF(TEXT(G$3,"ddd")="CN","CN",VLOOKUP($A29&amp;G$3,Data_Cong!$R:$AI,10,0))),"")</f>
        <v>x</v>
      </c>
      <c r="H29" s="49" t="str">
        <f>IFERROR(IF(H$3="","",IF(TEXT(H$3,"ddd")="CN","CN",VLOOKUP($A29&amp;H$3,Data_Cong!$R:$AI,10,0))),"")</f>
        <v>x</v>
      </c>
      <c r="I29" s="49" t="str">
        <f>IFERROR(IF(I$3="","",IF(TEXT(I$3,"ddd")="CN","CN",VLOOKUP($A29&amp;I$3,Data_Cong!$R:$AI,10,0))),"")</f>
        <v>x</v>
      </c>
      <c r="J29" s="49" t="str">
        <f>IFERROR(IF(J$3="","",IF(TEXT(J$3,"ddd")="CN","CN",VLOOKUP($A29&amp;J$3,Data_Cong!$R:$AI,10,0))),"")</f>
        <v>CN</v>
      </c>
      <c r="K29" s="49" t="str">
        <f>IFERROR(IF(K$3="","",IF(TEXT(K$3,"ddd")="CN","CN",VLOOKUP($A29&amp;K$3,Data_Cong!$R:$AI,10,0))),"")</f>
        <v>x</v>
      </c>
      <c r="L29" s="49" t="str">
        <f>IFERROR(IF(L$3="","",IF(TEXT(L$3,"ddd")="CN","CN",VLOOKUP($A29&amp;L$3,Data_Cong!$R:$AI,10,0))),"")</f>
        <v>x</v>
      </c>
      <c r="M29" s="49" t="str">
        <f>IFERROR(IF(M$3="","",IF(TEXT(M$3,"ddd")="CN","CN",VLOOKUP($A29&amp;M$3,Data_Cong!$R:$AI,10,0))),"")</f>
        <v>x</v>
      </c>
      <c r="N29" s="49" t="str">
        <f>IFERROR(IF(N$3="","",IF(TEXT(N$3,"ddd")="CN","CN",VLOOKUP($A29&amp;N$3,Data_Cong!$R:$AI,10,0))),"")</f>
        <v>x</v>
      </c>
      <c r="O29" s="49" t="str">
        <f>IFERROR(IF(O$3="","",IF(TEXT(O$3,"ddd")="CN","CN",VLOOKUP($A29&amp;O$3,Data_Cong!$R:$AI,10,0))),"")</f>
        <v>x</v>
      </c>
      <c r="P29" s="49" t="str">
        <f>IFERROR(IF(P$3="","",IF(TEXT(P$3,"ddd")="CN","CN",VLOOKUP($A29&amp;P$3,Data_Cong!$R:$AI,10,0))),"")</f>
        <v>x</v>
      </c>
      <c r="Q29" s="49" t="str">
        <f>IFERROR(IF(Q$3="","",IF(TEXT(Q$3,"ddd")="CN","CN",VLOOKUP($A29&amp;Q$3,Data_Cong!$R:$AI,10,0))),"")</f>
        <v>CN</v>
      </c>
      <c r="R29" s="49" t="str">
        <f>IFERROR(IF(R$3="","",IF(TEXT(R$3,"ddd")="CN","CN",VLOOKUP($A29&amp;R$3,Data_Cong!$R:$AI,10,0))),"")</f>
        <v>x</v>
      </c>
      <c r="S29" s="49" t="str">
        <f>IFERROR(IF(S$3="","",IF(TEXT(S$3,"ddd")="CN","CN",VLOOKUP($A29&amp;S$3,Data_Cong!$R:$AI,10,0))),"")</f>
        <v>1/2</v>
      </c>
      <c r="T29" s="49" t="str">
        <f>IFERROR(IF(T$3="","",IF(TEXT(T$3,"ddd")="CN","CN",VLOOKUP($A29&amp;T$3,Data_Cong!$R:$AI,10,0))),"")</f>
        <v>x</v>
      </c>
      <c r="U29" s="49" t="str">
        <f>IFERROR(IF(U$3="","",IF(TEXT(U$3,"ddd")="CN","CN",VLOOKUP($A29&amp;U$3,Data_Cong!$R:$AI,10,0))),"")</f>
        <v>x</v>
      </c>
      <c r="V29" s="49" t="str">
        <f>IFERROR(IF(V$3="","",IF(TEXT(V$3,"ddd")="CN","CN",VLOOKUP($A29&amp;V$3,Data_Cong!$R:$AI,10,0))),"")</f>
        <v>x</v>
      </c>
      <c r="W29" s="49" t="str">
        <f>IFERROR(IF(W$3="","",IF(TEXT(W$3,"ddd")="CN","CN",VLOOKUP($A29&amp;W$3,Data_Cong!$R:$AI,10,0))),"")</f>
        <v>x</v>
      </c>
      <c r="X29" s="49" t="str">
        <f>IFERROR(IF(X$3="","",IF(TEXT(X$3,"ddd")="CN","CN",VLOOKUP($A29&amp;X$3,Data_Cong!$R:$AI,10,0))),"")</f>
        <v>CN</v>
      </c>
      <c r="Y29" s="49" t="str">
        <f>IFERROR(IF(Y$3="","",IF(TEXT(Y$3,"ddd")="CN","CN",VLOOKUP($A29&amp;Y$3,Data_Cong!$R:$AI,10,0))),"")</f>
        <v>x</v>
      </c>
      <c r="Z29" s="49" t="str">
        <f>IFERROR(IF(Z$3="","",IF(TEXT(Z$3,"ddd")="CN","CN",VLOOKUP($A29&amp;Z$3,Data_Cong!$R:$AI,10,0))),"")</f>
        <v>x</v>
      </c>
      <c r="AA29" s="49" t="str">
        <f>IFERROR(IF(AA$3="","",IF(TEXT(AA$3,"ddd")="CN","CN",VLOOKUP($A29&amp;AA$3,Data_Cong!$R:$AI,10,0))),"")</f>
        <v>x</v>
      </c>
      <c r="AB29" s="49" t="str">
        <f>IFERROR(IF(AB$3="","",IF(TEXT(AB$3,"ddd")="CN","CN",VLOOKUP($A29&amp;AB$3,Data_Cong!$R:$AI,10,0))),"")</f>
        <v>x</v>
      </c>
      <c r="AC29" s="49" t="str">
        <f>IFERROR(IF(AC$3="","",IF(TEXT(AC$3,"ddd")="CN","CN",VLOOKUP($A29&amp;AC$3,Data_Cong!$R:$AI,10,0))),"")</f>
        <v>x</v>
      </c>
      <c r="AD29" s="49" t="str">
        <f>IFERROR(IF(AD$3="","",IF(TEXT(AD$3,"ddd")="CN","CN",VLOOKUP($A29&amp;AD$3,Data_Cong!$R:$AI,10,0))),"")</f>
        <v>x</v>
      </c>
      <c r="AE29" s="49" t="str">
        <f>IFERROR(IF(AE$3="","",IF(TEXT(AE$3,"ddd")="CN","CN",VLOOKUP($A29&amp;AE$3,Data_Cong!$R:$AI,10,0))),"")</f>
        <v>CN</v>
      </c>
      <c r="AF29" s="49" t="str">
        <f>IFERROR(IF(AF$3="","",IF(TEXT(AF$3,"ddd")="CN","CN",VLOOKUP($A29&amp;AF$3,Data_Cong!$R:$AI,10,0))),"")</f>
        <v>x</v>
      </c>
      <c r="AG29" s="49" t="str">
        <f>IFERROR(IF(AG$3="","",IF(TEXT(AG$3,"ddd")="CN","CN",VLOOKUP($A29&amp;AG$3,Data_Cong!$R:$AI,10,0))),"")</f>
        <v>x</v>
      </c>
      <c r="AH29" s="49" t="str">
        <f>IFERROR(IF(AH$3="","",IF(TEXT(AH$3,"ddd")="CN","CN",VLOOKUP($A29&amp;AH$3,Data_Cong!$R:$AI,10,0))),"")</f>
        <v/>
      </c>
      <c r="AI29" s="50" cm="1">
        <f t="array" ref="AI29">SUMPRODUCT((D29:AH29="x")*1+(D29:AH29="P")*1+(D29:AH29="1/2P")*1+(D29:AH29="1/2")*0.5+(D29:AH29="2x")*2+(D29:AH29="L")*1)</f>
        <v>24.5</v>
      </c>
      <c r="AJ29" s="51">
        <f>SUMIF(Data_Cong!A:A,$A29,Data_Cong!AE:AE)</f>
        <v>730</v>
      </c>
      <c r="AK29" s="52">
        <f>COUNTIFS(Data_Cong!AB:AB,"&gt;6",Data_Cong!A:A,A29)</f>
        <v>3</v>
      </c>
      <c r="AL29" s="53" t="str">
        <f>IF(MONTH(VLOOKUP(A29,Data_NV!$A:$J,10,0))=BANG_CHAM_CONG!$R$2,"T"&amp;BANG_CHAM_CONG!$R$2,"")</f>
        <v/>
      </c>
      <c r="AM29" s="96"/>
      <c r="AN29" s="93"/>
      <c r="AO29" s="50"/>
      <c r="AP29" s="54">
        <f>SUMIFS(Data_Cong!AF:AF,Data_Cong!A:A,$A29)+SUMIFS(Data_Cong!AG:AG,Data_Cong!A:A,$A29)</f>
        <v>150000</v>
      </c>
    </row>
    <row r="30" spans="1:42" ht="15.75" x14ac:dyDescent="0.25">
      <c r="A30" s="28" t="s">
        <v>1135</v>
      </c>
      <c r="B30" s="47">
        <v>3</v>
      </c>
      <c r="C30" s="60" t="s">
        <v>1267</v>
      </c>
      <c r="D30" s="49" t="str">
        <f>IFERROR(IF(D$3="","",IF(TEXT(D$3,"ddd")="CN","CN",VLOOKUP($A30&amp;D$3,Data_Cong!$R:$AI,10,0))),"")</f>
        <v>L</v>
      </c>
      <c r="E30" s="49" t="str">
        <f>IFERROR(IF(E$3="","",IF(TEXT(E$3,"ddd")="CN","CN",VLOOKUP($A30&amp;E$3,Data_Cong!$R:$AI,10,0))),"")</f>
        <v>L</v>
      </c>
      <c r="F30" s="49" t="str">
        <f>IFERROR(IF(F$3="","",IF(TEXT(F$3,"ddd")="CN","CN",VLOOKUP($A30&amp;F$3,Data_Cong!$R:$AI,10,0))),"")</f>
        <v>x</v>
      </c>
      <c r="G30" s="49" t="str">
        <f>IFERROR(IF(G$3="","",IF(TEXT(G$3,"ddd")="CN","CN",VLOOKUP($A30&amp;G$3,Data_Cong!$R:$AI,10,0))),"")</f>
        <v/>
      </c>
      <c r="H30" s="49" t="str">
        <f>IFERROR(IF(H$3="","",IF(TEXT(H$3,"ddd")="CN","CN",VLOOKUP($A30&amp;H$3,Data_Cong!$R:$AI,10,0))),"")</f>
        <v>x</v>
      </c>
      <c r="I30" s="49" t="str">
        <f>IFERROR(IF(I$3="","",IF(TEXT(I$3,"ddd")="CN","CN",VLOOKUP($A30&amp;I$3,Data_Cong!$R:$AI,10,0))),"")</f>
        <v>x</v>
      </c>
      <c r="J30" s="49" t="str">
        <f>IFERROR(IF(J$3="","",IF(TEXT(J$3,"ddd")="CN","CN",VLOOKUP($A30&amp;J$3,Data_Cong!$R:$AI,10,0))),"")</f>
        <v>CN</v>
      </c>
      <c r="K30" s="49" t="str">
        <f>IFERROR(IF(K$3="","",IF(TEXT(K$3,"ddd")="CN","CN",VLOOKUP($A30&amp;K$3,Data_Cong!$R:$AI,10,0))),"")</f>
        <v>x</v>
      </c>
      <c r="L30" s="49" t="str">
        <f>IFERROR(IF(L$3="","",IF(TEXT(L$3,"ddd")="CN","CN",VLOOKUP($A30&amp;L$3,Data_Cong!$R:$AI,10,0))),"")</f>
        <v>x</v>
      </c>
      <c r="M30" s="49" t="str">
        <f>IFERROR(IF(M$3="","",IF(TEXT(M$3,"ddd")="CN","CN",VLOOKUP($A30&amp;M$3,Data_Cong!$R:$AI,10,0))),"")</f>
        <v>x</v>
      </c>
      <c r="N30" s="49" t="str">
        <f>IFERROR(IF(N$3="","",IF(TEXT(N$3,"ddd")="CN","CN",VLOOKUP($A30&amp;N$3,Data_Cong!$R:$AI,10,0))),"")</f>
        <v>x</v>
      </c>
      <c r="O30" s="49" t="str">
        <f>IFERROR(IF(O$3="","",IF(TEXT(O$3,"ddd")="CN","CN",VLOOKUP($A30&amp;O$3,Data_Cong!$R:$AI,10,0))),"")</f>
        <v>x</v>
      </c>
      <c r="P30" s="49" t="str">
        <f>IFERROR(IF(P$3="","",IF(TEXT(P$3,"ddd")="CN","CN",VLOOKUP($A30&amp;P$3,Data_Cong!$R:$AI,10,0))),"")</f>
        <v>x</v>
      </c>
      <c r="Q30" s="49" t="str">
        <f>IFERROR(IF(Q$3="","",IF(TEXT(Q$3,"ddd")="CN","CN",VLOOKUP($A30&amp;Q$3,Data_Cong!$R:$AI,10,0))),"")</f>
        <v>CN</v>
      </c>
      <c r="R30" s="49" t="str">
        <f>IFERROR(IF(R$3="","",IF(TEXT(R$3,"ddd")="CN","CN",VLOOKUP($A30&amp;R$3,Data_Cong!$R:$AI,10,0))),"")</f>
        <v>x</v>
      </c>
      <c r="S30" s="49" t="str">
        <f>IFERROR(IF(S$3="","",IF(TEXT(S$3,"ddd")="CN","CN",VLOOKUP($A30&amp;S$3,Data_Cong!$R:$AI,10,0))),"")</f>
        <v>x</v>
      </c>
      <c r="T30" s="49" t="str">
        <f>IFERROR(IF(T$3="","",IF(TEXT(T$3,"ddd")="CN","CN",VLOOKUP($A30&amp;T$3,Data_Cong!$R:$AI,10,0))),"")</f>
        <v>1/2</v>
      </c>
      <c r="U30" s="49" t="str">
        <f>IFERROR(IF(U$3="","",IF(TEXT(U$3,"ddd")="CN","CN",VLOOKUP($A30&amp;U$3,Data_Cong!$R:$AI,10,0))),"")</f>
        <v>x</v>
      </c>
      <c r="V30" s="49" t="str">
        <f>IFERROR(IF(V$3="","",IF(TEXT(V$3,"ddd")="CN","CN",VLOOKUP($A30&amp;V$3,Data_Cong!$R:$AI,10,0))),"")</f>
        <v>x</v>
      </c>
      <c r="W30" s="49" t="str">
        <f>IFERROR(IF(W$3="","",IF(TEXT(W$3,"ddd")="CN","CN",VLOOKUP($A30&amp;W$3,Data_Cong!$R:$AI,10,0))),"")</f>
        <v>x</v>
      </c>
      <c r="X30" s="49" t="str">
        <f>IFERROR(IF(X$3="","",IF(TEXT(X$3,"ddd")="CN","CN",VLOOKUP($A30&amp;X$3,Data_Cong!$R:$AI,10,0))),"")</f>
        <v>CN</v>
      </c>
      <c r="Y30" s="49" t="str">
        <f>IFERROR(IF(Y$3="","",IF(TEXT(Y$3,"ddd")="CN","CN",VLOOKUP($A30&amp;Y$3,Data_Cong!$R:$AI,10,0))),"")</f>
        <v>x</v>
      </c>
      <c r="Z30" s="49" t="str">
        <f>IFERROR(IF(Z$3="","",IF(TEXT(Z$3,"ddd")="CN","CN",VLOOKUP($A30&amp;Z$3,Data_Cong!$R:$AI,10,0))),"")</f>
        <v>x</v>
      </c>
      <c r="AA30" s="49" t="str">
        <f>IFERROR(IF(AA$3="","",IF(TEXT(AA$3,"ddd")="CN","CN",VLOOKUP($A30&amp;AA$3,Data_Cong!$R:$AI,10,0))),"")</f>
        <v>x</v>
      </c>
      <c r="AB30" s="49" t="str">
        <f>IFERROR(IF(AB$3="","",IF(TEXT(AB$3,"ddd")="CN","CN",VLOOKUP($A30&amp;AB$3,Data_Cong!$R:$AI,10,0))),"")</f>
        <v/>
      </c>
      <c r="AC30" s="49" t="str">
        <f>IFERROR(IF(AC$3="","",IF(TEXT(AC$3,"ddd")="CN","CN",VLOOKUP($A30&amp;AC$3,Data_Cong!$R:$AI,10,0))),"")</f>
        <v>x</v>
      </c>
      <c r="AD30" s="49" t="str">
        <f>IFERROR(IF(AD$3="","",IF(TEXT(AD$3,"ddd")="CN","CN",VLOOKUP($A30&amp;AD$3,Data_Cong!$R:$AI,10,0))),"")</f>
        <v>x</v>
      </c>
      <c r="AE30" s="49" t="str">
        <f>IFERROR(IF(AE$3="","",IF(TEXT(AE$3,"ddd")="CN","CN",VLOOKUP($A30&amp;AE$3,Data_Cong!$R:$AI,10,0))),"")</f>
        <v>CN</v>
      </c>
      <c r="AF30" s="49" t="str">
        <f>IFERROR(IF(AF$3="","",IF(TEXT(AF$3,"ddd")="CN","CN",VLOOKUP($A30&amp;AF$3,Data_Cong!$R:$AI,10,0))),"")</f>
        <v>x</v>
      </c>
      <c r="AG30" s="49" t="str">
        <f>IFERROR(IF(AG$3="","",IF(TEXT(AG$3,"ddd")="CN","CN",VLOOKUP($A30&amp;AG$3,Data_Cong!$R:$AI,10,0))),"")</f>
        <v>x</v>
      </c>
      <c r="AH30" s="49" t="str">
        <f>IFERROR(IF(AH$3="","",IF(TEXT(AH$3,"ddd")="CN","CN",VLOOKUP($A30&amp;AH$3,Data_Cong!$R:$AI,10,0))),"")</f>
        <v/>
      </c>
      <c r="AI30" s="50" cm="1">
        <f t="array" ref="AI30">SUMPRODUCT((D30:AH30="x")*1+(D30:AH30="P")*1+(D30:AH30="1/2P")*1+(D30:AH30="1/2")*0.5+(D30:AH30="2x")*2+(D30:AH30="L")*1)</f>
        <v>23.5</v>
      </c>
      <c r="AJ30" s="51">
        <f>SUMIF(Data_Cong!A:A,$A30,Data_Cong!AE:AE)</f>
        <v>2370</v>
      </c>
      <c r="AK30" s="52">
        <f>COUNTIFS(Data_Cong!AB:AB,"&gt;6",Data_Cong!A:A,A30)</f>
        <v>15</v>
      </c>
      <c r="AL30" s="53" t="str">
        <f>IF(MONTH(VLOOKUP(A30,Data_NV!$A:$J,10,0))=BANG_CHAM_CONG!$R$2,"T"&amp;BANG_CHAM_CONG!$R$2,"")</f>
        <v/>
      </c>
      <c r="AM30" s="96"/>
      <c r="AN30" s="93"/>
      <c r="AO30" s="50"/>
      <c r="AP30" s="54">
        <f>SUMIFS(Data_Cong!AF:AF,Data_Cong!A:A,$A30)+SUMIFS(Data_Cong!AG:AG,Data_Cong!A:A,$A30)</f>
        <v>570000</v>
      </c>
    </row>
    <row r="31" spans="1:42" ht="15.75" x14ac:dyDescent="0.25">
      <c r="A31" s="28" t="s">
        <v>1190</v>
      </c>
      <c r="B31" s="47">
        <v>4</v>
      </c>
      <c r="C31" s="60" t="s">
        <v>1268</v>
      </c>
      <c r="D31" s="49" t="str">
        <f>IFERROR(IF(D$3="","",IF(TEXT(D$3,"ddd")="CN","CN",VLOOKUP($A31&amp;D$3,Data_Cong!$R:$AI,10,0))),"")</f>
        <v>L</v>
      </c>
      <c r="E31" s="49" t="str">
        <f>IFERROR(IF(E$3="","",IF(TEXT(E$3,"ddd")="CN","CN",VLOOKUP($A31&amp;E$3,Data_Cong!$R:$AI,10,0))),"")</f>
        <v>L</v>
      </c>
      <c r="F31" s="49" t="str">
        <f>IFERROR(IF(F$3="","",IF(TEXT(F$3,"ddd")="CN","CN",VLOOKUP($A31&amp;F$3,Data_Cong!$R:$AI,10,0))),"")</f>
        <v>x</v>
      </c>
      <c r="G31" s="49" t="str">
        <f>IFERROR(IF(G$3="","",IF(TEXT(G$3,"ddd")="CN","CN",VLOOKUP($A31&amp;G$3,Data_Cong!$R:$AI,10,0))),"")</f>
        <v>x</v>
      </c>
      <c r="H31" s="49" t="str">
        <f>IFERROR(IF(H$3="","",IF(TEXT(H$3,"ddd")="CN","CN",VLOOKUP($A31&amp;H$3,Data_Cong!$R:$AI,10,0))),"")</f>
        <v>x</v>
      </c>
      <c r="I31" s="49" t="str">
        <f>IFERROR(IF(I$3="","",IF(TEXT(I$3,"ddd")="CN","CN",VLOOKUP($A31&amp;I$3,Data_Cong!$R:$AI,10,0))),"")</f>
        <v>x</v>
      </c>
      <c r="J31" s="49" t="str">
        <f>IFERROR(IF(J$3="","",IF(TEXT(J$3,"ddd")="CN","CN",VLOOKUP($A31&amp;J$3,Data_Cong!$R:$AI,10,0))),"")</f>
        <v>CN</v>
      </c>
      <c r="K31" s="49" t="str">
        <f>IFERROR(IF(K$3="","",IF(TEXT(K$3,"ddd")="CN","CN",VLOOKUP($A31&amp;K$3,Data_Cong!$R:$AI,10,0))),"")</f>
        <v>x</v>
      </c>
      <c r="L31" s="49" t="str">
        <f>IFERROR(IF(L$3="","",IF(TEXT(L$3,"ddd")="CN","CN",VLOOKUP($A31&amp;L$3,Data_Cong!$R:$AI,10,0))),"")</f>
        <v>x</v>
      </c>
      <c r="M31" s="49" t="str">
        <f>IFERROR(IF(M$3="","",IF(TEXT(M$3,"ddd")="CN","CN",VLOOKUP($A31&amp;M$3,Data_Cong!$R:$AI,10,0))),"")</f>
        <v>x</v>
      </c>
      <c r="N31" s="49" t="str">
        <f>IFERROR(IF(N$3="","",IF(TEXT(N$3,"ddd")="CN","CN",VLOOKUP($A31&amp;N$3,Data_Cong!$R:$AI,10,0))),"")</f>
        <v>x</v>
      </c>
      <c r="O31" s="49" t="str">
        <f>IFERROR(IF(O$3="","",IF(TEXT(O$3,"ddd")="CN","CN",VLOOKUP($A31&amp;O$3,Data_Cong!$R:$AI,10,0))),"")</f>
        <v>x</v>
      </c>
      <c r="P31" s="49" t="str">
        <f>IFERROR(IF(P$3="","",IF(TEXT(P$3,"ddd")="CN","CN",VLOOKUP($A31&amp;P$3,Data_Cong!$R:$AI,10,0))),"")</f>
        <v>x</v>
      </c>
      <c r="Q31" s="49" t="str">
        <f>IFERROR(IF(Q$3="","",IF(TEXT(Q$3,"ddd")="CN","CN",VLOOKUP($A31&amp;Q$3,Data_Cong!$R:$AI,10,0))),"")</f>
        <v>CN</v>
      </c>
      <c r="R31" s="49" t="str">
        <f>IFERROR(IF(R$3="","",IF(TEXT(R$3,"ddd")="CN","CN",VLOOKUP($A31&amp;R$3,Data_Cong!$R:$AI,10,0))),"")</f>
        <v>x</v>
      </c>
      <c r="S31" s="49" t="str">
        <f>IFERROR(IF(S$3="","",IF(TEXT(S$3,"ddd")="CN","CN",VLOOKUP($A31&amp;S$3,Data_Cong!$R:$AI,10,0))),"")</f>
        <v>x</v>
      </c>
      <c r="T31" s="49" t="str">
        <f>IFERROR(IF(T$3="","",IF(TEXT(T$3,"ddd")="CN","CN",VLOOKUP($A31&amp;T$3,Data_Cong!$R:$AI,10,0))),"")</f>
        <v>x</v>
      </c>
      <c r="U31" s="49" t="str">
        <f>IFERROR(IF(U$3="","",IF(TEXT(U$3,"ddd")="CN","CN",VLOOKUP($A31&amp;U$3,Data_Cong!$R:$AI,10,0))),"")</f>
        <v>x</v>
      </c>
      <c r="V31" s="49" t="str">
        <f>IFERROR(IF(V$3="","",IF(TEXT(V$3,"ddd")="CN","CN",VLOOKUP($A31&amp;V$3,Data_Cong!$R:$AI,10,0))),"")</f>
        <v>x</v>
      </c>
      <c r="W31" s="49" t="str">
        <f>IFERROR(IF(W$3="","",IF(TEXT(W$3,"ddd")="CN","CN",VLOOKUP($A31&amp;W$3,Data_Cong!$R:$AI,10,0))),"")</f>
        <v>x</v>
      </c>
      <c r="X31" s="49" t="str">
        <f>IFERROR(IF(X$3="","",IF(TEXT(X$3,"ddd")="CN","CN",VLOOKUP($A31&amp;X$3,Data_Cong!$R:$AI,10,0))),"")</f>
        <v>CN</v>
      </c>
      <c r="Y31" s="49" t="str">
        <f>IFERROR(IF(Y$3="","",IF(TEXT(Y$3,"ddd")="CN","CN",VLOOKUP($A31&amp;Y$3,Data_Cong!$R:$AI,10,0))),"")</f>
        <v>x</v>
      </c>
      <c r="Z31" s="49" t="str">
        <f>IFERROR(IF(Z$3="","",IF(TEXT(Z$3,"ddd")="CN","CN",VLOOKUP($A31&amp;Z$3,Data_Cong!$R:$AI,10,0))),"")</f>
        <v>x</v>
      </c>
      <c r="AA31" s="49" t="str">
        <f>IFERROR(IF(AA$3="","",IF(TEXT(AA$3,"ddd")="CN","CN",VLOOKUP($A31&amp;AA$3,Data_Cong!$R:$AI,10,0))),"")</f>
        <v>x</v>
      </c>
      <c r="AB31" s="49" t="str">
        <f>IFERROR(IF(AB$3="","",IF(TEXT(AB$3,"ddd")="CN","CN",VLOOKUP($A31&amp;AB$3,Data_Cong!$R:$AI,10,0))),"")</f>
        <v>x</v>
      </c>
      <c r="AC31" s="49" t="str">
        <f>IFERROR(IF(AC$3="","",IF(TEXT(AC$3,"ddd")="CN","CN",VLOOKUP($A31&amp;AC$3,Data_Cong!$R:$AI,10,0))),"")</f>
        <v>x</v>
      </c>
      <c r="AD31" s="49" t="str">
        <f>IFERROR(IF(AD$3="","",IF(TEXT(AD$3,"ddd")="CN","CN",VLOOKUP($A31&amp;AD$3,Data_Cong!$R:$AI,10,0))),"")</f>
        <v>x</v>
      </c>
      <c r="AE31" s="49" t="str">
        <f>IFERROR(IF(AE$3="","",IF(TEXT(AE$3,"ddd")="CN","CN",VLOOKUP($A31&amp;AE$3,Data_Cong!$R:$AI,10,0))),"")</f>
        <v>CN</v>
      </c>
      <c r="AF31" s="49" t="str">
        <f>IFERROR(IF(AF$3="","",IF(TEXT(AF$3,"ddd")="CN","CN",VLOOKUP($A31&amp;AF$3,Data_Cong!$R:$AI,10,0))),"")</f>
        <v>x</v>
      </c>
      <c r="AG31" s="49" t="str">
        <f>IFERROR(IF(AG$3="","",IF(TEXT(AG$3,"ddd")="CN","CN",VLOOKUP($A31&amp;AG$3,Data_Cong!$R:$AI,10,0))),"")</f>
        <v>x</v>
      </c>
      <c r="AH31" s="49" t="str">
        <f>IFERROR(IF(AH$3="","",IF(TEXT(AH$3,"ddd")="CN","CN",VLOOKUP($A31&amp;AH$3,Data_Cong!$R:$AI,10,0))),"")</f>
        <v/>
      </c>
      <c r="AI31" s="50" cm="1">
        <f t="array" ref="AI31">SUMPRODUCT((D31:AH31="x")*1+(D31:AH31="P")*1+(D31:AH31="1/2P")*1+(D31:AH31="1/2")*0.5+(D31:AH31="2x")*2+(D31:AH31="L")*1)</f>
        <v>26</v>
      </c>
      <c r="AJ31" s="51">
        <f>SUMIF(Data_Cong!A:A,$A31,Data_Cong!AE:AE)</f>
        <v>2319</v>
      </c>
      <c r="AK31" s="52">
        <f>COUNTIFS(Data_Cong!AB:AB,"&gt;6",Data_Cong!A:A,A31)</f>
        <v>0</v>
      </c>
      <c r="AL31" s="53" t="str">
        <f>IF(MONTH(VLOOKUP(A31,Data_NV!$A:$J,10,0))=BANG_CHAM_CONG!$R$2,"T"&amp;BANG_CHAM_CONG!$R$2,"")</f>
        <v/>
      </c>
      <c r="AM31" s="96">
        <v>11.5</v>
      </c>
      <c r="AN31" s="93" cm="1">
        <f t="array" ref="AN31">IF((AM31+1)&gt;12,12,(AM31+1))-SUMPRODUCT((D31:AH31="P")*1+(D31:AH31="1/2P")*0.5)</f>
        <v>12</v>
      </c>
      <c r="AO31" s="50"/>
      <c r="AP31" s="54">
        <f>SUMIFS(Data_Cong!AF:AF,Data_Cong!A:A,$A31)+SUMIFS(Data_Cong!AG:AG,Data_Cong!A:A,$A31)</f>
        <v>0</v>
      </c>
    </row>
    <row r="32" spans="1:42" ht="15.75" x14ac:dyDescent="0.25">
      <c r="A32" s="28" t="s">
        <v>352</v>
      </c>
      <c r="B32" s="47">
        <v>5</v>
      </c>
      <c r="C32" s="60" t="s">
        <v>1269</v>
      </c>
      <c r="D32" s="49" t="str">
        <f>IFERROR(IF(D$3="","",IF(TEXT(D$3,"ddd")="CN","CN",VLOOKUP($A32&amp;D$3,Data_Cong!$R:$AI,10,0))),"")</f>
        <v>L</v>
      </c>
      <c r="E32" s="49" t="str">
        <f>IFERROR(IF(E$3="","",IF(TEXT(E$3,"ddd")="CN","CN",VLOOKUP($A32&amp;E$3,Data_Cong!$R:$AI,10,0))),"")</f>
        <v>L</v>
      </c>
      <c r="F32" s="49" t="str">
        <f>IFERROR(IF(F$3="","",IF(TEXT(F$3,"ddd")="CN","CN",VLOOKUP($A32&amp;F$3,Data_Cong!$R:$AI,10,0))),"")</f>
        <v/>
      </c>
      <c r="G32" s="49" t="str">
        <f>IFERROR(IF(G$3="","",IF(TEXT(G$3,"ddd")="CN","CN",VLOOKUP($A32&amp;G$3,Data_Cong!$R:$AI,10,0))),"")</f>
        <v>x</v>
      </c>
      <c r="H32" s="49" t="str">
        <f>IFERROR(IF(H$3="","",IF(TEXT(H$3,"ddd")="CN","CN",VLOOKUP($A32&amp;H$3,Data_Cong!$R:$AI,10,0))),"")</f>
        <v>x</v>
      </c>
      <c r="I32" s="49" t="str">
        <f>IFERROR(IF(I$3="","",IF(TEXT(I$3,"ddd")="CN","CN",VLOOKUP($A32&amp;I$3,Data_Cong!$R:$AI,10,0))),"")</f>
        <v>x</v>
      </c>
      <c r="J32" s="49" t="str">
        <f>IFERROR(IF(J$3="","",IF(TEXT(J$3,"ddd")="CN","CN",VLOOKUP($A32&amp;J$3,Data_Cong!$R:$AI,10,0))),"")</f>
        <v>CN</v>
      </c>
      <c r="K32" s="49" t="str">
        <f>IFERROR(IF(K$3="","",IF(TEXT(K$3,"ddd")="CN","CN",VLOOKUP($A32&amp;K$3,Data_Cong!$R:$AI,10,0))),"")</f>
        <v>x</v>
      </c>
      <c r="L32" s="49" t="str">
        <f>IFERROR(IF(L$3="","",IF(TEXT(L$3,"ddd")="CN","CN",VLOOKUP($A32&amp;L$3,Data_Cong!$R:$AI,10,0))),"")</f>
        <v>x</v>
      </c>
      <c r="M32" s="49" t="str">
        <f>IFERROR(IF(M$3="","",IF(TEXT(M$3,"ddd")="CN","CN",VLOOKUP($A32&amp;M$3,Data_Cong!$R:$AI,10,0))),"")</f>
        <v>x</v>
      </c>
      <c r="N32" s="49" t="str">
        <f>IFERROR(IF(N$3="","",IF(TEXT(N$3,"ddd")="CN","CN",VLOOKUP($A32&amp;N$3,Data_Cong!$R:$AI,10,0))),"")</f>
        <v>x</v>
      </c>
      <c r="O32" s="49" t="str">
        <f>IFERROR(IF(O$3="","",IF(TEXT(O$3,"ddd")="CN","CN",VLOOKUP($A32&amp;O$3,Data_Cong!$R:$AI,10,0))),"")</f>
        <v>x</v>
      </c>
      <c r="P32" s="49" t="str">
        <f>IFERROR(IF(P$3="","",IF(TEXT(P$3,"ddd")="CN","CN",VLOOKUP($A32&amp;P$3,Data_Cong!$R:$AI,10,0))),"")</f>
        <v>x</v>
      </c>
      <c r="Q32" s="49" t="str">
        <f>IFERROR(IF(Q$3="","",IF(TEXT(Q$3,"ddd")="CN","CN",VLOOKUP($A32&amp;Q$3,Data_Cong!$R:$AI,10,0))),"")</f>
        <v>CN</v>
      </c>
      <c r="R32" s="49" t="str">
        <f>IFERROR(IF(R$3="","",IF(TEXT(R$3,"ddd")="CN","CN",VLOOKUP($A32&amp;R$3,Data_Cong!$R:$AI,10,0))),"")</f>
        <v>x</v>
      </c>
      <c r="S32" s="49" t="str">
        <f>IFERROR(IF(S$3="","",IF(TEXT(S$3,"ddd")="CN","CN",VLOOKUP($A32&amp;S$3,Data_Cong!$R:$AI,10,0))),"")</f>
        <v>x</v>
      </c>
      <c r="T32" s="49" t="str">
        <f>IFERROR(IF(T$3="","",IF(TEXT(T$3,"ddd")="CN","CN",VLOOKUP($A32&amp;T$3,Data_Cong!$R:$AI,10,0))),"")</f>
        <v>x</v>
      </c>
      <c r="U32" s="49" t="str">
        <f>IFERROR(IF(U$3="","",IF(TEXT(U$3,"ddd")="CN","CN",VLOOKUP($A32&amp;U$3,Data_Cong!$R:$AI,10,0))),"")</f>
        <v>x</v>
      </c>
      <c r="V32" s="49" t="str">
        <f>IFERROR(IF(V$3="","",IF(TEXT(V$3,"ddd")="CN","CN",VLOOKUP($A32&amp;V$3,Data_Cong!$R:$AI,10,0))),"")</f>
        <v>x</v>
      </c>
      <c r="W32" s="49" t="str">
        <f>IFERROR(IF(W$3="","",IF(TEXT(W$3,"ddd")="CN","CN",VLOOKUP($A32&amp;W$3,Data_Cong!$R:$AI,10,0))),"")</f>
        <v>x</v>
      </c>
      <c r="X32" s="49" t="str">
        <f>IFERROR(IF(X$3="","",IF(TEXT(X$3,"ddd")="CN","CN",VLOOKUP($A32&amp;X$3,Data_Cong!$R:$AI,10,0))),"")</f>
        <v>CN</v>
      </c>
      <c r="Y32" s="49" t="str">
        <f>IFERROR(IF(Y$3="","",IF(TEXT(Y$3,"ddd")="CN","CN",VLOOKUP($A32&amp;Y$3,Data_Cong!$R:$AI,10,0))),"")</f>
        <v>x</v>
      </c>
      <c r="Z32" s="49" t="str">
        <f>IFERROR(IF(Z$3="","",IF(TEXT(Z$3,"ddd")="CN","CN",VLOOKUP($A32&amp;Z$3,Data_Cong!$R:$AI,10,0))),"")</f>
        <v>x</v>
      </c>
      <c r="AA32" s="49" t="str">
        <f>IFERROR(IF(AA$3="","",IF(TEXT(AA$3,"ddd")="CN","CN",VLOOKUP($A32&amp;AA$3,Data_Cong!$R:$AI,10,0))),"")</f>
        <v>x</v>
      </c>
      <c r="AB32" s="49" t="str">
        <f>IFERROR(IF(AB$3="","",IF(TEXT(AB$3,"ddd")="CN","CN",VLOOKUP($A32&amp;AB$3,Data_Cong!$R:$AI,10,0))),"")</f>
        <v>x</v>
      </c>
      <c r="AC32" s="49" t="str">
        <f>IFERROR(IF(AC$3="","",IF(TEXT(AC$3,"ddd")="CN","CN",VLOOKUP($A32&amp;AC$3,Data_Cong!$R:$AI,10,0))),"")</f>
        <v>x</v>
      </c>
      <c r="AD32" s="49" t="str">
        <f>IFERROR(IF(AD$3="","",IF(TEXT(AD$3,"ddd")="CN","CN",VLOOKUP($A32&amp;AD$3,Data_Cong!$R:$AI,10,0))),"")</f>
        <v>x</v>
      </c>
      <c r="AE32" s="49" t="str">
        <f>IFERROR(IF(AE$3="","",IF(TEXT(AE$3,"ddd")="CN","CN",VLOOKUP($A32&amp;AE$3,Data_Cong!$R:$AI,10,0))),"")</f>
        <v>CN</v>
      </c>
      <c r="AF32" s="49" t="str">
        <f>IFERROR(IF(AF$3="","",IF(TEXT(AF$3,"ddd")="CN","CN",VLOOKUP($A32&amp;AF$3,Data_Cong!$R:$AI,10,0))),"")</f>
        <v>x</v>
      </c>
      <c r="AG32" s="49" t="str">
        <f>IFERROR(IF(AG$3="","",IF(TEXT(AG$3,"ddd")="CN","CN",VLOOKUP($A32&amp;AG$3,Data_Cong!$R:$AI,10,0))),"")</f>
        <v>x</v>
      </c>
      <c r="AH32" s="49" t="str">
        <f>IFERROR(IF(AH$3="","",IF(TEXT(AH$3,"ddd")="CN","CN",VLOOKUP($A32&amp;AH$3,Data_Cong!$R:$AI,10,0))),"")</f>
        <v/>
      </c>
      <c r="AI32" s="50" cm="1">
        <f t="array" ref="AI32">SUMPRODUCT((D32:AH32="x")*1+(D32:AH32="P")*1+(D32:AH32="1/2P")*1+(D32:AH32="1/2")*0.5+(D32:AH32="2x")*2+(D32:AH32="L")*1)</f>
        <v>25</v>
      </c>
      <c r="AJ32" s="51">
        <f>SUMIF(Data_Cong!A:A,$A32,Data_Cong!AE:AE)</f>
        <v>2374</v>
      </c>
      <c r="AK32" s="52">
        <f>COUNTIFS(Data_Cong!AB:AB,"&gt;6",Data_Cong!A:A,A32)</f>
        <v>0</v>
      </c>
      <c r="AL32" s="53" t="str">
        <f>IF(MONTH(VLOOKUP(A32,Data_NV!$A:$J,10,0))=BANG_CHAM_CONG!$R$2,"T"&amp;BANG_CHAM_CONG!$R$2,"")</f>
        <v/>
      </c>
      <c r="AM32" s="96">
        <v>9</v>
      </c>
      <c r="AN32" s="93" cm="1">
        <f t="array" ref="AN32">IF((AM32+1)&gt;12,12,(AM32+1))-SUMPRODUCT((D32:AH32="P")*1+(D32:AH32="1/2P")*0.5)</f>
        <v>10</v>
      </c>
      <c r="AO32" s="50"/>
      <c r="AP32" s="54">
        <f>SUMIFS(Data_Cong!AF:AF,Data_Cong!A:A,$A32)+SUMIFS(Data_Cong!AG:AG,Data_Cong!A:A,$A32)</f>
        <v>0</v>
      </c>
    </row>
    <row r="33" spans="1:42" ht="15.75" x14ac:dyDescent="0.25">
      <c r="A33" s="28" t="s">
        <v>835</v>
      </c>
      <c r="B33" s="47">
        <v>6</v>
      </c>
      <c r="C33" s="48" t="s">
        <v>1270</v>
      </c>
      <c r="D33" s="49" t="str">
        <f>IFERROR(IF(D$3="","",IF(TEXT(D$3,"ddd")="CN","CN",VLOOKUP($A33&amp;D$3,Data_Cong!$R:$AI,10,0))),"")</f>
        <v>L</v>
      </c>
      <c r="E33" s="49" t="str">
        <f>IFERROR(IF(E$3="","",IF(TEXT(E$3,"ddd")="CN","CN",VLOOKUP($A33&amp;E$3,Data_Cong!$R:$AI,10,0))),"")</f>
        <v>L</v>
      </c>
      <c r="F33" s="49" t="str">
        <f>IFERROR(IF(F$3="","",IF(TEXT(F$3,"ddd")="CN","CN",VLOOKUP($A33&amp;F$3,Data_Cong!$R:$AI,10,0))),"")</f>
        <v>x</v>
      </c>
      <c r="G33" s="49" t="str">
        <f>IFERROR(IF(G$3="","",IF(TEXT(G$3,"ddd")="CN","CN",VLOOKUP($A33&amp;G$3,Data_Cong!$R:$AI,10,0))),"")</f>
        <v>x</v>
      </c>
      <c r="H33" s="49" t="str">
        <f>IFERROR(IF(H$3="","",IF(TEXT(H$3,"ddd")="CN","CN",VLOOKUP($A33&amp;H$3,Data_Cong!$R:$AI,10,0))),"")</f>
        <v>x</v>
      </c>
      <c r="I33" s="49" t="str">
        <f>IFERROR(IF(I$3="","",IF(TEXT(I$3,"ddd")="CN","CN",VLOOKUP($A33&amp;I$3,Data_Cong!$R:$AI,10,0))),"")</f>
        <v>x</v>
      </c>
      <c r="J33" s="49" t="str">
        <f>IFERROR(IF(J$3="","",IF(TEXT(J$3,"ddd")="CN","CN",VLOOKUP($A33&amp;J$3,Data_Cong!$R:$AI,10,0))),"")</f>
        <v>CN</v>
      </c>
      <c r="K33" s="49" t="str">
        <f>IFERROR(IF(K$3="","",IF(TEXT(K$3,"ddd")="CN","CN",VLOOKUP($A33&amp;K$3,Data_Cong!$R:$AI,10,0))),"")</f>
        <v>x</v>
      </c>
      <c r="L33" s="49" t="str">
        <f>IFERROR(IF(L$3="","",IF(TEXT(L$3,"ddd")="CN","CN",VLOOKUP($A33&amp;L$3,Data_Cong!$R:$AI,10,0))),"")</f>
        <v>x</v>
      </c>
      <c r="M33" s="49" t="str">
        <f>IFERROR(IF(M$3="","",IF(TEXT(M$3,"ddd")="CN","CN",VLOOKUP($A33&amp;M$3,Data_Cong!$R:$AI,10,0))),"")</f>
        <v>x</v>
      </c>
      <c r="N33" s="49" t="str">
        <f>IFERROR(IF(N$3="","",IF(TEXT(N$3,"ddd")="CN","CN",VLOOKUP($A33&amp;N$3,Data_Cong!$R:$AI,10,0))),"")</f>
        <v>x</v>
      </c>
      <c r="O33" s="49" t="str">
        <f>IFERROR(IF(O$3="","",IF(TEXT(O$3,"ddd")="CN","CN",VLOOKUP($A33&amp;O$3,Data_Cong!$R:$AI,10,0))),"")</f>
        <v>x</v>
      </c>
      <c r="P33" s="49" t="str">
        <f>IFERROR(IF(P$3="","",IF(TEXT(P$3,"ddd")="CN","CN",VLOOKUP($A33&amp;P$3,Data_Cong!$R:$AI,10,0))),"")</f>
        <v>x</v>
      </c>
      <c r="Q33" s="49" t="str">
        <f>IFERROR(IF(Q$3="","",IF(TEXT(Q$3,"ddd")="CN","CN",VLOOKUP($A33&amp;Q$3,Data_Cong!$R:$AI,10,0))),"")</f>
        <v>CN</v>
      </c>
      <c r="R33" s="49" t="str">
        <f>IFERROR(IF(R$3="","",IF(TEXT(R$3,"ddd")="CN","CN",VLOOKUP($A33&amp;R$3,Data_Cong!$R:$AI,10,0))),"")</f>
        <v>x</v>
      </c>
      <c r="S33" s="49" t="str">
        <f>IFERROR(IF(S$3="","",IF(TEXT(S$3,"ddd")="CN","CN",VLOOKUP($A33&amp;S$3,Data_Cong!$R:$AI,10,0))),"")</f>
        <v>x</v>
      </c>
      <c r="T33" s="49" t="str">
        <f>IFERROR(IF(T$3="","",IF(TEXT(T$3,"ddd")="CN","CN",VLOOKUP($A33&amp;T$3,Data_Cong!$R:$AI,10,0))),"")</f>
        <v>x</v>
      </c>
      <c r="U33" s="49" t="str">
        <f>IFERROR(IF(U$3="","",IF(TEXT(U$3,"ddd")="CN","CN",VLOOKUP($A33&amp;U$3,Data_Cong!$R:$AI,10,0))),"")</f>
        <v>x</v>
      </c>
      <c r="V33" s="49" t="str">
        <f>IFERROR(IF(V$3="","",IF(TEXT(V$3,"ddd")="CN","CN",VLOOKUP($A33&amp;V$3,Data_Cong!$R:$AI,10,0))),"")</f>
        <v>x</v>
      </c>
      <c r="W33" s="49" t="str">
        <f>IFERROR(IF(W$3="","",IF(TEXT(W$3,"ddd")="CN","CN",VLOOKUP($A33&amp;W$3,Data_Cong!$R:$AI,10,0))),"")</f>
        <v>x</v>
      </c>
      <c r="X33" s="49" t="str">
        <f>IFERROR(IF(X$3="","",IF(TEXT(X$3,"ddd")="CN","CN",VLOOKUP($A33&amp;X$3,Data_Cong!$R:$AI,10,0))),"")</f>
        <v>CN</v>
      </c>
      <c r="Y33" s="49" t="str">
        <f>IFERROR(IF(Y$3="","",IF(TEXT(Y$3,"ddd")="CN","CN",VLOOKUP($A33&amp;Y$3,Data_Cong!$R:$AI,10,0))),"")</f>
        <v>x</v>
      </c>
      <c r="Z33" s="49" t="str">
        <f>IFERROR(IF(Z$3="","",IF(TEXT(Z$3,"ddd")="CN","CN",VLOOKUP($A33&amp;Z$3,Data_Cong!$R:$AI,10,0))),"")</f>
        <v>P</v>
      </c>
      <c r="AA33" s="49">
        <f>IFERROR(IF(AA$3="","",IF(TEXT(AA$3,"ddd")="CN","CN",VLOOKUP($A33&amp;AA$3,Data_Cong!$R:$AI,10,0))),"")</f>
        <v>0</v>
      </c>
      <c r="AB33" s="49" t="str">
        <f>IFERROR(IF(AB$3="","",IF(TEXT(AB$3,"ddd")="CN","CN",VLOOKUP($A33&amp;AB$3,Data_Cong!$R:$AI,10,0))),"")</f>
        <v>x</v>
      </c>
      <c r="AC33" s="49" t="str">
        <f>IFERROR(IF(AC$3="","",IF(TEXT(AC$3,"ddd")="CN","CN",VLOOKUP($A33&amp;AC$3,Data_Cong!$R:$AI,10,0))),"")</f>
        <v>x</v>
      </c>
      <c r="AD33" s="49" t="str">
        <f>IFERROR(IF(AD$3="","",IF(TEXT(AD$3,"ddd")="CN","CN",VLOOKUP($A33&amp;AD$3,Data_Cong!$R:$AI,10,0))),"")</f>
        <v>x</v>
      </c>
      <c r="AE33" s="49" t="str">
        <f>IFERROR(IF(AE$3="","",IF(TEXT(AE$3,"ddd")="CN","CN",VLOOKUP($A33&amp;AE$3,Data_Cong!$R:$AI,10,0))),"")</f>
        <v>CN</v>
      </c>
      <c r="AF33" s="49" t="str">
        <f>IFERROR(IF(AF$3="","",IF(TEXT(AF$3,"ddd")="CN","CN",VLOOKUP($A33&amp;AF$3,Data_Cong!$R:$AI,10,0))),"")</f>
        <v>x</v>
      </c>
      <c r="AG33" s="49" t="str">
        <f>IFERROR(IF(AG$3="","",IF(TEXT(AG$3,"ddd")="CN","CN",VLOOKUP($A33&amp;AG$3,Data_Cong!$R:$AI,10,0))),"")</f>
        <v>x</v>
      </c>
      <c r="AH33" s="49" t="str">
        <f>IFERROR(IF(AH$3="","",IF(TEXT(AH$3,"ddd")="CN","CN",VLOOKUP($A33&amp;AH$3,Data_Cong!$R:$AI,10,0))),"")</f>
        <v/>
      </c>
      <c r="AI33" s="50" cm="1">
        <f t="array" ref="AI33">SUMPRODUCT((D33:AH33="x")*1+(D33:AH33="P")*1+(D33:AH33="1/2P")*1+(D33:AH33="1/2")*0.5+(D33:AH33="2x")*2+(D33:AH33="L")*1)</f>
        <v>25</v>
      </c>
      <c r="AJ33" s="51">
        <f>SUMIF(Data_Cong!A:A,$A33,Data_Cong!AE:AE)</f>
        <v>2124</v>
      </c>
      <c r="AK33" s="52">
        <f>COUNTIFS(Data_Cong!AB:AB,"&gt;6",Data_Cong!A:A,A33)</f>
        <v>0</v>
      </c>
      <c r="AL33" s="53" t="str">
        <f>IF(MONTH(VLOOKUP(A33,Data_NV!$A:$J,10,0))=BANG_CHAM_CONG!$R$2,"T"&amp;BANG_CHAM_CONG!$R$2,"")</f>
        <v/>
      </c>
      <c r="AM33" s="96">
        <v>11</v>
      </c>
      <c r="AN33" s="93" cm="1">
        <f t="array" ref="AN33">IF((AM33+1)&gt;12,12,(AM33+1))-SUMPRODUCT((D33:AH33="P")*1+(D33:AH33="1/2P")*0.5)</f>
        <v>11</v>
      </c>
      <c r="AO33" s="50"/>
      <c r="AP33" s="54">
        <f>SUMIFS(Data_Cong!AF:AF,Data_Cong!A:A,$A33)+SUMIFS(Data_Cong!AG:AG,Data_Cong!A:A,$A33)</f>
        <v>0</v>
      </c>
    </row>
    <row r="34" spans="1:42" ht="15.75" x14ac:dyDescent="0.25">
      <c r="A34" s="28" t="s">
        <v>963</v>
      </c>
      <c r="B34" s="47">
        <v>7</v>
      </c>
      <c r="C34" s="48" t="s">
        <v>1271</v>
      </c>
      <c r="D34" s="49" t="str">
        <f>IFERROR(IF(D$3="","",IF(TEXT(D$3,"ddd")="CN","CN",VLOOKUP($A34&amp;D$3,Data_Cong!$R:$AI,10,0))),"")</f>
        <v>L</v>
      </c>
      <c r="E34" s="49" t="str">
        <f>IFERROR(IF(E$3="","",IF(TEXT(E$3,"ddd")="CN","CN",VLOOKUP($A34&amp;E$3,Data_Cong!$R:$AI,10,0))),"")</f>
        <v>L</v>
      </c>
      <c r="F34" s="49" t="str">
        <f>IFERROR(IF(F$3="","",IF(TEXT(F$3,"ddd")="CN","CN",VLOOKUP($A34&amp;F$3,Data_Cong!$R:$AI,10,0))),"")</f>
        <v>x</v>
      </c>
      <c r="G34" s="49" t="str">
        <f>IFERROR(IF(G$3="","",IF(TEXT(G$3,"ddd")="CN","CN",VLOOKUP($A34&amp;G$3,Data_Cong!$R:$AI,10,0))),"")</f>
        <v>x</v>
      </c>
      <c r="H34" s="49" t="str">
        <f>IFERROR(IF(H$3="","",IF(TEXT(H$3,"ddd")="CN","CN",VLOOKUP($A34&amp;H$3,Data_Cong!$R:$AI,10,0))),"")</f>
        <v>x</v>
      </c>
      <c r="I34" s="49" t="str">
        <f>IFERROR(IF(I$3="","",IF(TEXT(I$3,"ddd")="CN","CN",VLOOKUP($A34&amp;I$3,Data_Cong!$R:$AI,10,0))),"")</f>
        <v>x</v>
      </c>
      <c r="J34" s="49" t="str">
        <f>IFERROR(IF(J$3="","",IF(TEXT(J$3,"ddd")="CN","CN",VLOOKUP($A34&amp;J$3,Data_Cong!$R:$AI,10,0))),"")</f>
        <v>CN</v>
      </c>
      <c r="K34" s="49" t="str">
        <f>IFERROR(IF(K$3="","",IF(TEXT(K$3,"ddd")="CN","CN",VLOOKUP($A34&amp;K$3,Data_Cong!$R:$AI,10,0))),"")</f>
        <v>x</v>
      </c>
      <c r="L34" s="49" t="str">
        <f>IFERROR(IF(L$3="","",IF(TEXT(L$3,"ddd")="CN","CN",VLOOKUP($A34&amp;L$3,Data_Cong!$R:$AI,10,0))),"")</f>
        <v>x</v>
      </c>
      <c r="M34" s="49" t="str">
        <f>IFERROR(IF(M$3="","",IF(TEXT(M$3,"ddd")="CN","CN",VLOOKUP($A34&amp;M$3,Data_Cong!$R:$AI,10,0))),"")</f>
        <v>x</v>
      </c>
      <c r="N34" s="49" t="str">
        <f>IFERROR(IF(N$3="","",IF(TEXT(N$3,"ddd")="CN","CN",VLOOKUP($A34&amp;N$3,Data_Cong!$R:$AI,10,0))),"")</f>
        <v>x</v>
      </c>
      <c r="O34" s="49" t="str">
        <f>IFERROR(IF(O$3="","",IF(TEXT(O$3,"ddd")="CN","CN",VLOOKUP($A34&amp;O$3,Data_Cong!$R:$AI,10,0))),"")</f>
        <v>x</v>
      </c>
      <c r="P34" s="49" t="str">
        <f>IFERROR(IF(P$3="","",IF(TEXT(P$3,"ddd")="CN","CN",VLOOKUP($A34&amp;P$3,Data_Cong!$R:$AI,10,0))),"")</f>
        <v>x</v>
      </c>
      <c r="Q34" s="49" t="str">
        <f>IFERROR(IF(Q$3="","",IF(TEXT(Q$3,"ddd")="CN","CN",VLOOKUP($A34&amp;Q$3,Data_Cong!$R:$AI,10,0))),"")</f>
        <v>CN</v>
      </c>
      <c r="R34" s="49" t="str">
        <f>IFERROR(IF(R$3="","",IF(TEXT(R$3,"ddd")="CN","CN",VLOOKUP($A34&amp;R$3,Data_Cong!$R:$AI,10,0))),"")</f>
        <v>x</v>
      </c>
      <c r="S34" s="49" t="str">
        <f>IFERROR(IF(S$3="","",IF(TEXT(S$3,"ddd")="CN","CN",VLOOKUP($A34&amp;S$3,Data_Cong!$R:$AI,10,0))),"")</f>
        <v>x</v>
      </c>
      <c r="T34" s="49" t="str">
        <f>IFERROR(IF(T$3="","",IF(TEXT(T$3,"ddd")="CN","CN",VLOOKUP($A34&amp;T$3,Data_Cong!$R:$AI,10,0))),"")</f>
        <v>x</v>
      </c>
      <c r="U34" s="49" t="str">
        <f>IFERROR(IF(U$3="","",IF(TEXT(U$3,"ddd")="CN","CN",VLOOKUP($A34&amp;U$3,Data_Cong!$R:$AI,10,0))),"")</f>
        <v>x</v>
      </c>
      <c r="V34" s="49" t="str">
        <f>IFERROR(IF(V$3="","",IF(TEXT(V$3,"ddd")="CN","CN",VLOOKUP($A34&amp;V$3,Data_Cong!$R:$AI,10,0))),"")</f>
        <v>x</v>
      </c>
      <c r="W34" s="49" t="str">
        <f>IFERROR(IF(W$3="","",IF(TEXT(W$3,"ddd")="CN","CN",VLOOKUP($A34&amp;W$3,Data_Cong!$R:$AI,10,0))),"")</f>
        <v>x</v>
      </c>
      <c r="X34" s="49" t="str">
        <f>IFERROR(IF(X$3="","",IF(TEXT(X$3,"ddd")="CN","CN",VLOOKUP($A34&amp;X$3,Data_Cong!$R:$AI,10,0))),"")</f>
        <v>CN</v>
      </c>
      <c r="Y34" s="49" t="str">
        <f>IFERROR(IF(Y$3="","",IF(TEXT(Y$3,"ddd")="CN","CN",VLOOKUP($A34&amp;Y$3,Data_Cong!$R:$AI,10,0))),"")</f>
        <v>x</v>
      </c>
      <c r="Z34" s="49" t="str">
        <f>IFERROR(IF(Z$3="","",IF(TEXT(Z$3,"ddd")="CN","CN",VLOOKUP($A34&amp;Z$3,Data_Cong!$R:$AI,10,0))),"")</f>
        <v>x</v>
      </c>
      <c r="AA34" s="49" t="str">
        <f>IFERROR(IF(AA$3="","",IF(TEXT(AA$3,"ddd")="CN","CN",VLOOKUP($A34&amp;AA$3,Data_Cong!$R:$AI,10,0))),"")</f>
        <v>x</v>
      </c>
      <c r="AB34" s="49" t="str">
        <f>IFERROR(IF(AB$3="","",IF(TEXT(AB$3,"ddd")="CN","CN",VLOOKUP($A34&amp;AB$3,Data_Cong!$R:$AI,10,0))),"")</f>
        <v>x</v>
      </c>
      <c r="AC34" s="49" t="str">
        <f>IFERROR(IF(AC$3="","",IF(TEXT(AC$3,"ddd")="CN","CN",VLOOKUP($A34&amp;AC$3,Data_Cong!$R:$AI,10,0))),"")</f>
        <v>x</v>
      </c>
      <c r="AD34" s="49" t="str">
        <f>IFERROR(IF(AD$3="","",IF(TEXT(AD$3,"ddd")="CN","CN",VLOOKUP($A34&amp;AD$3,Data_Cong!$R:$AI,10,0))),"")</f>
        <v/>
      </c>
      <c r="AE34" s="49" t="str">
        <f>IFERROR(IF(AE$3="","",IF(TEXT(AE$3,"ddd")="CN","CN",VLOOKUP($A34&amp;AE$3,Data_Cong!$R:$AI,10,0))),"")</f>
        <v>CN</v>
      </c>
      <c r="AF34" s="49" t="str">
        <f>IFERROR(IF(AF$3="","",IF(TEXT(AF$3,"ddd")="CN","CN",VLOOKUP($A34&amp;AF$3,Data_Cong!$R:$AI,10,0))),"")</f>
        <v/>
      </c>
      <c r="AG34" s="49" t="str">
        <f>IFERROR(IF(AG$3="","",IF(TEXT(AG$3,"ddd")="CN","CN",VLOOKUP($A34&amp;AG$3,Data_Cong!$R:$AI,10,0))),"")</f>
        <v>x</v>
      </c>
      <c r="AH34" s="49" t="str">
        <f>IFERROR(IF(AH$3="","",IF(TEXT(AH$3,"ddd")="CN","CN",VLOOKUP($A34&amp;AH$3,Data_Cong!$R:$AI,10,0))),"")</f>
        <v/>
      </c>
      <c r="AI34" s="50" cm="1">
        <f t="array" ref="AI34">SUMPRODUCT((D34:AH34="x")*1+(D34:AH34="P")*1+(D34:AH34="1/2P")*1+(D34:AH34="1/2")*0.5+(D34:AH34="2x")*2+(D34:AH34="L")*1)</f>
        <v>24</v>
      </c>
      <c r="AJ34" s="51">
        <f>SUMIF(Data_Cong!A:A,$A34,Data_Cong!AE:AE)</f>
        <v>482</v>
      </c>
      <c r="AK34" s="52">
        <f>COUNTIFS(Data_Cong!AB:AB,"&gt;6",Data_Cong!A:A,A34)</f>
        <v>0</v>
      </c>
      <c r="AL34" s="53" t="str">
        <f>IF(MONTH(VLOOKUP(A34,Data_NV!$A:$J,10,0))=BANG_CHAM_CONG!$R$2,"T"&amp;BANG_CHAM_CONG!$R$2,"")</f>
        <v/>
      </c>
      <c r="AM34" s="96">
        <v>0</v>
      </c>
      <c r="AN34" s="93" cm="1">
        <f t="array" ref="AN34">IF((AM34+1)&gt;12,12,(AM34+1))-SUMPRODUCT((D34:AH34="P")*1+(D34:AH34="1/2P")*0.5)</f>
        <v>1</v>
      </c>
      <c r="AO34" s="50">
        <v>6</v>
      </c>
      <c r="AP34" s="54">
        <f>SUMIFS(Data_Cong!AF:AF,Data_Cong!A:A,$A34)+SUMIFS(Data_Cong!AG:AG,Data_Cong!A:A,$A34)</f>
        <v>50000</v>
      </c>
    </row>
    <row r="35" spans="1:42" ht="15.75" x14ac:dyDescent="0.25">
      <c r="A35" s="28" t="s">
        <v>1181</v>
      </c>
      <c r="B35" s="47">
        <v>8</v>
      </c>
      <c r="C35" s="62" t="s">
        <v>1275</v>
      </c>
      <c r="D35" s="49" t="str">
        <f>IFERROR(IF(D$3="","",IF(TEXT(D$3,"ddd")="CN","CN",VLOOKUP($A35&amp;D$3,Data_Cong!$R:$AI,10,0))),"")</f>
        <v>L</v>
      </c>
      <c r="E35" s="49" t="str">
        <f>IFERROR(IF(E$3="","",IF(TEXT(E$3,"ddd")="CN","CN",VLOOKUP($A35&amp;E$3,Data_Cong!$R:$AI,10,0))),"")</f>
        <v>L</v>
      </c>
      <c r="F35" s="49" t="str">
        <f>IFERROR(IF(F$3="","",IF(TEXT(F$3,"ddd")="CN","CN",VLOOKUP($A35&amp;F$3,Data_Cong!$R:$AI,10,0))),"")</f>
        <v/>
      </c>
      <c r="G35" s="49" t="str">
        <f>IFERROR(IF(G$3="","",IF(TEXT(G$3,"ddd")="CN","CN",VLOOKUP($A35&amp;G$3,Data_Cong!$R:$AI,10,0))),"")</f>
        <v/>
      </c>
      <c r="H35" s="49" t="str">
        <f>IFERROR(IF(H$3="","",IF(TEXT(H$3,"ddd")="CN","CN",VLOOKUP($A35&amp;H$3,Data_Cong!$R:$AI,10,0))),"")</f>
        <v/>
      </c>
      <c r="I35" s="49" t="str">
        <f>IFERROR(IF(I$3="","",IF(TEXT(I$3,"ddd")="CN","CN",VLOOKUP($A35&amp;I$3,Data_Cong!$R:$AI,10,0))),"")</f>
        <v/>
      </c>
      <c r="J35" s="49" t="str">
        <f>IFERROR(IF(J$3="","",IF(TEXT(J$3,"ddd")="CN","CN",VLOOKUP($A35&amp;J$3,Data_Cong!$R:$AI,10,0))),"")</f>
        <v>CN</v>
      </c>
      <c r="K35" s="49" t="str">
        <f>IFERROR(IF(K$3="","",IF(TEXT(K$3,"ddd")="CN","CN",VLOOKUP($A35&amp;K$3,Data_Cong!$R:$AI,10,0))),"")</f>
        <v/>
      </c>
      <c r="L35" s="49" t="str">
        <f>IFERROR(IF(L$3="","",IF(TEXT(L$3,"ddd")="CN","CN",VLOOKUP($A35&amp;L$3,Data_Cong!$R:$AI,10,0))),"")</f>
        <v/>
      </c>
      <c r="M35" s="49" t="str">
        <f>IFERROR(IF(M$3="","",IF(TEXT(M$3,"ddd")="CN","CN",VLOOKUP($A35&amp;M$3,Data_Cong!$R:$AI,10,0))),"")</f>
        <v>x</v>
      </c>
      <c r="N35" s="49" t="str">
        <f>IFERROR(IF(N$3="","",IF(TEXT(N$3,"ddd")="CN","CN",VLOOKUP($A35&amp;N$3,Data_Cong!$R:$AI,10,0))),"")</f>
        <v>x</v>
      </c>
      <c r="O35" s="49" t="str">
        <f>IFERROR(IF(O$3="","",IF(TEXT(O$3,"ddd")="CN","CN",VLOOKUP($A35&amp;O$3,Data_Cong!$R:$AI,10,0))),"")</f>
        <v>x</v>
      </c>
      <c r="P35" s="49" t="str">
        <f>IFERROR(IF(P$3="","",IF(TEXT(P$3,"ddd")="CN","CN",VLOOKUP($A35&amp;P$3,Data_Cong!$R:$AI,10,0))),"")</f>
        <v>x</v>
      </c>
      <c r="Q35" s="49" t="str">
        <f>IFERROR(IF(Q$3="","",IF(TEXT(Q$3,"ddd")="CN","CN",VLOOKUP($A35&amp;Q$3,Data_Cong!$R:$AI,10,0))),"")</f>
        <v>CN</v>
      </c>
      <c r="R35" s="49" t="str">
        <f>IFERROR(IF(R$3="","",IF(TEXT(R$3,"ddd")="CN","CN",VLOOKUP($A35&amp;R$3,Data_Cong!$R:$AI,10,0))),"")</f>
        <v>x</v>
      </c>
      <c r="S35" s="49" t="str">
        <f>IFERROR(IF(S$3="","",IF(TEXT(S$3,"ddd")="CN","CN",VLOOKUP($A35&amp;S$3,Data_Cong!$R:$AI,10,0))),"")</f>
        <v>x</v>
      </c>
      <c r="T35" s="49" t="str">
        <f>IFERROR(IF(T$3="","",IF(TEXT(T$3,"ddd")="CN","CN",VLOOKUP($A35&amp;T$3,Data_Cong!$R:$AI,10,0))),"")</f>
        <v>x</v>
      </c>
      <c r="U35" s="49" t="str">
        <f>IFERROR(IF(U$3="","",IF(TEXT(U$3,"ddd")="CN","CN",VLOOKUP($A35&amp;U$3,Data_Cong!$R:$AI,10,0))),"")</f>
        <v>x</v>
      </c>
      <c r="V35" s="49" t="str">
        <f>IFERROR(IF(V$3="","",IF(TEXT(V$3,"ddd")="CN","CN",VLOOKUP($A35&amp;V$3,Data_Cong!$R:$AI,10,0))),"")</f>
        <v>x</v>
      </c>
      <c r="W35" s="49" t="str">
        <f>IFERROR(IF(W$3="","",IF(TEXT(W$3,"ddd")="CN","CN",VLOOKUP($A35&amp;W$3,Data_Cong!$R:$AI,10,0))),"")</f>
        <v>x</v>
      </c>
      <c r="X35" s="49" t="str">
        <f>IFERROR(IF(X$3="","",IF(TEXT(X$3,"ddd")="CN","CN",VLOOKUP($A35&amp;X$3,Data_Cong!$R:$AI,10,0))),"")</f>
        <v>CN</v>
      </c>
      <c r="Y35" s="49" t="str">
        <f>IFERROR(IF(Y$3="","",IF(TEXT(Y$3,"ddd")="CN","CN",VLOOKUP($A35&amp;Y$3,Data_Cong!$R:$AI,10,0))),"")</f>
        <v>x</v>
      </c>
      <c r="Z35" s="49" t="str">
        <f>IFERROR(IF(Z$3="","",IF(TEXT(Z$3,"ddd")="CN","CN",VLOOKUP($A35&amp;Z$3,Data_Cong!$R:$AI,10,0))),"")</f>
        <v>x</v>
      </c>
      <c r="AA35" s="49" t="str">
        <f>IFERROR(IF(AA$3="","",IF(TEXT(AA$3,"ddd")="CN","CN",VLOOKUP($A35&amp;AA$3,Data_Cong!$R:$AI,10,0))),"")</f>
        <v>x</v>
      </c>
      <c r="AB35" s="49" t="str">
        <f>IFERROR(IF(AB$3="","",IF(TEXT(AB$3,"ddd")="CN","CN",VLOOKUP($A35&amp;AB$3,Data_Cong!$R:$AI,10,0))),"")</f>
        <v>x</v>
      </c>
      <c r="AC35" s="49" t="str">
        <f>IFERROR(IF(AC$3="","",IF(TEXT(AC$3,"ddd")="CN","CN",VLOOKUP($A35&amp;AC$3,Data_Cong!$R:$AI,10,0))),"")</f>
        <v>x</v>
      </c>
      <c r="AD35" s="49" t="str">
        <f>IFERROR(IF(AD$3="","",IF(TEXT(AD$3,"ddd")="CN","CN",VLOOKUP($A35&amp;AD$3,Data_Cong!$R:$AI,10,0))),"")</f>
        <v>x</v>
      </c>
      <c r="AE35" s="49" t="str">
        <f>IFERROR(IF(AE$3="","",IF(TEXT(AE$3,"ddd")="CN","CN",VLOOKUP($A35&amp;AE$3,Data_Cong!$R:$AI,10,0))),"")</f>
        <v>CN</v>
      </c>
      <c r="AF35" s="49" t="str">
        <f>IFERROR(IF(AF$3="","",IF(TEXT(AF$3,"ddd")="CN","CN",VLOOKUP($A35&amp;AF$3,Data_Cong!$R:$AI,10,0))),"")</f>
        <v>x</v>
      </c>
      <c r="AG35" s="49" t="str">
        <f>IFERROR(IF(AG$3="","",IF(TEXT(AG$3,"ddd")="CN","CN",VLOOKUP($A35&amp;AG$3,Data_Cong!$R:$AI,10,0))),"")</f>
        <v>x</v>
      </c>
      <c r="AH35" s="49" t="str">
        <f>IFERROR(IF(AH$3="","",IF(TEXT(AH$3,"ddd")="CN","CN",VLOOKUP($A35&amp;AH$3,Data_Cong!$R:$AI,10,0))),"")</f>
        <v/>
      </c>
      <c r="AI35" s="50">
        <f t="shared" ref="AI35" si="4">SUMPRODUCT((D35:AH35="x")*1+(D35:AH35="P")*1+(D35:AH35="1/2P")*1+(D35:AH35="1/2")*0.5+(D35:AH35="2x")*2)</f>
        <v>18</v>
      </c>
      <c r="AJ35" s="51">
        <f>SUMIF(Data_Cong!A:A,$A35,Data_Cong!AE:AE)</f>
        <v>0</v>
      </c>
      <c r="AK35" s="52">
        <f>COUNTIFS(Data_Cong!AB:AB,"&gt;6",Data_Cong!A:A,A35)</f>
        <v>0</v>
      </c>
      <c r="AL35" s="53" t="str">
        <f>IF(MONTH(VLOOKUP(A35,Data_NV!$A:$J,10,0))=BANG_CHAM_CONG!$R$2,"T"&amp;BANG_CHAM_CONG!$R$2,"")</f>
        <v/>
      </c>
      <c r="AM35" s="96">
        <v>0</v>
      </c>
      <c r="AN35" s="93"/>
      <c r="AO35" s="50">
        <v>6</v>
      </c>
      <c r="AP35" s="54">
        <f>SUMIFS(Data_Cong!AF:AF,Data_Cong!A:A,$A35)+SUMIFS(Data_Cong!AG:AG,Data_Cong!A:A,$A35)</f>
        <v>0</v>
      </c>
    </row>
    <row r="36" spans="1:42" ht="15.75" x14ac:dyDescent="0.25">
      <c r="A36" s="28"/>
      <c r="B36" s="41"/>
      <c r="C36" s="41" t="s">
        <v>1338</v>
      </c>
      <c r="D36" s="63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9"/>
      <c r="AM36" s="59"/>
      <c r="AN36" s="59"/>
      <c r="AO36" s="59"/>
      <c r="AP36" s="64"/>
    </row>
    <row r="37" spans="1:42" x14ac:dyDescent="0.25">
      <c r="A37" s="28"/>
      <c r="B37" s="65">
        <v>1</v>
      </c>
      <c r="C37" s="66" t="s">
        <v>1339</v>
      </c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8"/>
      <c r="AJ37" s="52"/>
      <c r="AK37" s="52"/>
      <c r="AL37" s="61"/>
      <c r="AM37" s="61"/>
      <c r="AN37" s="68"/>
      <c r="AO37" s="68"/>
      <c r="AP37" s="69"/>
    </row>
    <row r="38" spans="1:42" ht="15.75" x14ac:dyDescent="0.25">
      <c r="A38" s="28"/>
      <c r="B38" s="70"/>
      <c r="C38" s="70"/>
      <c r="D38" s="71"/>
      <c r="E38" s="72"/>
      <c r="F38" s="70"/>
      <c r="G38" s="70"/>
      <c r="H38" s="70"/>
      <c r="I38" s="70"/>
      <c r="J38" s="73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28"/>
      <c r="AK38" s="28"/>
      <c r="AL38" s="28"/>
      <c r="AM38" s="28"/>
      <c r="AN38" s="28"/>
      <c r="AO38" s="28"/>
      <c r="AP38" s="31"/>
    </row>
    <row r="39" spans="1:42" ht="15.75" x14ac:dyDescent="0.25">
      <c r="A39" s="28"/>
      <c r="B39" s="70"/>
      <c r="C39" s="70"/>
      <c r="D39" s="71" t="s">
        <v>1340</v>
      </c>
      <c r="E39" s="72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28"/>
      <c r="AK39" s="28"/>
      <c r="AL39" s="28"/>
      <c r="AM39" s="28"/>
      <c r="AN39" s="28"/>
      <c r="AO39" s="28"/>
      <c r="AP39" s="31"/>
    </row>
    <row r="40" spans="1:42" ht="15.75" x14ac:dyDescent="0.25">
      <c r="A40" s="28"/>
      <c r="B40" s="70"/>
      <c r="C40" s="70"/>
      <c r="D40" s="71" t="s">
        <v>1341</v>
      </c>
      <c r="E40" s="72" t="s">
        <v>1342</v>
      </c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28"/>
      <c r="AK40" s="28"/>
      <c r="AL40" s="28"/>
      <c r="AM40" s="28"/>
      <c r="AN40" s="28"/>
      <c r="AO40" s="28"/>
      <c r="AP40" s="31"/>
    </row>
    <row r="41" spans="1:42" ht="15.75" x14ac:dyDescent="0.25">
      <c r="A41" s="28"/>
      <c r="B41" s="70"/>
      <c r="C41" s="70"/>
      <c r="D41" s="71" t="s">
        <v>1343</v>
      </c>
      <c r="E41" s="72" t="s">
        <v>1344</v>
      </c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28"/>
      <c r="AK41" s="28"/>
      <c r="AL41" s="28"/>
      <c r="AM41" s="28"/>
      <c r="AN41" s="28"/>
      <c r="AO41" s="28"/>
      <c r="AP41" s="31"/>
    </row>
    <row r="42" spans="1:42" ht="15.75" x14ac:dyDescent="0.25">
      <c r="A42" s="28"/>
      <c r="B42" s="70"/>
      <c r="C42" s="70"/>
      <c r="D42" s="74" t="s">
        <v>1345</v>
      </c>
      <c r="E42" s="72" t="s">
        <v>1346</v>
      </c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28"/>
      <c r="AK42" s="28"/>
      <c r="AL42" s="28"/>
      <c r="AM42" s="28"/>
      <c r="AN42" s="28"/>
      <c r="AO42" s="28"/>
      <c r="AP42" s="31"/>
    </row>
    <row r="43" spans="1:42" ht="15.75" x14ac:dyDescent="0.25">
      <c r="A43" s="28"/>
      <c r="B43" s="70"/>
      <c r="C43" s="70"/>
      <c r="D43" s="75" t="s">
        <v>1347</v>
      </c>
      <c r="E43" s="72" t="s">
        <v>1348</v>
      </c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28"/>
      <c r="Z43" s="76"/>
      <c r="AA43" s="76"/>
      <c r="AB43" s="76"/>
      <c r="AC43" s="76"/>
      <c r="AD43" s="76"/>
      <c r="AE43" s="76"/>
      <c r="AF43" s="76"/>
      <c r="AG43" s="76"/>
      <c r="AH43" s="76"/>
      <c r="AI43" s="70"/>
      <c r="AJ43" s="28"/>
      <c r="AK43" s="28"/>
      <c r="AL43" s="28"/>
      <c r="AM43" s="28"/>
      <c r="AN43" s="28"/>
      <c r="AO43" s="28"/>
      <c r="AP43" s="31"/>
    </row>
    <row r="44" spans="1:42" ht="15.75" x14ac:dyDescent="0.25">
      <c r="A44" s="28"/>
      <c r="B44" s="70"/>
      <c r="C44" s="70"/>
      <c r="D44" s="77" t="s">
        <v>1349</v>
      </c>
      <c r="E44" s="72" t="s">
        <v>1350</v>
      </c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28"/>
      <c r="Z44" s="76"/>
      <c r="AA44" s="76"/>
      <c r="AB44" s="76"/>
      <c r="AC44" s="76"/>
      <c r="AD44" s="76"/>
      <c r="AE44" s="76"/>
      <c r="AF44" s="76"/>
      <c r="AG44" s="76"/>
      <c r="AH44" s="76"/>
      <c r="AI44" s="70"/>
      <c r="AJ44" s="28"/>
      <c r="AK44" s="28"/>
      <c r="AL44" s="28"/>
      <c r="AM44" s="28"/>
      <c r="AN44" s="28"/>
      <c r="AO44" s="28"/>
      <c r="AP44" s="31"/>
    </row>
    <row r="45" spans="1:42" ht="15.75" x14ac:dyDescent="0.25">
      <c r="A45" s="28"/>
      <c r="B45" s="70"/>
      <c r="C45" s="70"/>
      <c r="D45" s="71" t="s">
        <v>1351</v>
      </c>
      <c r="E45" s="72" t="s">
        <v>1352</v>
      </c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0"/>
      <c r="AJ45" s="28"/>
      <c r="AK45" s="28"/>
      <c r="AL45" s="28"/>
      <c r="AM45" s="28"/>
      <c r="AN45" s="28"/>
      <c r="AO45" s="28"/>
      <c r="AP45" s="31"/>
    </row>
    <row r="46" spans="1:42" ht="15.75" x14ac:dyDescent="0.25">
      <c r="A46" s="28"/>
      <c r="B46" s="70"/>
      <c r="C46" s="70"/>
      <c r="D46" s="78" t="s">
        <v>1353</v>
      </c>
      <c r="E46" s="72" t="s">
        <v>1354</v>
      </c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79"/>
      <c r="AD46" s="79"/>
      <c r="AE46" s="79"/>
      <c r="AF46" s="79"/>
      <c r="AG46" s="79"/>
      <c r="AH46" s="79"/>
      <c r="AI46" s="70"/>
      <c r="AJ46" s="28"/>
      <c r="AK46" s="28"/>
      <c r="AL46" s="28"/>
      <c r="AM46" s="28"/>
      <c r="AN46" s="28"/>
      <c r="AO46" s="28"/>
      <c r="AP46" s="31"/>
    </row>
    <row r="47" spans="1:42" ht="15.75" x14ac:dyDescent="0.25">
      <c r="A47" s="28"/>
      <c r="B47" s="70"/>
      <c r="C47" s="70"/>
      <c r="D47" s="80" t="s">
        <v>1355</v>
      </c>
      <c r="E47" s="72" t="s">
        <v>1356</v>
      </c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70"/>
      <c r="AD47" s="70"/>
      <c r="AE47" s="70"/>
      <c r="AF47" s="70"/>
      <c r="AG47" s="70"/>
      <c r="AH47" s="70"/>
      <c r="AI47" s="70"/>
      <c r="AJ47" s="28"/>
      <c r="AK47" s="28"/>
      <c r="AL47" s="28"/>
      <c r="AM47" s="28"/>
      <c r="AN47" s="28"/>
      <c r="AO47" s="28"/>
      <c r="AP47" s="31"/>
    </row>
    <row r="48" spans="1:42" ht="15.75" x14ac:dyDescent="0.25">
      <c r="A48" s="28"/>
      <c r="B48" s="70"/>
      <c r="C48" s="70"/>
      <c r="D48" s="71"/>
      <c r="E48" s="72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70"/>
      <c r="AD48" s="70"/>
      <c r="AE48" s="70"/>
      <c r="AF48" s="70"/>
      <c r="AG48" s="70"/>
      <c r="AH48" s="70"/>
      <c r="AI48" s="70"/>
      <c r="AJ48" s="28"/>
      <c r="AK48" s="28"/>
      <c r="AL48" s="28"/>
      <c r="AM48" s="28"/>
      <c r="AN48" s="28"/>
      <c r="AO48" s="28"/>
      <c r="AP48" s="31"/>
    </row>
    <row r="49" spans="1:42" ht="15.75" x14ac:dyDescent="0.25">
      <c r="A49" s="28"/>
      <c r="B49" s="70"/>
      <c r="C49" s="70"/>
      <c r="D49" s="71"/>
      <c r="E49" s="72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76" t="str">
        <f>"Ngày "&amp;DAY(EOMONTH(AN1,0))&amp;" Tháng "&amp;MONTH(AN1)&amp;" Năm "&amp;YEAR(AN1)</f>
        <v>Ngày 30 Tháng 9 Năm 2025</v>
      </c>
      <c r="Z49" s="28"/>
      <c r="AA49" s="28"/>
      <c r="AB49" s="28"/>
      <c r="AC49" s="70"/>
      <c r="AD49" s="70"/>
      <c r="AE49" s="70"/>
      <c r="AF49" s="70"/>
      <c r="AG49" s="70"/>
      <c r="AH49" s="70"/>
      <c r="AI49" s="70"/>
      <c r="AJ49" s="28"/>
      <c r="AK49" s="28"/>
      <c r="AL49" s="28"/>
      <c r="AM49" s="28"/>
      <c r="AN49" s="28"/>
      <c r="AO49" s="28"/>
      <c r="AP49" s="31"/>
    </row>
    <row r="50" spans="1:42" ht="15.75" x14ac:dyDescent="0.25">
      <c r="A50" s="28"/>
      <c r="B50" s="70"/>
      <c r="C50" s="70"/>
      <c r="D50" s="70"/>
      <c r="E50" s="70"/>
      <c r="F50" s="108" t="s">
        <v>1357</v>
      </c>
      <c r="G50" s="108"/>
      <c r="H50" s="108"/>
      <c r="I50" s="108"/>
      <c r="J50" s="108"/>
      <c r="K50" s="108"/>
      <c r="L50" s="79"/>
      <c r="M50" s="79"/>
      <c r="N50" s="79"/>
      <c r="O50" s="70"/>
      <c r="P50" s="70"/>
      <c r="Q50" s="70"/>
      <c r="R50" s="70"/>
      <c r="S50" s="70"/>
      <c r="T50" s="70"/>
      <c r="U50" s="70"/>
      <c r="V50" s="70"/>
      <c r="W50" s="108" t="s">
        <v>1358</v>
      </c>
      <c r="X50" s="108"/>
      <c r="Y50" s="108"/>
      <c r="Z50" s="108"/>
      <c r="AA50" s="108"/>
      <c r="AB50" s="108"/>
      <c r="AC50" s="70"/>
      <c r="AD50" s="70"/>
      <c r="AE50" s="70"/>
      <c r="AF50" s="70"/>
      <c r="AG50" s="70"/>
      <c r="AH50" s="70"/>
      <c r="AI50" s="70"/>
      <c r="AJ50" s="28"/>
      <c r="AK50" s="28"/>
      <c r="AL50" s="28"/>
      <c r="AM50" s="28"/>
      <c r="AN50" s="28"/>
      <c r="AO50" s="28"/>
      <c r="AP50" s="31"/>
    </row>
    <row r="51" spans="1:42" x14ac:dyDescent="0.25">
      <c r="A51" s="28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28"/>
      <c r="AK51" s="28"/>
      <c r="AL51" s="28"/>
      <c r="AM51" s="28"/>
      <c r="AN51" s="28"/>
      <c r="AO51" s="28"/>
      <c r="AP51" s="31"/>
    </row>
    <row r="52" spans="1:42" x14ac:dyDescent="0.25">
      <c r="A52" s="28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28"/>
      <c r="AK52" s="28"/>
      <c r="AL52" s="28"/>
      <c r="AM52" s="28"/>
      <c r="AN52" s="28"/>
      <c r="AO52" s="28"/>
      <c r="AP52" s="31"/>
    </row>
    <row r="53" spans="1:42" x14ac:dyDescent="0.25">
      <c r="A53" s="28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28"/>
      <c r="AK53" s="28"/>
      <c r="AL53" s="28"/>
      <c r="AM53" s="28"/>
      <c r="AN53" s="28"/>
      <c r="AO53" s="28"/>
      <c r="AP53" s="31"/>
    </row>
    <row r="54" spans="1:42" x14ac:dyDescent="0.25">
      <c r="A54" s="28"/>
      <c r="B54" s="70"/>
      <c r="C54" s="70"/>
      <c r="D54" s="70"/>
      <c r="E54" s="70"/>
      <c r="F54" s="81"/>
      <c r="G54" s="81"/>
      <c r="H54" s="81"/>
      <c r="I54" s="81"/>
      <c r="J54" s="81"/>
      <c r="K54" s="81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81"/>
      <c r="X54" s="81"/>
      <c r="Y54" s="81"/>
      <c r="Z54" s="81"/>
      <c r="AA54" s="81"/>
      <c r="AB54" s="81"/>
      <c r="AC54" s="70"/>
      <c r="AD54" s="70"/>
      <c r="AE54" s="70"/>
      <c r="AF54" s="70"/>
      <c r="AG54" s="70"/>
      <c r="AH54" s="70"/>
      <c r="AI54" s="70"/>
      <c r="AJ54" s="28"/>
      <c r="AK54" s="28"/>
      <c r="AL54" s="28"/>
      <c r="AM54" s="28"/>
      <c r="AN54" s="28"/>
      <c r="AO54" s="28"/>
      <c r="AP54" s="31"/>
    </row>
    <row r="55" spans="1:42" x14ac:dyDescent="0.25">
      <c r="A55" s="28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28"/>
      <c r="AK55" s="28"/>
      <c r="AL55" s="28"/>
      <c r="AM55" s="28"/>
      <c r="AN55" s="28"/>
      <c r="AO55" s="28"/>
      <c r="AP55" s="31"/>
    </row>
    <row r="56" spans="1:42" ht="15.75" x14ac:dyDescent="0.25">
      <c r="A56" s="28"/>
      <c r="B56" s="70"/>
      <c r="C56" s="70"/>
      <c r="D56" s="70"/>
      <c r="E56" s="70"/>
      <c r="F56" s="108" t="s">
        <v>1265</v>
      </c>
      <c r="G56" s="108"/>
      <c r="H56" s="108"/>
      <c r="I56" s="108"/>
      <c r="J56" s="108"/>
      <c r="K56" s="108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108" t="s">
        <v>1359</v>
      </c>
      <c r="X56" s="108"/>
      <c r="Y56" s="108"/>
      <c r="Z56" s="108"/>
      <c r="AA56" s="108"/>
      <c r="AB56" s="108"/>
      <c r="AC56" s="70"/>
      <c r="AD56" s="70"/>
      <c r="AE56" s="70"/>
      <c r="AF56" s="70"/>
      <c r="AG56" s="70"/>
      <c r="AH56" s="70"/>
      <c r="AI56" s="70"/>
      <c r="AJ56" s="28"/>
      <c r="AK56" s="28"/>
      <c r="AL56" s="28"/>
      <c r="AM56" s="28"/>
      <c r="AN56" s="28"/>
      <c r="AO56" s="28"/>
      <c r="AP56" s="31"/>
    </row>
  </sheetData>
  <mergeCells count="18">
    <mergeCell ref="B3:B4"/>
    <mergeCell ref="C3:C4"/>
    <mergeCell ref="AI3:AI4"/>
    <mergeCell ref="AJ3:AJ4"/>
    <mergeCell ref="AK3:AK4"/>
    <mergeCell ref="AP3:AP4"/>
    <mergeCell ref="F50:K50"/>
    <mergeCell ref="W50:AB50"/>
    <mergeCell ref="C1:AK1"/>
    <mergeCell ref="AN1:AO1"/>
    <mergeCell ref="R2:S2"/>
    <mergeCell ref="U2:W2"/>
    <mergeCell ref="AL3:AL4"/>
    <mergeCell ref="F56:K56"/>
    <mergeCell ref="W56:AB56"/>
    <mergeCell ref="AM3:AM4"/>
    <mergeCell ref="AN3:AN4"/>
    <mergeCell ref="AO3:AO4"/>
  </mergeCells>
  <conditionalFormatting sqref="C8">
    <cfRule type="duplicateValues" dxfId="72" priority="43"/>
  </conditionalFormatting>
  <conditionalFormatting sqref="C9">
    <cfRule type="duplicateValues" dxfId="71" priority="45"/>
  </conditionalFormatting>
  <conditionalFormatting sqref="C10:C12">
    <cfRule type="duplicateValues" dxfId="70" priority="44"/>
  </conditionalFormatting>
  <conditionalFormatting sqref="C14">
    <cfRule type="duplicateValues" dxfId="69" priority="36"/>
  </conditionalFormatting>
  <conditionalFormatting sqref="C15">
    <cfRule type="duplicateValues" dxfId="68" priority="35"/>
  </conditionalFormatting>
  <conditionalFormatting sqref="C24">
    <cfRule type="duplicateValues" dxfId="67" priority="34"/>
  </conditionalFormatting>
  <conditionalFormatting sqref="D27:AF27">
    <cfRule type="containsText" dxfId="66" priority="51" operator="containsText" text="CN">
      <formula>NOT(ISERROR(SEARCH("CN",D27)))</formula>
    </cfRule>
  </conditionalFormatting>
  <conditionalFormatting sqref="D6:AH13 D28:AH35">
    <cfRule type="containsText" dxfId="65" priority="39" operator="containsText" text="1/2P">
      <formula>NOT(ISERROR(SEARCH("1/2P",D6)))</formula>
    </cfRule>
    <cfRule type="containsText" dxfId="64" priority="42" operator="containsText" text="v">
      <formula>NOT(ISERROR(SEARCH("v",D6)))</formula>
    </cfRule>
    <cfRule type="containsText" dxfId="63" priority="38" operator="containsText" text="CN">
      <formula>NOT(ISERROR(SEARCH("CN",D6)))</formula>
    </cfRule>
    <cfRule type="containsText" dxfId="62" priority="40" operator="containsText" text="1/2">
      <formula>NOT(ISERROR(SEARCH("1/2",D6)))</formula>
    </cfRule>
    <cfRule type="containsText" dxfId="61" priority="41" operator="containsText" text="P">
      <formula>NOT(ISERROR(SEARCH("P",D6)))</formula>
    </cfRule>
  </conditionalFormatting>
  <conditionalFormatting sqref="D6:AH13">
    <cfRule type="containsText" dxfId="60" priority="37" operator="containsText" text="1/2CP">
      <formula>NOT(ISERROR(SEARCH("1/2CP",D6)))</formula>
    </cfRule>
  </conditionalFormatting>
  <conditionalFormatting sqref="D15:AH26">
    <cfRule type="containsText" dxfId="59" priority="5" operator="containsText" text="CN">
      <formula>NOT(ISERROR(SEARCH("CN",D15)))</formula>
    </cfRule>
    <cfRule type="containsText" dxfId="58" priority="6" operator="containsText" text="1/2P">
      <formula>NOT(ISERROR(SEARCH("1/2P",D15)))</formula>
    </cfRule>
    <cfRule type="containsText" dxfId="57" priority="7" operator="containsText" text="1/2">
      <formula>NOT(ISERROR(SEARCH("1/2",D15)))</formula>
    </cfRule>
    <cfRule type="containsText" dxfId="56" priority="8" operator="containsText" text="P">
      <formula>NOT(ISERROR(SEARCH("P",D15)))</formula>
    </cfRule>
    <cfRule type="containsText" dxfId="55" priority="9" operator="containsText" text="v">
      <formula>NOT(ISERROR(SEARCH("v",D15)))</formula>
    </cfRule>
  </conditionalFormatting>
  <conditionalFormatting sqref="D15:AH35">
    <cfRule type="containsText" dxfId="54" priority="3" operator="containsText" text="1/2CP">
      <formula>NOT(ISERROR(SEARCH("1/2CP",D15)))</formula>
    </cfRule>
  </conditionalFormatting>
  <conditionalFormatting sqref="D27:AH27">
    <cfRule type="containsText" dxfId="53" priority="52" operator="containsText" text="1/2P">
      <formula>NOT(ISERROR(SEARCH("1/2P",D27)))</formula>
    </cfRule>
    <cfRule type="containsText" dxfId="52" priority="53" operator="containsText" text="1/2">
      <formula>NOT(ISERROR(SEARCH("1/2",D27)))</formula>
    </cfRule>
    <cfRule type="containsText" dxfId="51" priority="55" operator="containsText" text="v">
      <formula>NOT(ISERROR(SEARCH("v",D27)))</formula>
    </cfRule>
  </conditionalFormatting>
  <conditionalFormatting sqref="D14:AP14">
    <cfRule type="containsText" dxfId="50" priority="28" operator="containsText" text="1/2CP">
      <formula>NOT(ISERROR(SEARCH("1/2CP",D14)))</formula>
    </cfRule>
    <cfRule type="containsText" dxfId="49" priority="29" operator="containsText" text="CN">
      <formula>NOT(ISERROR(SEARCH("CN",D14)))</formula>
    </cfRule>
    <cfRule type="containsText" dxfId="48" priority="30" operator="containsText" text="1/2P">
      <formula>NOT(ISERROR(SEARCH("1/2P",D14)))</formula>
    </cfRule>
    <cfRule type="containsText" dxfId="47" priority="33" operator="containsText" text="v">
      <formula>NOT(ISERROR(SEARCH("v",D14)))</formula>
    </cfRule>
    <cfRule type="containsText" dxfId="46" priority="31" operator="containsText" text="1/2">
      <formula>NOT(ISERROR(SEARCH("1/2",D14)))</formula>
    </cfRule>
  </conditionalFormatting>
  <conditionalFormatting sqref="E27:AH27">
    <cfRule type="containsText" dxfId="45" priority="54" operator="containsText" text="P">
      <formula>NOT(ISERROR(SEARCH("P",E27)))</formula>
    </cfRule>
  </conditionalFormatting>
  <conditionalFormatting sqref="E14:AP14">
    <cfRule type="containsText" dxfId="44" priority="32" operator="containsText" text="P">
      <formula>NOT(ISERROR(SEARCH("P",E14)))</formula>
    </cfRule>
  </conditionalFormatting>
  <conditionalFormatting sqref="AI27:AK27">
    <cfRule type="containsText" dxfId="43" priority="46" operator="containsText" text="1/2CP">
      <formula>NOT(ISERROR(SEARCH("1/2CP",AI27)))</formula>
    </cfRule>
    <cfRule type="containsText" dxfId="42" priority="47" operator="containsText" text="1/2P">
      <formula>NOT(ISERROR(SEARCH("1/2P",AI27)))</formula>
    </cfRule>
    <cfRule type="containsText" dxfId="41" priority="48" operator="containsText" text="1/2">
      <formula>NOT(ISERROR(SEARCH("1/2",AI27)))</formula>
    </cfRule>
    <cfRule type="containsText" dxfId="40" priority="49" operator="containsText" text="P">
      <formula>NOT(ISERROR(SEARCH("P",AI27)))</formula>
    </cfRule>
    <cfRule type="containsText" dxfId="39" priority="50" operator="containsText" text="v">
      <formula>NOT(ISERROR(SEARCH("v",AI27)))</formula>
    </cfRule>
  </conditionalFormatting>
  <conditionalFormatting sqref="AI3:AP3">
    <cfRule type="expression" dxfId="38" priority="56" stopIfTrue="1">
      <formula>"weekdey(r2,u2,1)&gt;5"</formula>
    </cfRule>
  </conditionalFormatting>
  <conditionalFormatting sqref="AL6:AL37">
    <cfRule type="expression" dxfId="37" priority="2">
      <formula>$AL6&lt;&gt;""</formula>
    </cfRule>
  </conditionalFormatting>
  <conditionalFormatting sqref="AO5:AO36">
    <cfRule type="expression" dxfId="36" priority="1">
      <formula>$AO5&gt;0</formula>
    </cfRule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A4E23-A01B-4367-9EC2-FB41B0BE8399}">
  <dimension ref="A1:AI842"/>
  <sheetViews>
    <sheetView topLeftCell="R1" zoomScale="96" zoomScaleNormal="96" workbookViewId="0">
      <selection activeCell="AI224" activeCellId="1" sqref="AI230 AI224"/>
    </sheetView>
  </sheetViews>
  <sheetFormatPr defaultRowHeight="15" x14ac:dyDescent="0.25"/>
  <cols>
    <col min="1" max="1" width="12.140625" bestFit="1" customWidth="1"/>
    <col min="2" max="2" width="11" bestFit="1" customWidth="1"/>
    <col min="3" max="3" width="23" bestFit="1" customWidth="1"/>
    <col min="4" max="4" width="10.140625" bestFit="1" customWidth="1"/>
    <col min="5" max="5" width="11.7109375" customWidth="1"/>
    <col min="6" max="6" width="20.85546875" bestFit="1" customWidth="1"/>
    <col min="7" max="7" width="19.5703125" customWidth="1"/>
    <col min="8" max="8" width="11.42578125" style="91" bestFit="1" customWidth="1"/>
    <col min="9" max="10" width="7.85546875" bestFit="1" customWidth="1"/>
    <col min="11" max="11" width="11.7109375" customWidth="1"/>
    <col min="12" max="12" width="10" customWidth="1"/>
    <col min="13" max="13" width="11.7109375" customWidth="1"/>
    <col min="14" max="14" width="7.42578125" customWidth="1"/>
    <col min="15" max="17" width="10" customWidth="1"/>
    <col min="18" max="18" width="8" customWidth="1"/>
    <col min="19" max="19" width="19.7109375" bestFit="1" customWidth="1"/>
    <col min="20" max="20" width="12.140625" customWidth="1"/>
    <col min="21" max="21" width="12.140625" style="82" customWidth="1"/>
    <col min="22" max="22" width="13.42578125" customWidth="1"/>
    <col min="23" max="23" width="13.7109375" style="10" customWidth="1"/>
    <col min="24" max="24" width="13.42578125" style="10" customWidth="1"/>
    <col min="25" max="25" width="13.140625" style="10" customWidth="1"/>
    <col min="26" max="26" width="11.85546875" style="10" customWidth="1"/>
    <col min="27" max="27" width="9.140625" customWidth="1"/>
    <col min="28" max="28" width="9.140625" style="105" customWidth="1"/>
    <col min="29" max="29" width="16" style="12" customWidth="1"/>
    <col min="30" max="30" width="9.140625" style="12" customWidth="1"/>
    <col min="31" max="31" width="9.140625" customWidth="1"/>
    <col min="32" max="32" width="18.140625" style="24" customWidth="1"/>
    <col min="33" max="33" width="14" style="24" customWidth="1"/>
    <col min="34" max="34" width="27.42578125" customWidth="1"/>
    <col min="35" max="35" width="45.28515625" customWidth="1"/>
  </cols>
  <sheetData>
    <row r="1" spans="1:35" ht="13.5" customHeight="1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  <c r="R1" s="84" t="s">
        <v>18</v>
      </c>
      <c r="S1" s="84" t="s">
        <v>256</v>
      </c>
      <c r="T1" s="84" t="s">
        <v>599</v>
      </c>
      <c r="U1" s="84" t="s">
        <v>774</v>
      </c>
      <c r="V1" s="84" t="s">
        <v>835</v>
      </c>
      <c r="W1" s="84" t="s">
        <v>1031</v>
      </c>
      <c r="X1" s="84" t="s">
        <v>1187</v>
      </c>
      <c r="Y1" s="84" t="s">
        <v>1189</v>
      </c>
      <c r="Z1" s="84" t="s">
        <v>1190</v>
      </c>
      <c r="AA1" s="84" t="s">
        <v>141</v>
      </c>
      <c r="AB1" s="106" t="s">
        <v>163</v>
      </c>
      <c r="AC1" s="84" t="s">
        <v>172</v>
      </c>
      <c r="AD1" s="84" t="s">
        <v>198</v>
      </c>
      <c r="AE1" s="84" t="s">
        <v>221</v>
      </c>
      <c r="AF1" s="84" t="s">
        <v>223</v>
      </c>
      <c r="AG1" s="84" t="s">
        <v>225</v>
      </c>
      <c r="AH1" s="84" t="s">
        <v>227</v>
      </c>
      <c r="AI1" s="84" t="s">
        <v>229</v>
      </c>
    </row>
    <row r="2" spans="1:35" s="18" customFormat="1" ht="30" x14ac:dyDescent="0.25">
      <c r="A2" s="14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15" t="s">
        <v>9</v>
      </c>
      <c r="J2" s="15" t="s">
        <v>10</v>
      </c>
      <c r="K2" s="15" t="s">
        <v>11</v>
      </c>
      <c r="L2" s="15" t="s">
        <v>12</v>
      </c>
      <c r="M2" s="15" t="s">
        <v>13</v>
      </c>
      <c r="N2" s="15" t="s">
        <v>14</v>
      </c>
      <c r="O2" s="15" t="s">
        <v>15</v>
      </c>
      <c r="P2" s="15" t="s">
        <v>16</v>
      </c>
      <c r="Q2" s="15" t="s">
        <v>17</v>
      </c>
      <c r="R2" s="16" t="s">
        <v>1361</v>
      </c>
      <c r="S2" s="16" t="s">
        <v>1274</v>
      </c>
      <c r="T2" s="16" t="s">
        <v>1280</v>
      </c>
      <c r="U2" s="83" t="s">
        <v>1360</v>
      </c>
      <c r="V2" s="16" t="s">
        <v>1279</v>
      </c>
      <c r="W2" s="17" t="s">
        <v>1287</v>
      </c>
      <c r="X2" s="17" t="s">
        <v>1288</v>
      </c>
      <c r="Y2" s="17" t="s">
        <v>1290</v>
      </c>
      <c r="Z2" s="17" t="s">
        <v>1291</v>
      </c>
      <c r="AA2" s="18" t="s">
        <v>1285</v>
      </c>
      <c r="AB2" s="107" t="s">
        <v>1286</v>
      </c>
      <c r="AC2" s="13" t="s">
        <v>1318</v>
      </c>
      <c r="AD2" s="13" t="s">
        <v>277</v>
      </c>
      <c r="AE2" s="13" t="s">
        <v>1292</v>
      </c>
      <c r="AF2" s="25" t="s">
        <v>1324</v>
      </c>
      <c r="AG2" s="25" t="s">
        <v>1325</v>
      </c>
      <c r="AH2" s="13" t="s">
        <v>1321</v>
      </c>
      <c r="AI2" s="13" t="s">
        <v>1322</v>
      </c>
    </row>
    <row r="3" spans="1:35" x14ac:dyDescent="0.25">
      <c r="A3" s="4" t="s">
        <v>18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23</v>
      </c>
      <c r="G3" s="1" t="s">
        <v>12</v>
      </c>
      <c r="H3" s="1" t="s">
        <v>24</v>
      </c>
      <c r="I3" s="1" t="s">
        <v>24</v>
      </c>
      <c r="J3" s="1" t="s">
        <v>25</v>
      </c>
      <c r="K3" s="1" t="s">
        <v>25</v>
      </c>
      <c r="L3" s="1" t="s">
        <v>26</v>
      </c>
      <c r="M3" s="1" t="s">
        <v>25</v>
      </c>
      <c r="N3" s="1" t="s">
        <v>25</v>
      </c>
      <c r="O3" s="1" t="s">
        <v>25</v>
      </c>
      <c r="P3" s="1" t="s">
        <v>25</v>
      </c>
      <c r="Q3" s="1" t="s">
        <v>25</v>
      </c>
      <c r="R3" s="85" t="str">
        <f t="shared" ref="R3:R66" si="0">A3&amp;U3</f>
        <v>145901</v>
      </c>
      <c r="S3" t="str">
        <f>VLOOKUP(A3,Data_NV!$A:$C,3,0)</f>
        <v xml:space="preserve"> Nguyễn Bảo Thạch    </v>
      </c>
      <c r="T3" t="str">
        <f>VLOOKUP(A3,Data_NV!$A:$E,4,0)</f>
        <v>Vận Hành</v>
      </c>
      <c r="U3" s="82">
        <f>DATEVALUE(Table2[[#This Row],[Ngày]])</f>
        <v>45901</v>
      </c>
      <c r="V3" t="str">
        <f>VLOOKUP(A3,Data_NV!$A:$E,5,0)</f>
        <v>Đang làm việc</v>
      </c>
      <c r="W3" s="10">
        <f>VLOOKUP(A3,Data_NV!$A:$I,8,0)</f>
        <v>0.3125</v>
      </c>
      <c r="X3" s="10">
        <f>VLOOKUP(A3,Data_NV!$A:$I,9,0)</f>
        <v>0.6875</v>
      </c>
      <c r="Y3" s="10">
        <f>IFERROR(TIMEVALUE(Table2[[#This Row],[Vào]]),0)</f>
        <v>0</v>
      </c>
      <c r="Z3" s="10">
        <f>IFERROR(TIMEVALUE(Table2[[#This Row],[Ra]]),0)</f>
        <v>0</v>
      </c>
      <c r="AA3" s="97" t="s">
        <v>1349</v>
      </c>
      <c r="AB3" s="105">
        <f t="shared" ref="AB3:AB66" si="1">IF(Y3&lt;=W3,0,(Y3-W3)*24*60)</f>
        <v>0</v>
      </c>
      <c r="AC3" s="12" t="str">
        <f>IF(VLOOKUP(A3,Data_NV!$A:$I,7,0)="Không","",IF(OR(AND(Y3=0,Z3=0),AND(Y3&lt;&gt;0,Z3&lt;&gt;0)),"","Quên chấm công"))</f>
        <v/>
      </c>
      <c r="AD3" s="12">
        <f>IF(VLOOKUP(A3,Data_NV!$A:$I,7,0)="Không",0,IF(AND(Y3=0,Z3=0),0,IF(X3&lt;=Z3,0,ROUNDDOWN((X3-Z3)*24*60,0))))</f>
        <v>0</v>
      </c>
      <c r="AE3" s="12">
        <f>IF(VLOOKUP(A3,Data_NV!$A:$I,6,0)="Không",0,IF(Z3&lt;=X3,0,ROUNDDOWN((Z3-X3)*24*60,0)))</f>
        <v>0</v>
      </c>
      <c r="AF3" s="26">
        <f t="shared" ref="AF3:AF66" si="2">IF(AB3&gt;60,"Trừ 1/2 ngày lương",IF(AB3&gt;15,50000,IF(AB3&gt;6,30000,0)))</f>
        <v>0</v>
      </c>
      <c r="AG3" s="27" t="str">
        <f>IF(AC3="","",IF(COUNTIFS($AC$3:AC3,"Quên chấm công",$S$3:S3,S3)&gt;3,"Không chấm công do vi phạm quá 3 lần",IF(COUNTIFS($AC$3:AC3,"Quên chấm công",$S$3:S3,S3)&gt;2,"Trừ toàn bộ chuyên cần tháng do vi phạm lần 3",IF(COUNTIFS($AC$3:AC3,"Quên chấm công",$S$3:S3,S3)&gt;1,"Trừ 1/2 ngày lương",50000))))</f>
        <v/>
      </c>
      <c r="AH3" s="12" t="str">
        <f>IF(AF3=0,"",IF(COUNTIFS($AF$3:AF3,"&gt;0",$S$3:S3,S3)&gt;3,"Trừ toàn bộ chuyên cần tháng",""))</f>
        <v/>
      </c>
      <c r="AI3" s="98" t="s">
        <v>1369</v>
      </c>
    </row>
    <row r="4" spans="1:35" x14ac:dyDescent="0.25">
      <c r="A4" s="4" t="s">
        <v>18</v>
      </c>
      <c r="B4" s="1" t="s">
        <v>19</v>
      </c>
      <c r="C4" s="1" t="s">
        <v>20</v>
      </c>
      <c r="D4" s="1" t="s">
        <v>27</v>
      </c>
      <c r="E4" s="1" t="s">
        <v>22</v>
      </c>
      <c r="F4" s="1" t="s">
        <v>23</v>
      </c>
      <c r="G4" s="1" t="s">
        <v>12</v>
      </c>
      <c r="H4" s="1" t="s">
        <v>24</v>
      </c>
      <c r="I4" s="1" t="s">
        <v>24</v>
      </c>
      <c r="J4" s="1" t="s">
        <v>25</v>
      </c>
      <c r="K4" s="1" t="s">
        <v>25</v>
      </c>
      <c r="L4" s="1" t="s">
        <v>26</v>
      </c>
      <c r="M4" s="1" t="s">
        <v>25</v>
      </c>
      <c r="N4" s="1" t="s">
        <v>25</v>
      </c>
      <c r="O4" s="1" t="s">
        <v>25</v>
      </c>
      <c r="P4" s="1" t="s">
        <v>25</v>
      </c>
      <c r="Q4" s="1" t="s">
        <v>25</v>
      </c>
      <c r="R4" s="85" t="str">
        <f t="shared" si="0"/>
        <v>145902</v>
      </c>
      <c r="S4" t="str">
        <f>VLOOKUP(A4,Data_NV!$A:$C,3,0)</f>
        <v xml:space="preserve"> Nguyễn Bảo Thạch    </v>
      </c>
      <c r="T4" t="str">
        <f>VLOOKUP(A4,Data_NV!$A:$E,4,0)</f>
        <v>Vận Hành</v>
      </c>
      <c r="U4" s="82">
        <f>DATEVALUE(Table2[[#This Row],[Ngày]])</f>
        <v>45902</v>
      </c>
      <c r="V4" t="str">
        <f>VLOOKUP(A4,Data_NV!$A:$E,5,0)</f>
        <v>Đang làm việc</v>
      </c>
      <c r="W4" s="10">
        <f>VLOOKUP(A4,Data_NV!$A:$I,8,0)</f>
        <v>0.3125</v>
      </c>
      <c r="X4" s="10">
        <f>VLOOKUP(A4,Data_NV!$A:$I,9,0)</f>
        <v>0.6875</v>
      </c>
      <c r="Y4" s="10">
        <f>IFERROR(TIMEVALUE(Table2[[#This Row],[Vào]]),0)</f>
        <v>0</v>
      </c>
      <c r="Z4" s="10">
        <f>IFERROR(TIMEVALUE(Table2[[#This Row],[Ra]]),0)</f>
        <v>0</v>
      </c>
      <c r="AA4" s="97" t="s">
        <v>1349</v>
      </c>
      <c r="AB4" s="105">
        <f t="shared" si="1"/>
        <v>0</v>
      </c>
      <c r="AC4" s="12" t="str">
        <f>IF(VLOOKUP(A4,Data_NV!$A:$I,7,0)="Không","",IF(OR(AND(Y4=0,Z4=0),AND(Y4&lt;&gt;0,Z4&lt;&gt;0)),"","Quên chấm công"))</f>
        <v/>
      </c>
      <c r="AD4" s="12">
        <f>IF(VLOOKUP(A4,Data_NV!$A:$I,7,0)="Không",0,IF(AND(Y4=0,Z4=0),0,IF(X4&lt;=Z4,0,ROUNDDOWN((X4-Z4)*24*60,0))))</f>
        <v>0</v>
      </c>
      <c r="AE4" s="12">
        <f>IF(VLOOKUP(A4,Data_NV!$A:$I,6,0)="Không",0,IF(Z4&lt;=X4,0,ROUNDDOWN((Z4-X4)*24*60,0)))</f>
        <v>0</v>
      </c>
      <c r="AF4" s="26">
        <f t="shared" si="2"/>
        <v>0</v>
      </c>
      <c r="AG4" s="27" t="str">
        <f>IF(AC4="","",IF(COUNTIFS($AC$3:AC4,"Quên chấm công",$S$3:S4,S4)&gt;3,"Không chấm công do vi phạm quá 3 lần",IF(COUNTIFS($AC$3:AC4,"Quên chấm công",$S$3:S4,S4)&gt;2,"Trừ toàn bộ chuyên cần tháng do vi phạm lần 3",IF(COUNTIFS($AC$3:AC4,"Quên chấm công",$S$3:S4,S4)&gt;1,"Trừ 1/2 ngày lương",50000))))</f>
        <v/>
      </c>
      <c r="AH4" s="12" t="str">
        <f>IF(AF4=0,"",IF(COUNTIFS($AF$3:AF4,"&gt;0",$S$3:S4,S4)&gt;3,"Trừ toàn bộ chuyên cần tháng",""))</f>
        <v/>
      </c>
      <c r="AI4" s="98" t="s">
        <v>1369</v>
      </c>
    </row>
    <row r="5" spans="1:35" x14ac:dyDescent="0.25">
      <c r="A5" s="4" t="s">
        <v>18</v>
      </c>
      <c r="B5" s="1" t="s">
        <v>19</v>
      </c>
      <c r="C5" s="1" t="s">
        <v>20</v>
      </c>
      <c r="D5" s="1" t="s">
        <v>28</v>
      </c>
      <c r="E5" s="1" t="s">
        <v>22</v>
      </c>
      <c r="F5" s="1" t="s">
        <v>23</v>
      </c>
      <c r="G5" s="1" t="s">
        <v>29</v>
      </c>
      <c r="H5" s="1" t="s">
        <v>30</v>
      </c>
      <c r="I5" s="1" t="s">
        <v>31</v>
      </c>
      <c r="J5" s="1" t="s">
        <v>25</v>
      </c>
      <c r="K5" s="1" t="s">
        <v>32</v>
      </c>
      <c r="L5" s="1" t="s">
        <v>25</v>
      </c>
      <c r="M5" s="1" t="s">
        <v>26</v>
      </c>
      <c r="N5" s="1" t="s">
        <v>25</v>
      </c>
      <c r="O5" s="1" t="s">
        <v>33</v>
      </c>
      <c r="P5" s="1" t="s">
        <v>34</v>
      </c>
      <c r="Q5" s="1" t="s">
        <v>25</v>
      </c>
      <c r="R5" s="85" t="str">
        <f t="shared" si="0"/>
        <v>145903</v>
      </c>
      <c r="S5" t="str">
        <f>VLOOKUP(A5,Data_NV!$A:$C,3,0)</f>
        <v xml:space="preserve"> Nguyễn Bảo Thạch    </v>
      </c>
      <c r="T5" t="str">
        <f>VLOOKUP(A5,Data_NV!$A:$E,4,0)</f>
        <v>Vận Hành</v>
      </c>
      <c r="U5" s="82">
        <f>DATEVALUE(Table2[[#This Row],[Ngày]])</f>
        <v>45903</v>
      </c>
      <c r="V5" t="str">
        <f>VLOOKUP(A5,Data_NV!$A:$E,5,0)</f>
        <v>Đang làm việc</v>
      </c>
      <c r="W5" s="10">
        <f>VLOOKUP(A5,Data_NV!$A:$I,8,0)</f>
        <v>0.3125</v>
      </c>
      <c r="X5" s="10">
        <f>VLOOKUP(A5,Data_NV!$A:$I,9,0)</f>
        <v>0.6875</v>
      </c>
      <c r="Y5" s="10">
        <f>IFERROR(TIMEVALUE(Table2[[#This Row],[Vào]]),0)</f>
        <v>0.30278935185185185</v>
      </c>
      <c r="Z5" s="10">
        <f>IFERROR(TIMEVALUE(Table2[[#This Row],[Ra]]),0)</f>
        <v>0.8060532407407407</v>
      </c>
      <c r="AA5" t="str">
        <f t="shared" ref="AA5:AA66" si="3">IF(TEXT($U5,"ddd")="CN","Chủ nhật",IF(OR(AND(Y5=0,Z5=0),AG5="Không chấm công do vi phạm quá 3 lần"),"",IF(OR(AG5="Trừ 1/2 ngày lương",AF5="Trừ 1/2 ngày lương",AB5&gt;=60),"1/2","x")))</f>
        <v>x</v>
      </c>
      <c r="AB5" s="105">
        <f t="shared" si="1"/>
        <v>0</v>
      </c>
      <c r="AC5" s="12" t="str">
        <f>IF(VLOOKUP(A5,Data_NV!$A:$I,7,0)="Không","",IF(OR(AND(Y5=0,Z5=0),AND(Y5&lt;&gt;0,Z5&lt;&gt;0)),"","Quên chấm công"))</f>
        <v/>
      </c>
      <c r="AD5" s="12">
        <f>IF(VLOOKUP(A5,Data_NV!$A:$I,7,0)="Không",0,IF(AND(Y5=0,Z5=0),0,IF(X5&lt;=Z5,0,ROUNDDOWN((X5-Z5)*24*60,0))))</f>
        <v>0</v>
      </c>
      <c r="AE5" s="12">
        <f>IF(VLOOKUP(A5,Data_NV!$A:$I,6,0)="Không",0,IF(Z5&lt;=X5,0,ROUNDDOWN((Z5-X5)*24*60,0)))</f>
        <v>0</v>
      </c>
      <c r="AF5" s="26">
        <f t="shared" si="2"/>
        <v>0</v>
      </c>
      <c r="AG5" s="27" t="str">
        <f>IF(AC5="","",IF(COUNTIFS($AC$3:AC5,"Quên chấm công",$S$3:S5,S5)&gt;3,"Không chấm công do vi phạm quá 3 lần",IF(COUNTIFS($AC$3:AC5,"Quên chấm công",$S$3:S5,S5)&gt;2,"Trừ toàn bộ chuyên cần tháng do vi phạm lần 3",IF(COUNTIFS($AC$3:AC5,"Quên chấm công",$S$3:S5,S5)&gt;1,"Trừ 1/2 ngày lương",50000))))</f>
        <v/>
      </c>
      <c r="AH5" s="12" t="str">
        <f>IF(AF5=0,"",IF(COUNTIFS($AF$3:AF5,"&gt;0",$S$3:S5,S5)&gt;3,"Trừ toàn bộ chuyên cần tháng",""))</f>
        <v/>
      </c>
      <c r="AI5" s="12"/>
    </row>
    <row r="6" spans="1:35" x14ac:dyDescent="0.25">
      <c r="A6" s="4" t="s">
        <v>18</v>
      </c>
      <c r="B6" s="1" t="s">
        <v>19</v>
      </c>
      <c r="C6" s="1" t="s">
        <v>20</v>
      </c>
      <c r="D6" s="1" t="s">
        <v>35</v>
      </c>
      <c r="E6" s="1" t="s">
        <v>22</v>
      </c>
      <c r="F6" s="1" t="s">
        <v>23</v>
      </c>
      <c r="G6" s="1" t="s">
        <v>12</v>
      </c>
      <c r="H6" s="1" t="s">
        <v>36</v>
      </c>
      <c r="I6" s="1" t="s">
        <v>24</v>
      </c>
      <c r="J6" s="1" t="s">
        <v>25</v>
      </c>
      <c r="K6" s="1" t="s">
        <v>25</v>
      </c>
      <c r="L6" s="1" t="s">
        <v>26</v>
      </c>
      <c r="M6" s="1" t="s">
        <v>25</v>
      </c>
      <c r="N6" s="1" t="s">
        <v>25</v>
      </c>
      <c r="O6" s="1" t="s">
        <v>25</v>
      </c>
      <c r="P6" s="1" t="s">
        <v>25</v>
      </c>
      <c r="Q6" s="1" t="s">
        <v>25</v>
      </c>
      <c r="R6" s="85" t="str">
        <f t="shared" si="0"/>
        <v>145904</v>
      </c>
      <c r="S6" t="str">
        <f>VLOOKUP(A6,Data_NV!$A:$C,3,0)</f>
        <v xml:space="preserve"> Nguyễn Bảo Thạch    </v>
      </c>
      <c r="T6" t="str">
        <f>VLOOKUP(A6,Data_NV!$A:$E,4,0)</f>
        <v>Vận Hành</v>
      </c>
      <c r="U6" s="82">
        <f>DATEVALUE(Table2[[#This Row],[Ngày]])</f>
        <v>45904</v>
      </c>
      <c r="V6" t="str">
        <f>VLOOKUP(A6,Data_NV!$A:$E,5,0)</f>
        <v>Đang làm việc</v>
      </c>
      <c r="W6" s="10">
        <f>VLOOKUP(A6,Data_NV!$A:$I,8,0)</f>
        <v>0.3125</v>
      </c>
      <c r="X6" s="10">
        <f>VLOOKUP(A6,Data_NV!$A:$I,9,0)</f>
        <v>0.6875</v>
      </c>
      <c r="Y6" s="10">
        <f>IFERROR(TIMEVALUE(Table2[[#This Row],[Vào]]),0)</f>
        <v>0.30464120370370368</v>
      </c>
      <c r="Z6" s="10">
        <f>IFERROR(TIMEVALUE(Table2[[#This Row],[Ra]]),0)</f>
        <v>0</v>
      </c>
      <c r="AA6" t="str">
        <f t="shared" si="3"/>
        <v>x</v>
      </c>
      <c r="AB6" s="105">
        <f t="shared" si="1"/>
        <v>0</v>
      </c>
      <c r="AD6" s="12">
        <f>IF(VLOOKUP(A6,Data_NV!$A:$I,7,0)="Không",0,IF(AND(Y6=0,Z6=0),0,IF(X6&lt;=Z6,0,ROUNDDOWN((X6-Z6)*24*60,0))))</f>
        <v>990</v>
      </c>
      <c r="AE6" s="12">
        <f>IF(VLOOKUP(A6,Data_NV!$A:$I,6,0)="Không",0,IF(Z6&lt;=X6,0,ROUNDDOWN((Z6-X6)*24*60,0)))</f>
        <v>0</v>
      </c>
      <c r="AF6" s="26">
        <f t="shared" si="2"/>
        <v>0</v>
      </c>
      <c r="AG6" s="27" t="str">
        <f>IF(AC6="","",IF(COUNTIFS($AC$3:AC6,"Quên chấm công",$S$3:S6,S6)&gt;3,"Không chấm công do vi phạm quá 3 lần",IF(COUNTIFS($AC$3:AC6,"Quên chấm công",$S$3:S6,S6)&gt;2,"Trừ toàn bộ chuyên cần tháng do vi phạm lần 3",IF(COUNTIFS($AC$3:AC6,"Quên chấm công",$S$3:S6,S6)&gt;1,"Trừ 1/2 ngày lương",50000))))</f>
        <v/>
      </c>
      <c r="AH6" s="12" t="str">
        <f>IF(AF6=0,"",IF(COUNTIFS($AF$3:AF6,"&gt;0",$S$3:S6,S6)&gt;3,"Trừ toàn bộ chuyên cần tháng",""))</f>
        <v/>
      </c>
      <c r="AI6" s="12" t="s">
        <v>1399</v>
      </c>
    </row>
    <row r="7" spans="1:35" x14ac:dyDescent="0.25">
      <c r="A7" s="4" t="s">
        <v>18</v>
      </c>
      <c r="B7" s="1" t="s">
        <v>19</v>
      </c>
      <c r="C7" s="1" t="s">
        <v>20</v>
      </c>
      <c r="D7" s="1" t="s">
        <v>37</v>
      </c>
      <c r="E7" s="1" t="s">
        <v>22</v>
      </c>
      <c r="F7" s="1" t="s">
        <v>23</v>
      </c>
      <c r="G7" s="1" t="s">
        <v>29</v>
      </c>
      <c r="H7" s="1" t="s">
        <v>38</v>
      </c>
      <c r="I7" s="1" t="s">
        <v>39</v>
      </c>
      <c r="J7" s="1" t="s">
        <v>25</v>
      </c>
      <c r="K7" s="1" t="s">
        <v>40</v>
      </c>
      <c r="L7" s="1" t="s">
        <v>25</v>
      </c>
      <c r="M7" s="1" t="s">
        <v>26</v>
      </c>
      <c r="N7" s="1" t="s">
        <v>25</v>
      </c>
      <c r="O7" s="1" t="s">
        <v>41</v>
      </c>
      <c r="P7" s="1" t="s">
        <v>25</v>
      </c>
      <c r="Q7" s="1" t="s">
        <v>25</v>
      </c>
      <c r="R7" s="85" t="str">
        <f t="shared" si="0"/>
        <v>145905</v>
      </c>
      <c r="S7" t="str">
        <f>VLOOKUP(A7,Data_NV!$A:$C,3,0)</f>
        <v xml:space="preserve"> Nguyễn Bảo Thạch    </v>
      </c>
      <c r="T7" t="str">
        <f>VLOOKUP(A7,Data_NV!$A:$E,4,0)</f>
        <v>Vận Hành</v>
      </c>
      <c r="U7" s="82">
        <f>DATEVALUE(Table2[[#This Row],[Ngày]])</f>
        <v>45905</v>
      </c>
      <c r="V7" t="str">
        <f>VLOOKUP(A7,Data_NV!$A:$E,5,0)</f>
        <v>Đang làm việc</v>
      </c>
      <c r="W7" s="10">
        <f>VLOOKUP(A7,Data_NV!$A:$I,8,0)</f>
        <v>0.3125</v>
      </c>
      <c r="X7" s="10">
        <f>VLOOKUP(A7,Data_NV!$A:$I,9,0)</f>
        <v>0.6875</v>
      </c>
      <c r="Y7" s="10">
        <f>IFERROR(TIMEVALUE(Table2[[#This Row],[Vào]]),0)</f>
        <v>0.3071990740740741</v>
      </c>
      <c r="Z7" s="10">
        <f>IFERROR(TIMEVALUE(Table2[[#This Row],[Ra]]),0)</f>
        <v>0.79093749999999996</v>
      </c>
      <c r="AA7" t="str">
        <f t="shared" si="3"/>
        <v>x</v>
      </c>
      <c r="AB7" s="105">
        <f t="shared" si="1"/>
        <v>0</v>
      </c>
      <c r="AC7" s="12" t="str">
        <f>IF(VLOOKUP(A7,Data_NV!$A:$I,7,0)="Không","",IF(OR(AND(Y7=0,Z7=0),AND(Y7&lt;&gt;0,Z7&lt;&gt;0)),"","Quên chấm công"))</f>
        <v/>
      </c>
      <c r="AD7" s="12">
        <f>IF(VLOOKUP(A7,Data_NV!$A:$I,7,0)="Không",0,IF(AND(Y7=0,Z7=0),0,IF(X7&lt;=Z7,0,ROUNDDOWN((X7-Z7)*24*60,0))))</f>
        <v>0</v>
      </c>
      <c r="AE7" s="12">
        <f>IF(VLOOKUP(A7,Data_NV!$A:$I,6,0)="Không",0,IF(Z7&lt;=X7,0,ROUNDDOWN((Z7-X7)*24*60,0)))</f>
        <v>0</v>
      </c>
      <c r="AF7" s="26">
        <f t="shared" si="2"/>
        <v>0</v>
      </c>
      <c r="AG7" s="27" t="str">
        <f>IF(AC7="","",IF(COUNTIFS($AC$3:AC7,"Quên chấm công",$S$3:S7,S7)&gt;3,"Không chấm công do vi phạm quá 3 lần",IF(COUNTIFS($AC$3:AC7,"Quên chấm công",$S$3:S7,S7)&gt;2,"Trừ toàn bộ chuyên cần tháng do vi phạm lần 3",IF(COUNTIFS($AC$3:AC7,"Quên chấm công",$S$3:S7,S7)&gt;1,"Trừ 1/2 ngày lương",50000))))</f>
        <v/>
      </c>
      <c r="AH7" s="12" t="str">
        <f>IF(AF7=0,"",IF(COUNTIFS($AF$3:AF7,"&gt;0",$S$3:S7,S7)&gt;3,"Trừ toàn bộ chuyên cần tháng",""))</f>
        <v/>
      </c>
      <c r="AI7" s="12"/>
    </row>
    <row r="8" spans="1:35" x14ac:dyDescent="0.25">
      <c r="A8" s="4" t="s">
        <v>18</v>
      </c>
      <c r="B8" s="1" t="s">
        <v>19</v>
      </c>
      <c r="C8" s="1" t="s">
        <v>20</v>
      </c>
      <c r="D8" s="1" t="s">
        <v>42</v>
      </c>
      <c r="E8" s="1" t="s">
        <v>22</v>
      </c>
      <c r="F8" s="1" t="s">
        <v>23</v>
      </c>
      <c r="G8" s="1" t="s">
        <v>29</v>
      </c>
      <c r="H8" s="1" t="s">
        <v>43</v>
      </c>
      <c r="I8" s="1" t="s">
        <v>44</v>
      </c>
      <c r="J8" s="1" t="s">
        <v>25</v>
      </c>
      <c r="K8" s="1" t="s">
        <v>45</v>
      </c>
      <c r="L8" s="1" t="s">
        <v>25</v>
      </c>
      <c r="M8" s="1" t="s">
        <v>26</v>
      </c>
      <c r="N8" s="1" t="s">
        <v>25</v>
      </c>
      <c r="O8" s="1" t="s">
        <v>46</v>
      </c>
      <c r="P8" s="1" t="s">
        <v>25</v>
      </c>
      <c r="Q8" s="1" t="s">
        <v>25</v>
      </c>
      <c r="R8" s="85" t="str">
        <f t="shared" si="0"/>
        <v>145906</v>
      </c>
      <c r="S8" t="str">
        <f>VLOOKUP(A8,Data_NV!$A:$C,3,0)</f>
        <v xml:space="preserve"> Nguyễn Bảo Thạch    </v>
      </c>
      <c r="T8" t="str">
        <f>VLOOKUP(A8,Data_NV!$A:$E,4,0)</f>
        <v>Vận Hành</v>
      </c>
      <c r="U8" s="82">
        <f>DATEVALUE(Table2[[#This Row],[Ngày]])</f>
        <v>45906</v>
      </c>
      <c r="V8" t="str">
        <f>VLOOKUP(A8,Data_NV!$A:$E,5,0)</f>
        <v>Đang làm việc</v>
      </c>
      <c r="W8" s="10">
        <f>VLOOKUP(A8,Data_NV!$A:$I,8,0)</f>
        <v>0.3125</v>
      </c>
      <c r="X8" s="10">
        <f>VLOOKUP(A8,Data_NV!$A:$I,9,0)</f>
        <v>0.6875</v>
      </c>
      <c r="Y8" s="10">
        <f>IFERROR(TIMEVALUE(Table2[[#This Row],[Vào]]),0)</f>
        <v>0.31190972222222224</v>
      </c>
      <c r="Z8" s="10">
        <f>IFERROR(TIMEVALUE(Table2[[#This Row],[Ra]]),0)</f>
        <v>0.74333333333333329</v>
      </c>
      <c r="AA8" t="str">
        <f t="shared" si="3"/>
        <v>x</v>
      </c>
      <c r="AB8" s="105">
        <f t="shared" si="1"/>
        <v>0</v>
      </c>
      <c r="AC8" s="12" t="str">
        <f>IF(VLOOKUP(A8,Data_NV!$A:$I,7,0)="Không","",IF(OR(AND(Y8=0,Z8=0),AND(Y8&lt;&gt;0,Z8&lt;&gt;0)),"","Quên chấm công"))</f>
        <v/>
      </c>
      <c r="AD8" s="12">
        <f>IF(VLOOKUP(A8,Data_NV!$A:$I,7,0)="Không",0,IF(AND(Y8=0,Z8=0),0,IF(X8&lt;=Z8,0,ROUNDDOWN((X8-Z8)*24*60,0))))</f>
        <v>0</v>
      </c>
      <c r="AE8" s="12">
        <f>IF(VLOOKUP(A8,Data_NV!$A:$I,6,0)="Không",0,IF(Z8&lt;=X8,0,ROUNDDOWN((Z8-X8)*24*60,0)))</f>
        <v>0</v>
      </c>
      <c r="AF8" s="26">
        <f t="shared" si="2"/>
        <v>0</v>
      </c>
      <c r="AG8" s="27" t="str">
        <f>IF(AC8="","",IF(COUNTIFS($AC$3:AC8,"Quên chấm công",$S$3:S8,S8)&gt;3,"Không chấm công do vi phạm quá 3 lần",IF(COUNTIFS($AC$3:AC8,"Quên chấm công",$S$3:S8,S8)&gt;2,"Trừ toàn bộ chuyên cần tháng do vi phạm lần 3",IF(COUNTIFS($AC$3:AC8,"Quên chấm công",$S$3:S8,S8)&gt;1,"Trừ 1/2 ngày lương",50000))))</f>
        <v/>
      </c>
      <c r="AH8" s="12" t="str">
        <f>IF(AF8=0,"",IF(COUNTIFS($AF$3:AF8,"&gt;0",$S$3:S8,S8)&gt;3,"Trừ toàn bộ chuyên cần tháng",""))</f>
        <v/>
      </c>
      <c r="AI8" s="12"/>
    </row>
    <row r="9" spans="1:35" x14ac:dyDescent="0.25">
      <c r="A9" s="4" t="s">
        <v>18</v>
      </c>
      <c r="B9" s="1" t="s">
        <v>19</v>
      </c>
      <c r="C9" s="1" t="s">
        <v>20</v>
      </c>
      <c r="D9" s="1" t="s">
        <v>47</v>
      </c>
      <c r="E9" s="1" t="s">
        <v>22</v>
      </c>
      <c r="F9" s="1" t="s">
        <v>23</v>
      </c>
      <c r="G9" s="1" t="s">
        <v>12</v>
      </c>
      <c r="H9" s="1" t="s">
        <v>24</v>
      </c>
      <c r="I9" s="1" t="s">
        <v>24</v>
      </c>
      <c r="J9" s="1" t="s">
        <v>25</v>
      </c>
      <c r="K9" s="1" t="s">
        <v>25</v>
      </c>
      <c r="L9" s="1" t="s">
        <v>26</v>
      </c>
      <c r="M9" s="1" t="s">
        <v>25</v>
      </c>
      <c r="N9" s="1" t="s">
        <v>25</v>
      </c>
      <c r="O9" s="1" t="s">
        <v>25</v>
      </c>
      <c r="P9" s="1" t="s">
        <v>25</v>
      </c>
      <c r="Q9" s="1" t="s">
        <v>25</v>
      </c>
      <c r="R9" s="85" t="str">
        <f t="shared" si="0"/>
        <v>145907</v>
      </c>
      <c r="S9" t="str">
        <f>VLOOKUP(A9,Data_NV!$A:$C,3,0)</f>
        <v xml:space="preserve"> Nguyễn Bảo Thạch    </v>
      </c>
      <c r="T9" t="str">
        <f>VLOOKUP(A9,Data_NV!$A:$E,4,0)</f>
        <v>Vận Hành</v>
      </c>
      <c r="U9" s="82">
        <f>DATEVALUE(Table2[[#This Row],[Ngày]])</f>
        <v>45907</v>
      </c>
      <c r="V9" t="str">
        <f>VLOOKUP(A9,Data_NV!$A:$E,5,0)</f>
        <v>Đang làm việc</v>
      </c>
      <c r="W9" s="10">
        <f>VLOOKUP(A9,Data_NV!$A:$I,8,0)</f>
        <v>0.3125</v>
      </c>
      <c r="X9" s="10">
        <f>VLOOKUP(A9,Data_NV!$A:$I,9,0)</f>
        <v>0.6875</v>
      </c>
      <c r="Y9" s="10">
        <f>IFERROR(TIMEVALUE(Table2[[#This Row],[Vào]]),0)</f>
        <v>0</v>
      </c>
      <c r="Z9" s="10">
        <f>IFERROR(TIMEVALUE(Table2[[#This Row],[Ra]]),0)</f>
        <v>0</v>
      </c>
      <c r="AA9" t="str">
        <f t="shared" si="3"/>
        <v>Chủ nhật</v>
      </c>
      <c r="AB9" s="105">
        <f t="shared" si="1"/>
        <v>0</v>
      </c>
      <c r="AC9" s="12" t="str">
        <f>IF(VLOOKUP(A9,Data_NV!$A:$I,7,0)="Không","",IF(OR(AND(Y9=0,Z9=0),AND(Y9&lt;&gt;0,Z9&lt;&gt;0)),"","Quên chấm công"))</f>
        <v/>
      </c>
      <c r="AD9" s="12">
        <f>IF(VLOOKUP(A9,Data_NV!$A:$I,7,0)="Không",0,IF(AND(Y9=0,Z9=0),0,IF(X9&lt;=Z9,0,ROUNDDOWN((X9-Z9)*24*60,0))))</f>
        <v>0</v>
      </c>
      <c r="AE9" s="12">
        <f>IF(VLOOKUP(A9,Data_NV!$A:$I,6,0)="Không",0,IF(Z9&lt;=X9,0,ROUNDDOWN((Z9-X9)*24*60,0)))</f>
        <v>0</v>
      </c>
      <c r="AF9" s="26">
        <f t="shared" si="2"/>
        <v>0</v>
      </c>
      <c r="AG9" s="27" t="str">
        <f>IF(AC9="","",IF(COUNTIFS($AC$3:AC9,"Quên chấm công",$S$3:S9,S9)&gt;3,"Không chấm công do vi phạm quá 3 lần",IF(COUNTIFS($AC$3:AC9,"Quên chấm công",$S$3:S9,S9)&gt;2,"Trừ toàn bộ chuyên cần tháng do vi phạm lần 3",IF(COUNTIFS($AC$3:AC9,"Quên chấm công",$S$3:S9,S9)&gt;1,"Trừ 1/2 ngày lương",50000))))</f>
        <v/>
      </c>
      <c r="AH9" s="12" t="str">
        <f>IF(AF9=0,"",IF(COUNTIFS($AF$3:AF9,"&gt;0",$S$3:S9,S9)&gt;3,"Trừ toàn bộ chuyên cần tháng",""))</f>
        <v/>
      </c>
      <c r="AI9" s="12"/>
    </row>
    <row r="10" spans="1:35" x14ac:dyDescent="0.25">
      <c r="A10" s="4" t="s">
        <v>18</v>
      </c>
      <c r="B10" s="1" t="s">
        <v>19</v>
      </c>
      <c r="C10" s="1" t="s">
        <v>20</v>
      </c>
      <c r="D10" s="1" t="s">
        <v>48</v>
      </c>
      <c r="E10" s="1" t="s">
        <v>22</v>
      </c>
      <c r="F10" s="1" t="s">
        <v>23</v>
      </c>
      <c r="G10" s="1" t="s">
        <v>29</v>
      </c>
      <c r="H10" s="1" t="s">
        <v>49</v>
      </c>
      <c r="I10" s="1" t="s">
        <v>50</v>
      </c>
      <c r="J10" s="1" t="s">
        <v>25</v>
      </c>
      <c r="K10" s="1" t="s">
        <v>51</v>
      </c>
      <c r="L10" s="1" t="s">
        <v>25</v>
      </c>
      <c r="M10" s="1" t="s">
        <v>26</v>
      </c>
      <c r="N10" s="1" t="s">
        <v>25</v>
      </c>
      <c r="O10" s="1" t="s">
        <v>52</v>
      </c>
      <c r="P10" s="1" t="s">
        <v>25</v>
      </c>
      <c r="Q10" s="1" t="s">
        <v>25</v>
      </c>
      <c r="R10" s="85" t="str">
        <f t="shared" si="0"/>
        <v>145908</v>
      </c>
      <c r="S10" t="str">
        <f>VLOOKUP(A10,Data_NV!$A:$C,3,0)</f>
        <v xml:space="preserve"> Nguyễn Bảo Thạch    </v>
      </c>
      <c r="T10" t="str">
        <f>VLOOKUP(A10,Data_NV!$A:$E,4,0)</f>
        <v>Vận Hành</v>
      </c>
      <c r="U10" s="82">
        <f>DATEVALUE(Table2[[#This Row],[Ngày]])</f>
        <v>45908</v>
      </c>
      <c r="V10" t="str">
        <f>VLOOKUP(A10,Data_NV!$A:$E,5,0)</f>
        <v>Đang làm việc</v>
      </c>
      <c r="W10" s="10">
        <f>VLOOKUP(A10,Data_NV!$A:$I,8,0)</f>
        <v>0.3125</v>
      </c>
      <c r="X10" s="10">
        <f>VLOOKUP(A10,Data_NV!$A:$I,9,0)</f>
        <v>0.6875</v>
      </c>
      <c r="Y10" s="10">
        <f>IFERROR(TIMEVALUE(Table2[[#This Row],[Vào]]),0)</f>
        <v>0.30709490740740741</v>
      </c>
      <c r="Z10" s="10">
        <f>IFERROR(TIMEVALUE(Table2[[#This Row],[Ra]]),0)</f>
        <v>0.77222222222222225</v>
      </c>
      <c r="AA10" t="str">
        <f t="shared" si="3"/>
        <v>x</v>
      </c>
      <c r="AB10" s="105">
        <f t="shared" si="1"/>
        <v>0</v>
      </c>
      <c r="AC10" s="12" t="str">
        <f>IF(VLOOKUP(A10,Data_NV!$A:$I,7,0)="Không","",IF(OR(AND(Y10=0,Z10=0),AND(Y10&lt;&gt;0,Z10&lt;&gt;0)),"","Quên chấm công"))</f>
        <v/>
      </c>
      <c r="AD10" s="12">
        <f>IF(VLOOKUP(A10,Data_NV!$A:$I,7,0)="Không",0,IF(AND(Y10=0,Z10=0),0,IF(X10&lt;=Z10,0,ROUNDDOWN((X10-Z10)*24*60,0))))</f>
        <v>0</v>
      </c>
      <c r="AE10" s="12">
        <f>IF(VLOOKUP(A10,Data_NV!$A:$I,6,0)="Không",0,IF(Z10&lt;=X10,0,ROUNDDOWN((Z10-X10)*24*60,0)))</f>
        <v>0</v>
      </c>
      <c r="AF10" s="26">
        <f t="shared" si="2"/>
        <v>0</v>
      </c>
      <c r="AG10" s="27" t="str">
        <f>IF(AC10="","",IF(COUNTIFS($AC$3:AC10,"Quên chấm công",$S$3:S10,S10)&gt;3,"Không chấm công do vi phạm quá 3 lần",IF(COUNTIFS($AC$3:AC10,"Quên chấm công",$S$3:S10,S10)&gt;2,"Trừ toàn bộ chuyên cần tháng do vi phạm lần 3",IF(COUNTIFS($AC$3:AC10,"Quên chấm công",$S$3:S10,S10)&gt;1,"Trừ 1/2 ngày lương",50000))))</f>
        <v/>
      </c>
      <c r="AH10" s="12" t="str">
        <f>IF(AF10=0,"",IF(COUNTIFS($AF$3:AF10,"&gt;0",$S$3:S10,S10)&gt;3,"Trừ toàn bộ chuyên cần tháng",""))</f>
        <v/>
      </c>
      <c r="AI10" s="12"/>
    </row>
    <row r="11" spans="1:35" x14ac:dyDescent="0.25">
      <c r="A11" s="4" t="s">
        <v>18</v>
      </c>
      <c r="B11" s="1" t="s">
        <v>19</v>
      </c>
      <c r="C11" s="1" t="s">
        <v>20</v>
      </c>
      <c r="D11" s="1" t="s">
        <v>53</v>
      </c>
      <c r="E11" s="1" t="s">
        <v>22</v>
      </c>
      <c r="F11" s="1" t="s">
        <v>23</v>
      </c>
      <c r="G11" s="1" t="s">
        <v>29</v>
      </c>
      <c r="H11" s="1" t="s">
        <v>54</v>
      </c>
      <c r="I11" s="1" t="s">
        <v>55</v>
      </c>
      <c r="J11" s="1" t="s">
        <v>25</v>
      </c>
      <c r="K11" s="1" t="s">
        <v>56</v>
      </c>
      <c r="L11" s="1" t="s">
        <v>25</v>
      </c>
      <c r="M11" s="1" t="s">
        <v>26</v>
      </c>
      <c r="N11" s="1" t="s">
        <v>25</v>
      </c>
      <c r="O11" s="1" t="s">
        <v>57</v>
      </c>
      <c r="P11" s="1" t="s">
        <v>25</v>
      </c>
      <c r="Q11" s="1" t="s">
        <v>25</v>
      </c>
      <c r="R11" s="85" t="str">
        <f t="shared" si="0"/>
        <v>145909</v>
      </c>
      <c r="S11" t="str">
        <f>VLOOKUP(A11,Data_NV!$A:$C,3,0)</f>
        <v xml:space="preserve"> Nguyễn Bảo Thạch    </v>
      </c>
      <c r="T11" t="str">
        <f>VLOOKUP(A11,Data_NV!$A:$E,4,0)</f>
        <v>Vận Hành</v>
      </c>
      <c r="U11" s="82">
        <f>DATEVALUE(Table2[[#This Row],[Ngày]])</f>
        <v>45909</v>
      </c>
      <c r="V11" t="str">
        <f>VLOOKUP(A11,Data_NV!$A:$E,5,0)</f>
        <v>Đang làm việc</v>
      </c>
      <c r="W11" s="10">
        <f>VLOOKUP(A11,Data_NV!$A:$I,8,0)</f>
        <v>0.3125</v>
      </c>
      <c r="X11" s="10">
        <f>VLOOKUP(A11,Data_NV!$A:$I,9,0)</f>
        <v>0.6875</v>
      </c>
      <c r="Y11" s="10">
        <f>IFERROR(TIMEVALUE(Table2[[#This Row],[Vào]]),0)</f>
        <v>0.30292824074074076</v>
      </c>
      <c r="Z11" s="10">
        <f>IFERROR(TIMEVALUE(Table2[[#This Row],[Ra]]),0)</f>
        <v>0.75449074074074074</v>
      </c>
      <c r="AA11" t="str">
        <f t="shared" si="3"/>
        <v>x</v>
      </c>
      <c r="AB11" s="105">
        <f t="shared" si="1"/>
        <v>0</v>
      </c>
      <c r="AC11" s="12" t="str">
        <f>IF(VLOOKUP(A11,Data_NV!$A:$I,7,0)="Không","",IF(OR(AND(Y11=0,Z11=0),AND(Y11&lt;&gt;0,Z11&lt;&gt;0)),"","Quên chấm công"))</f>
        <v/>
      </c>
      <c r="AD11" s="12">
        <f>IF(VLOOKUP(A11,Data_NV!$A:$I,7,0)="Không",0,IF(AND(Y11=0,Z11=0),0,IF(X11&lt;=Z11,0,ROUNDDOWN((X11-Z11)*24*60,0))))</f>
        <v>0</v>
      </c>
      <c r="AE11" s="12">
        <f>IF(VLOOKUP(A11,Data_NV!$A:$I,6,0)="Không",0,IF(Z11&lt;=X11,0,ROUNDDOWN((Z11-X11)*24*60,0)))</f>
        <v>0</v>
      </c>
      <c r="AF11" s="26">
        <f t="shared" si="2"/>
        <v>0</v>
      </c>
      <c r="AG11" s="27" t="str">
        <f>IF(AC11="","",IF(COUNTIFS($AC$3:AC11,"Quên chấm công",$S$3:S11,S11)&gt;3,"Không chấm công do vi phạm quá 3 lần",IF(COUNTIFS($AC$3:AC11,"Quên chấm công",$S$3:S11,S11)&gt;2,"Trừ toàn bộ chuyên cần tháng do vi phạm lần 3",IF(COUNTIFS($AC$3:AC11,"Quên chấm công",$S$3:S11,S11)&gt;1,"Trừ 1/2 ngày lương",50000))))</f>
        <v/>
      </c>
      <c r="AH11" s="12" t="str">
        <f>IF(AF11=0,"",IF(COUNTIFS($AF$3:AF11,"&gt;0",$S$3:S11,S11)&gt;3,"Trừ toàn bộ chuyên cần tháng",""))</f>
        <v/>
      </c>
      <c r="AI11" s="12"/>
    </row>
    <row r="12" spans="1:35" x14ac:dyDescent="0.25">
      <c r="A12" s="4" t="s">
        <v>18</v>
      </c>
      <c r="B12" s="1" t="s">
        <v>19</v>
      </c>
      <c r="C12" s="1" t="s">
        <v>20</v>
      </c>
      <c r="D12" s="1" t="s">
        <v>58</v>
      </c>
      <c r="E12" s="1" t="s">
        <v>22</v>
      </c>
      <c r="F12" s="1" t="s">
        <v>23</v>
      </c>
      <c r="G12" s="1" t="s">
        <v>29</v>
      </c>
      <c r="H12" s="1" t="s">
        <v>59</v>
      </c>
      <c r="I12" s="1" t="s">
        <v>60</v>
      </c>
      <c r="J12" s="1" t="s">
        <v>25</v>
      </c>
      <c r="K12" s="1" t="s">
        <v>61</v>
      </c>
      <c r="L12" s="1" t="s">
        <v>25</v>
      </c>
      <c r="M12" s="1" t="s">
        <v>26</v>
      </c>
      <c r="N12" s="1" t="s">
        <v>25</v>
      </c>
      <c r="O12" s="1" t="s">
        <v>62</v>
      </c>
      <c r="P12" s="1" t="s">
        <v>25</v>
      </c>
      <c r="Q12" s="1" t="s">
        <v>25</v>
      </c>
      <c r="R12" s="85" t="str">
        <f t="shared" si="0"/>
        <v>145910</v>
      </c>
      <c r="S12" t="str">
        <f>VLOOKUP(A12,Data_NV!$A:$C,3,0)</f>
        <v xml:space="preserve"> Nguyễn Bảo Thạch    </v>
      </c>
      <c r="T12" t="str">
        <f>VLOOKUP(A12,Data_NV!$A:$E,4,0)</f>
        <v>Vận Hành</v>
      </c>
      <c r="U12" s="82">
        <f>DATEVALUE(Table2[[#This Row],[Ngày]])</f>
        <v>45910</v>
      </c>
      <c r="V12" t="str">
        <f>VLOOKUP(A12,Data_NV!$A:$E,5,0)</f>
        <v>Đang làm việc</v>
      </c>
      <c r="W12" s="10">
        <f>VLOOKUP(A12,Data_NV!$A:$I,8,0)</f>
        <v>0.3125</v>
      </c>
      <c r="X12" s="10">
        <f>VLOOKUP(A12,Data_NV!$A:$I,9,0)</f>
        <v>0.6875</v>
      </c>
      <c r="Y12" s="10">
        <f>IFERROR(TIMEVALUE(Table2[[#This Row],[Vào]]),0)</f>
        <v>0.30651620370370369</v>
      </c>
      <c r="Z12" s="10">
        <f>IFERROR(TIMEVALUE(Table2[[#This Row],[Ra]]),0)</f>
        <v>0.72893518518518519</v>
      </c>
      <c r="AA12" t="str">
        <f t="shared" si="3"/>
        <v>x</v>
      </c>
      <c r="AB12" s="105">
        <f t="shared" si="1"/>
        <v>0</v>
      </c>
      <c r="AC12" s="12" t="str">
        <f>IF(VLOOKUP(A12,Data_NV!$A:$I,7,0)="Không","",IF(OR(AND(Y12=0,Z12=0),AND(Y12&lt;&gt;0,Z12&lt;&gt;0)),"","Quên chấm công"))</f>
        <v/>
      </c>
      <c r="AD12" s="12">
        <f>IF(VLOOKUP(A12,Data_NV!$A:$I,7,0)="Không",0,IF(AND(Y12=0,Z12=0),0,IF(X12&lt;=Z12,0,ROUNDDOWN((X12-Z12)*24*60,0))))</f>
        <v>0</v>
      </c>
      <c r="AE12" s="12">
        <f>IF(VLOOKUP(A12,Data_NV!$A:$I,6,0)="Không",0,IF(Z12&lt;=X12,0,ROUNDDOWN((Z12-X12)*24*60,0)))</f>
        <v>0</v>
      </c>
      <c r="AF12" s="26">
        <f t="shared" si="2"/>
        <v>0</v>
      </c>
      <c r="AG12" s="27" t="str">
        <f>IF(AC12="","",IF(COUNTIFS($AC$3:AC12,"Quên chấm công",$S$3:S12,S12)&gt;3,"Không chấm công do vi phạm quá 3 lần",IF(COUNTIFS($AC$3:AC12,"Quên chấm công",$S$3:S12,S12)&gt;2,"Trừ toàn bộ chuyên cần tháng do vi phạm lần 3",IF(COUNTIFS($AC$3:AC12,"Quên chấm công",$S$3:S12,S12)&gt;1,"Trừ 1/2 ngày lương",50000))))</f>
        <v/>
      </c>
      <c r="AH12" s="12" t="str">
        <f>IF(AF12=0,"",IF(COUNTIFS($AF$3:AF12,"&gt;0",$S$3:S12,S12)&gt;3,"Trừ toàn bộ chuyên cần tháng",""))</f>
        <v/>
      </c>
      <c r="AI12" s="12"/>
    </row>
    <row r="13" spans="1:35" x14ac:dyDescent="0.25">
      <c r="A13" s="4" t="s">
        <v>18</v>
      </c>
      <c r="B13" s="1" t="s">
        <v>19</v>
      </c>
      <c r="C13" s="1" t="s">
        <v>20</v>
      </c>
      <c r="D13" s="1" t="s">
        <v>63</v>
      </c>
      <c r="E13" s="1" t="s">
        <v>22</v>
      </c>
      <c r="F13" s="1" t="s">
        <v>23</v>
      </c>
      <c r="G13" s="1" t="s">
        <v>29</v>
      </c>
      <c r="H13" s="1" t="s">
        <v>64</v>
      </c>
      <c r="I13" s="1" t="s">
        <v>65</v>
      </c>
      <c r="J13" s="1" t="s">
        <v>25</v>
      </c>
      <c r="K13" s="1" t="s">
        <v>32</v>
      </c>
      <c r="L13" s="1" t="s">
        <v>25</v>
      </c>
      <c r="M13" s="1" t="s">
        <v>26</v>
      </c>
      <c r="N13" s="1" t="s">
        <v>25</v>
      </c>
      <c r="O13" s="1" t="s">
        <v>33</v>
      </c>
      <c r="P13" s="1" t="s">
        <v>66</v>
      </c>
      <c r="Q13" s="1" t="s">
        <v>25</v>
      </c>
      <c r="R13" s="85" t="str">
        <f t="shared" si="0"/>
        <v>145911</v>
      </c>
      <c r="S13" t="str">
        <f>VLOOKUP(A13,Data_NV!$A:$C,3,0)</f>
        <v xml:space="preserve"> Nguyễn Bảo Thạch    </v>
      </c>
      <c r="T13" t="str">
        <f>VLOOKUP(A13,Data_NV!$A:$E,4,0)</f>
        <v>Vận Hành</v>
      </c>
      <c r="U13" s="82">
        <f>DATEVALUE(Table2[[#This Row],[Ngày]])</f>
        <v>45911</v>
      </c>
      <c r="V13" t="str">
        <f>VLOOKUP(A13,Data_NV!$A:$E,5,0)</f>
        <v>Đang làm việc</v>
      </c>
      <c r="W13" s="10">
        <f>VLOOKUP(A13,Data_NV!$A:$I,8,0)</f>
        <v>0.3125</v>
      </c>
      <c r="X13" s="10">
        <f>VLOOKUP(A13,Data_NV!$A:$I,9,0)</f>
        <v>0.6875</v>
      </c>
      <c r="Y13" s="10">
        <f>IFERROR(TIMEVALUE(Table2[[#This Row],[Vào]]),0)</f>
        <v>0.30505787037037035</v>
      </c>
      <c r="Z13" s="10">
        <f>IFERROR(TIMEVALUE(Table2[[#This Row],[Ra]]),0)</f>
        <v>0.80611111111111111</v>
      </c>
      <c r="AA13" t="str">
        <f t="shared" si="3"/>
        <v>x</v>
      </c>
      <c r="AB13" s="105">
        <f t="shared" si="1"/>
        <v>0</v>
      </c>
      <c r="AC13" s="12" t="str">
        <f>IF(VLOOKUP(A13,Data_NV!$A:$I,7,0)="Không","",IF(OR(AND(Y13=0,Z13=0),AND(Y13&lt;&gt;0,Z13&lt;&gt;0)),"","Quên chấm công"))</f>
        <v/>
      </c>
      <c r="AD13" s="12">
        <f>IF(VLOOKUP(A13,Data_NV!$A:$I,7,0)="Không",0,IF(AND(Y13=0,Z13=0),0,IF(X13&lt;=Z13,0,ROUNDDOWN((X13-Z13)*24*60,0))))</f>
        <v>0</v>
      </c>
      <c r="AE13" s="12">
        <f>IF(VLOOKUP(A13,Data_NV!$A:$I,6,0)="Không",0,IF(Z13&lt;=X13,0,ROUNDDOWN((Z13-X13)*24*60,0)))</f>
        <v>0</v>
      </c>
      <c r="AF13" s="26">
        <f t="shared" si="2"/>
        <v>0</v>
      </c>
      <c r="AG13" s="27" t="str">
        <f>IF(AC13="","",IF(COUNTIFS($AC$3:AC13,"Quên chấm công",$S$3:S13,S13)&gt;3,"Không chấm công do vi phạm quá 3 lần",IF(COUNTIFS($AC$3:AC13,"Quên chấm công",$S$3:S13,S13)&gt;2,"Trừ toàn bộ chuyên cần tháng do vi phạm lần 3",IF(COUNTIFS($AC$3:AC13,"Quên chấm công",$S$3:S13,S13)&gt;1,"Trừ 1/2 ngày lương",50000))))</f>
        <v/>
      </c>
      <c r="AH13" s="12" t="str">
        <f>IF(AF13=0,"",IF(COUNTIFS($AF$3:AF13,"&gt;0",$S$3:S13,S13)&gt;3,"Trừ toàn bộ chuyên cần tháng",""))</f>
        <v/>
      </c>
      <c r="AI13" s="12"/>
    </row>
    <row r="14" spans="1:35" x14ac:dyDescent="0.25">
      <c r="A14" s="4" t="s">
        <v>18</v>
      </c>
      <c r="B14" s="1" t="s">
        <v>19</v>
      </c>
      <c r="C14" s="1" t="s">
        <v>20</v>
      </c>
      <c r="D14" s="1" t="s">
        <v>67</v>
      </c>
      <c r="E14" s="1" t="s">
        <v>22</v>
      </c>
      <c r="F14" s="1" t="s">
        <v>23</v>
      </c>
      <c r="G14" s="1" t="s">
        <v>12</v>
      </c>
      <c r="H14" s="1" t="s">
        <v>24</v>
      </c>
      <c r="I14" s="1" t="s">
        <v>68</v>
      </c>
      <c r="J14" s="1" t="s">
        <v>25</v>
      </c>
      <c r="K14" s="1" t="s">
        <v>25</v>
      </c>
      <c r="L14" s="1" t="s">
        <v>26</v>
      </c>
      <c r="M14" s="1" t="s">
        <v>25</v>
      </c>
      <c r="N14" s="1" t="s">
        <v>25</v>
      </c>
      <c r="O14" s="1" t="s">
        <v>25</v>
      </c>
      <c r="P14" s="1" t="s">
        <v>25</v>
      </c>
      <c r="Q14" s="1" t="s">
        <v>25</v>
      </c>
      <c r="R14" s="85" t="str">
        <f t="shared" si="0"/>
        <v>145912</v>
      </c>
      <c r="S14" t="str">
        <f>VLOOKUP(A14,Data_NV!$A:$C,3,0)</f>
        <v xml:space="preserve"> Nguyễn Bảo Thạch    </v>
      </c>
      <c r="T14" t="str">
        <f>VLOOKUP(A14,Data_NV!$A:$E,4,0)</f>
        <v>Vận Hành</v>
      </c>
      <c r="U14" s="82">
        <f>DATEVALUE(Table2[[#This Row],[Ngày]])</f>
        <v>45912</v>
      </c>
      <c r="V14" t="str">
        <f>VLOOKUP(A14,Data_NV!$A:$E,5,0)</f>
        <v>Đang làm việc</v>
      </c>
      <c r="W14" s="10">
        <f>VLOOKUP(A14,Data_NV!$A:$I,8,0)</f>
        <v>0.3125</v>
      </c>
      <c r="X14" s="10">
        <f>VLOOKUP(A14,Data_NV!$A:$I,9,0)</f>
        <v>0.6875</v>
      </c>
      <c r="Y14" s="10">
        <f>IFERROR(TIMEVALUE(Table2[[#This Row],[Vào]]),0)</f>
        <v>0</v>
      </c>
      <c r="Z14" s="10">
        <f>IFERROR(TIMEVALUE(Table2[[#This Row],[Ra]]),0)</f>
        <v>0.78153935185185186</v>
      </c>
      <c r="AA14" t="str">
        <f t="shared" si="3"/>
        <v>x</v>
      </c>
      <c r="AB14" s="105">
        <f t="shared" si="1"/>
        <v>0</v>
      </c>
      <c r="AD14" s="12">
        <f>IF(VLOOKUP(A14,Data_NV!$A:$I,7,0)="Không",0,IF(AND(Y14=0,Z14=0),0,IF(X14&lt;=Z14,0,ROUNDDOWN((X14-Z14)*24*60,0))))</f>
        <v>0</v>
      </c>
      <c r="AE14" s="12">
        <f>IF(VLOOKUP(A14,Data_NV!$A:$I,6,0)="Không",0,IF(Z14&lt;=X14,0,ROUNDDOWN((Z14-X14)*24*60,0)))</f>
        <v>0</v>
      </c>
      <c r="AF14" s="26">
        <f t="shared" si="2"/>
        <v>0</v>
      </c>
      <c r="AG14" s="27" t="str">
        <f>IF(AC14="","",IF(COUNTIFS($AC$3:AC14,"Quên chấm công",$S$3:S14,S14)&gt;3,"Không chấm công do vi phạm quá 3 lần",IF(COUNTIFS($AC$3:AC14,"Quên chấm công",$S$3:S14,S14)&gt;2,"Trừ toàn bộ chuyên cần tháng do vi phạm lần 3",IF(COUNTIFS($AC$3:AC14,"Quên chấm công",$S$3:S14,S14)&gt;1,"Trừ 1/2 ngày lương",50000))))</f>
        <v/>
      </c>
      <c r="AH14" s="12" t="str">
        <f>IF(AF14=0,"",IF(COUNTIFS($AF$3:AF14,"&gt;0",$S$3:S14,S14)&gt;3,"Trừ toàn bộ chuyên cần tháng",""))</f>
        <v/>
      </c>
      <c r="AI14" s="12" t="s">
        <v>1399</v>
      </c>
    </row>
    <row r="15" spans="1:35" x14ac:dyDescent="0.25">
      <c r="A15" s="4" t="s">
        <v>18</v>
      </c>
      <c r="B15" s="1" t="s">
        <v>19</v>
      </c>
      <c r="C15" s="1" t="s">
        <v>20</v>
      </c>
      <c r="D15" s="1" t="s">
        <v>69</v>
      </c>
      <c r="E15" s="1" t="s">
        <v>22</v>
      </c>
      <c r="F15" s="1" t="s">
        <v>23</v>
      </c>
      <c r="G15" s="1" t="s">
        <v>29</v>
      </c>
      <c r="H15" s="1" t="s">
        <v>70</v>
      </c>
      <c r="I15" s="1" t="s">
        <v>71</v>
      </c>
      <c r="J15" s="1" t="s">
        <v>25</v>
      </c>
      <c r="K15" s="1" t="s">
        <v>72</v>
      </c>
      <c r="L15" s="1" t="s">
        <v>25</v>
      </c>
      <c r="M15" s="1" t="s">
        <v>26</v>
      </c>
      <c r="N15" s="1" t="s">
        <v>25</v>
      </c>
      <c r="O15" s="1" t="s">
        <v>73</v>
      </c>
      <c r="P15" s="1" t="s">
        <v>25</v>
      </c>
      <c r="Q15" s="1" t="s">
        <v>25</v>
      </c>
      <c r="R15" s="85" t="str">
        <f t="shared" si="0"/>
        <v>145913</v>
      </c>
      <c r="S15" t="str">
        <f>VLOOKUP(A15,Data_NV!$A:$C,3,0)</f>
        <v xml:space="preserve"> Nguyễn Bảo Thạch    </v>
      </c>
      <c r="T15" t="str">
        <f>VLOOKUP(A15,Data_NV!$A:$E,4,0)</f>
        <v>Vận Hành</v>
      </c>
      <c r="U15" s="82">
        <f>DATEVALUE(Table2[[#This Row],[Ngày]])</f>
        <v>45913</v>
      </c>
      <c r="V15" t="str">
        <f>VLOOKUP(A15,Data_NV!$A:$E,5,0)</f>
        <v>Đang làm việc</v>
      </c>
      <c r="W15" s="10">
        <f>VLOOKUP(A15,Data_NV!$A:$I,8,0)</f>
        <v>0.3125</v>
      </c>
      <c r="X15" s="10">
        <f>VLOOKUP(A15,Data_NV!$A:$I,9,0)</f>
        <v>0.6875</v>
      </c>
      <c r="Y15" s="10">
        <f>IFERROR(TIMEVALUE(Table2[[#This Row],[Vào]]),0)</f>
        <v>0.30047453703703703</v>
      </c>
      <c r="Z15" s="10">
        <f>IFERROR(TIMEVALUE(Table2[[#This Row],[Ra]]),0)</f>
        <v>0.74636574074074069</v>
      </c>
      <c r="AA15" t="str">
        <f t="shared" si="3"/>
        <v>x</v>
      </c>
      <c r="AB15" s="105">
        <f t="shared" si="1"/>
        <v>0</v>
      </c>
      <c r="AC15" s="12" t="str">
        <f>IF(VLOOKUP(A15,Data_NV!$A:$I,7,0)="Không","",IF(OR(AND(Y15=0,Z15=0),AND(Y15&lt;&gt;0,Z15&lt;&gt;0)),"","Quên chấm công"))</f>
        <v/>
      </c>
      <c r="AD15" s="12">
        <f>IF(VLOOKUP(A15,Data_NV!$A:$I,7,0)="Không",0,IF(AND(Y15=0,Z15=0),0,IF(X15&lt;=Z15,0,ROUNDDOWN((X15-Z15)*24*60,0))))</f>
        <v>0</v>
      </c>
      <c r="AE15" s="12">
        <f>IF(VLOOKUP(A15,Data_NV!$A:$I,6,0)="Không",0,IF(Z15&lt;=X15,0,ROUNDDOWN((Z15-X15)*24*60,0)))</f>
        <v>0</v>
      </c>
      <c r="AF15" s="26">
        <f t="shared" si="2"/>
        <v>0</v>
      </c>
      <c r="AG15" s="27" t="str">
        <f>IF(AC15="","",IF(COUNTIFS($AC$3:AC15,"Quên chấm công",$S$3:S15,S15)&gt;3,"Không chấm công do vi phạm quá 3 lần",IF(COUNTIFS($AC$3:AC15,"Quên chấm công",$S$3:S15,S15)&gt;2,"Trừ toàn bộ chuyên cần tháng do vi phạm lần 3",IF(COUNTIFS($AC$3:AC15,"Quên chấm công",$S$3:S15,S15)&gt;1,"Trừ 1/2 ngày lương",50000))))</f>
        <v/>
      </c>
      <c r="AH15" s="12" t="str">
        <f>IF(AF15=0,"",IF(COUNTIFS($AF$3:AF15,"&gt;0",$S$3:S15,S15)&gt;3,"Trừ toàn bộ chuyên cần tháng",""))</f>
        <v/>
      </c>
      <c r="AI15" s="12"/>
    </row>
    <row r="16" spans="1:35" x14ac:dyDescent="0.25">
      <c r="A16" s="4" t="s">
        <v>18</v>
      </c>
      <c r="B16" s="1" t="s">
        <v>19</v>
      </c>
      <c r="C16" s="1" t="s">
        <v>20</v>
      </c>
      <c r="D16" s="1" t="s">
        <v>74</v>
      </c>
      <c r="E16" s="1" t="s">
        <v>22</v>
      </c>
      <c r="F16" s="1" t="s">
        <v>23</v>
      </c>
      <c r="G16" s="1" t="s">
        <v>12</v>
      </c>
      <c r="H16" s="1" t="s">
        <v>24</v>
      </c>
      <c r="I16" s="1" t="s">
        <v>24</v>
      </c>
      <c r="J16" s="1" t="s">
        <v>25</v>
      </c>
      <c r="K16" s="1" t="s">
        <v>25</v>
      </c>
      <c r="L16" s="1" t="s">
        <v>26</v>
      </c>
      <c r="M16" s="1" t="s">
        <v>25</v>
      </c>
      <c r="N16" s="1" t="s">
        <v>25</v>
      </c>
      <c r="O16" s="1" t="s">
        <v>25</v>
      </c>
      <c r="P16" s="1" t="s">
        <v>25</v>
      </c>
      <c r="Q16" s="1" t="s">
        <v>25</v>
      </c>
      <c r="R16" s="85" t="str">
        <f t="shared" si="0"/>
        <v>145914</v>
      </c>
      <c r="S16" t="str">
        <f>VLOOKUP(A16,Data_NV!$A:$C,3,0)</f>
        <v xml:space="preserve"> Nguyễn Bảo Thạch    </v>
      </c>
      <c r="T16" t="str">
        <f>VLOOKUP(A16,Data_NV!$A:$E,4,0)</f>
        <v>Vận Hành</v>
      </c>
      <c r="U16" s="82">
        <f>DATEVALUE(Table2[[#This Row],[Ngày]])</f>
        <v>45914</v>
      </c>
      <c r="V16" t="str">
        <f>VLOOKUP(A16,Data_NV!$A:$E,5,0)</f>
        <v>Đang làm việc</v>
      </c>
      <c r="W16" s="10">
        <f>VLOOKUP(A16,Data_NV!$A:$I,8,0)</f>
        <v>0.3125</v>
      </c>
      <c r="X16" s="10">
        <f>VLOOKUP(A16,Data_NV!$A:$I,9,0)</f>
        <v>0.6875</v>
      </c>
      <c r="Y16" s="10">
        <f>IFERROR(TIMEVALUE(Table2[[#This Row],[Vào]]),0)</f>
        <v>0</v>
      </c>
      <c r="Z16" s="10">
        <f>IFERROR(TIMEVALUE(Table2[[#This Row],[Ra]]),0)</f>
        <v>0</v>
      </c>
      <c r="AA16" t="str">
        <f t="shared" si="3"/>
        <v>Chủ nhật</v>
      </c>
      <c r="AB16" s="105">
        <f t="shared" si="1"/>
        <v>0</v>
      </c>
      <c r="AC16" s="12" t="str">
        <f>IF(VLOOKUP(A16,Data_NV!$A:$I,7,0)="Không","",IF(OR(AND(Y16=0,Z16=0),AND(Y16&lt;&gt;0,Z16&lt;&gt;0)),"","Quên chấm công"))</f>
        <v/>
      </c>
      <c r="AD16" s="12">
        <f>IF(VLOOKUP(A16,Data_NV!$A:$I,7,0)="Không",0,IF(AND(Y16=0,Z16=0),0,IF(X16&lt;=Z16,0,ROUNDDOWN((X16-Z16)*24*60,0))))</f>
        <v>0</v>
      </c>
      <c r="AE16" s="12">
        <f>IF(VLOOKUP(A16,Data_NV!$A:$I,6,0)="Không",0,IF(Z16&lt;=X16,0,ROUNDDOWN((Z16-X16)*24*60,0)))</f>
        <v>0</v>
      </c>
      <c r="AF16" s="26">
        <f t="shared" si="2"/>
        <v>0</v>
      </c>
      <c r="AG16" s="27" t="str">
        <f>IF(AC16="","",IF(COUNTIFS($AC$3:AC16,"Quên chấm công",$S$3:S16,S16)&gt;3,"Không chấm công do vi phạm quá 3 lần",IF(COUNTIFS($AC$3:AC16,"Quên chấm công",$S$3:S16,S16)&gt;2,"Trừ toàn bộ chuyên cần tháng do vi phạm lần 3",IF(COUNTIFS($AC$3:AC16,"Quên chấm công",$S$3:S16,S16)&gt;1,"Trừ 1/2 ngày lương",50000))))</f>
        <v/>
      </c>
      <c r="AH16" s="12" t="str">
        <f>IF(AF16=0,"",IF(COUNTIFS($AF$3:AF16,"&gt;0",$S$3:S16,S16)&gt;3,"Trừ toàn bộ chuyên cần tháng",""))</f>
        <v/>
      </c>
      <c r="AI16" s="12"/>
    </row>
    <row r="17" spans="1:35" x14ac:dyDescent="0.25">
      <c r="A17" s="4" t="s">
        <v>18</v>
      </c>
      <c r="B17" s="1" t="s">
        <v>19</v>
      </c>
      <c r="C17" s="1" t="s">
        <v>20</v>
      </c>
      <c r="D17" s="1" t="s">
        <v>75</v>
      </c>
      <c r="E17" s="1" t="s">
        <v>22</v>
      </c>
      <c r="F17" s="1" t="s">
        <v>23</v>
      </c>
      <c r="G17" s="1" t="s">
        <v>29</v>
      </c>
      <c r="H17" s="1" t="s">
        <v>76</v>
      </c>
      <c r="I17" s="1" t="s">
        <v>77</v>
      </c>
      <c r="J17" s="1" t="s">
        <v>25</v>
      </c>
      <c r="K17" s="1" t="s">
        <v>78</v>
      </c>
      <c r="L17" s="1" t="s">
        <v>25</v>
      </c>
      <c r="M17" s="1" t="s">
        <v>26</v>
      </c>
      <c r="N17" s="1" t="s">
        <v>25</v>
      </c>
      <c r="O17" s="1" t="s">
        <v>79</v>
      </c>
      <c r="P17" s="1" t="s">
        <v>25</v>
      </c>
      <c r="Q17" s="1" t="s">
        <v>25</v>
      </c>
      <c r="R17" s="85" t="str">
        <f t="shared" si="0"/>
        <v>145915</v>
      </c>
      <c r="S17" t="str">
        <f>VLOOKUP(A17,Data_NV!$A:$C,3,0)</f>
        <v xml:space="preserve"> Nguyễn Bảo Thạch    </v>
      </c>
      <c r="T17" t="str">
        <f>VLOOKUP(A17,Data_NV!$A:$E,4,0)</f>
        <v>Vận Hành</v>
      </c>
      <c r="U17" s="82">
        <f>DATEVALUE(Table2[[#This Row],[Ngày]])</f>
        <v>45915</v>
      </c>
      <c r="V17" t="str">
        <f>VLOOKUP(A17,Data_NV!$A:$E,5,0)</f>
        <v>Đang làm việc</v>
      </c>
      <c r="W17" s="10">
        <f>VLOOKUP(A17,Data_NV!$A:$I,8,0)</f>
        <v>0.3125</v>
      </c>
      <c r="X17" s="10">
        <f>VLOOKUP(A17,Data_NV!$A:$I,9,0)</f>
        <v>0.6875</v>
      </c>
      <c r="Y17" s="10">
        <f>IFERROR(TIMEVALUE(Table2[[#This Row],[Vào]]),0)</f>
        <v>0.30662037037037038</v>
      </c>
      <c r="Z17" s="10">
        <f>IFERROR(TIMEVALUE(Table2[[#This Row],[Ra]]),0)</f>
        <v>0.7456828703703704</v>
      </c>
      <c r="AA17" t="str">
        <f t="shared" si="3"/>
        <v>x</v>
      </c>
      <c r="AB17" s="105">
        <f t="shared" si="1"/>
        <v>0</v>
      </c>
      <c r="AC17" s="12" t="str">
        <f>IF(VLOOKUP(A17,Data_NV!$A:$I,7,0)="Không","",IF(OR(AND(Y17=0,Z17=0),AND(Y17&lt;&gt;0,Z17&lt;&gt;0)),"","Quên chấm công"))</f>
        <v/>
      </c>
      <c r="AD17" s="12">
        <f>IF(VLOOKUP(A17,Data_NV!$A:$I,7,0)="Không",0,IF(AND(Y17=0,Z17=0),0,IF(X17&lt;=Z17,0,ROUNDDOWN((X17-Z17)*24*60,0))))</f>
        <v>0</v>
      </c>
      <c r="AE17" s="12">
        <f>IF(VLOOKUP(A17,Data_NV!$A:$I,6,0)="Không",0,IF(Z17&lt;=X17,0,ROUNDDOWN((Z17-X17)*24*60,0)))</f>
        <v>0</v>
      </c>
      <c r="AF17" s="26">
        <f t="shared" si="2"/>
        <v>0</v>
      </c>
      <c r="AG17" s="27" t="str">
        <f>IF(AC17="","",IF(COUNTIFS($AC$3:AC17,"Quên chấm công",$S$3:S17,S17)&gt;3,"Không chấm công do vi phạm quá 3 lần",IF(COUNTIFS($AC$3:AC17,"Quên chấm công",$S$3:S17,S17)&gt;2,"Trừ toàn bộ chuyên cần tháng do vi phạm lần 3",IF(COUNTIFS($AC$3:AC17,"Quên chấm công",$S$3:S17,S17)&gt;1,"Trừ 1/2 ngày lương",50000))))</f>
        <v/>
      </c>
      <c r="AH17" s="12" t="str">
        <f>IF(AF17=0,"",IF(COUNTIFS($AF$3:AF17,"&gt;0",$S$3:S17,S17)&gt;3,"Trừ toàn bộ chuyên cần tháng",""))</f>
        <v/>
      </c>
      <c r="AI17" s="12"/>
    </row>
    <row r="18" spans="1:35" x14ac:dyDescent="0.25">
      <c r="A18" s="4" t="s">
        <v>18</v>
      </c>
      <c r="B18" s="1" t="s">
        <v>19</v>
      </c>
      <c r="C18" s="1" t="s">
        <v>20</v>
      </c>
      <c r="D18" s="1" t="s">
        <v>80</v>
      </c>
      <c r="E18" s="1" t="s">
        <v>22</v>
      </c>
      <c r="F18" s="1" t="s">
        <v>23</v>
      </c>
      <c r="G18" s="1" t="s">
        <v>29</v>
      </c>
      <c r="H18" s="1" t="s">
        <v>81</v>
      </c>
      <c r="I18" s="1" t="s">
        <v>82</v>
      </c>
      <c r="J18" s="1" t="s">
        <v>25</v>
      </c>
      <c r="K18" s="1" t="s">
        <v>83</v>
      </c>
      <c r="L18" s="1" t="s">
        <v>25</v>
      </c>
      <c r="M18" s="1" t="s">
        <v>26</v>
      </c>
      <c r="N18" s="1" t="s">
        <v>25</v>
      </c>
      <c r="O18" s="1" t="s">
        <v>33</v>
      </c>
      <c r="P18" s="1" t="s">
        <v>84</v>
      </c>
      <c r="Q18" s="1" t="s">
        <v>25</v>
      </c>
      <c r="R18" s="85" t="str">
        <f t="shared" si="0"/>
        <v>145916</v>
      </c>
      <c r="S18" t="str">
        <f>VLOOKUP(A18,Data_NV!$A:$C,3,0)</f>
        <v xml:space="preserve"> Nguyễn Bảo Thạch    </v>
      </c>
      <c r="T18" t="str">
        <f>VLOOKUP(A18,Data_NV!$A:$E,4,0)</f>
        <v>Vận Hành</v>
      </c>
      <c r="U18" s="82">
        <f>DATEVALUE(Table2[[#This Row],[Ngày]])</f>
        <v>45916</v>
      </c>
      <c r="V18" t="str">
        <f>VLOOKUP(A18,Data_NV!$A:$E,5,0)</f>
        <v>Đang làm việc</v>
      </c>
      <c r="W18" s="10">
        <f>VLOOKUP(A18,Data_NV!$A:$I,8,0)</f>
        <v>0.3125</v>
      </c>
      <c r="X18" s="10">
        <f>VLOOKUP(A18,Data_NV!$A:$I,9,0)</f>
        <v>0.6875</v>
      </c>
      <c r="Y18" s="10">
        <f>IFERROR(TIMEVALUE(Table2[[#This Row],[Vào]]),0)</f>
        <v>0.29758101851851854</v>
      </c>
      <c r="Z18" s="10">
        <f>IFERROR(TIMEVALUE(Table2[[#This Row],[Ra]]),0)</f>
        <v>0.80745370370370373</v>
      </c>
      <c r="AA18" t="str">
        <f t="shared" si="3"/>
        <v>x</v>
      </c>
      <c r="AB18" s="105">
        <f t="shared" si="1"/>
        <v>0</v>
      </c>
      <c r="AC18" s="12" t="str">
        <f>IF(VLOOKUP(A18,Data_NV!$A:$I,7,0)="Không","",IF(OR(AND(Y18=0,Z18=0),AND(Y18&lt;&gt;0,Z18&lt;&gt;0)),"","Quên chấm công"))</f>
        <v/>
      </c>
      <c r="AD18" s="12">
        <f>IF(VLOOKUP(A18,Data_NV!$A:$I,7,0)="Không",0,IF(AND(Y18=0,Z18=0),0,IF(X18&lt;=Z18,0,ROUNDDOWN((X18-Z18)*24*60,0))))</f>
        <v>0</v>
      </c>
      <c r="AE18" s="12">
        <f>IF(VLOOKUP(A18,Data_NV!$A:$I,6,0)="Không",0,IF(Z18&lt;=X18,0,ROUNDDOWN((Z18-X18)*24*60,0)))</f>
        <v>0</v>
      </c>
      <c r="AF18" s="26">
        <f t="shared" si="2"/>
        <v>0</v>
      </c>
      <c r="AG18" s="27" t="str">
        <f>IF(AC18="","",IF(COUNTIFS($AC$3:AC18,"Quên chấm công",$S$3:S18,S18)&gt;3,"Không chấm công do vi phạm quá 3 lần",IF(COUNTIFS($AC$3:AC18,"Quên chấm công",$S$3:S18,S18)&gt;2,"Trừ toàn bộ chuyên cần tháng do vi phạm lần 3",IF(COUNTIFS($AC$3:AC18,"Quên chấm công",$S$3:S18,S18)&gt;1,"Trừ 1/2 ngày lương",50000))))</f>
        <v/>
      </c>
      <c r="AH18" s="12" t="str">
        <f>IF(AF18=0,"",IF(COUNTIFS($AF$3:AF18,"&gt;0",$S$3:S18,S18)&gt;3,"Trừ toàn bộ chuyên cần tháng",""))</f>
        <v/>
      </c>
      <c r="AI18" s="12"/>
    </row>
    <row r="19" spans="1:35" x14ac:dyDescent="0.25">
      <c r="A19" s="4" t="s">
        <v>18</v>
      </c>
      <c r="B19" s="1" t="s">
        <v>19</v>
      </c>
      <c r="C19" s="1" t="s">
        <v>20</v>
      </c>
      <c r="D19" s="1" t="s">
        <v>85</v>
      </c>
      <c r="E19" s="1" t="s">
        <v>22</v>
      </c>
      <c r="F19" s="1" t="s">
        <v>23</v>
      </c>
      <c r="G19" s="1" t="s">
        <v>29</v>
      </c>
      <c r="H19" s="1" t="s">
        <v>86</v>
      </c>
      <c r="I19" s="1" t="s">
        <v>87</v>
      </c>
      <c r="J19" s="1" t="s">
        <v>25</v>
      </c>
      <c r="K19" s="1" t="s">
        <v>88</v>
      </c>
      <c r="L19" s="1" t="s">
        <v>25</v>
      </c>
      <c r="M19" s="1" t="s">
        <v>26</v>
      </c>
      <c r="N19" s="1" t="s">
        <v>25</v>
      </c>
      <c r="O19" s="1" t="s">
        <v>89</v>
      </c>
      <c r="P19" s="1" t="s">
        <v>25</v>
      </c>
      <c r="Q19" s="1" t="s">
        <v>25</v>
      </c>
      <c r="R19" s="85" t="str">
        <f t="shared" si="0"/>
        <v>145917</v>
      </c>
      <c r="S19" t="str">
        <f>VLOOKUP(A19,Data_NV!$A:$C,3,0)</f>
        <v xml:space="preserve"> Nguyễn Bảo Thạch    </v>
      </c>
      <c r="T19" t="str">
        <f>VLOOKUP(A19,Data_NV!$A:$E,4,0)</f>
        <v>Vận Hành</v>
      </c>
      <c r="U19" s="82">
        <f>DATEVALUE(Table2[[#This Row],[Ngày]])</f>
        <v>45917</v>
      </c>
      <c r="V19" t="str">
        <f>VLOOKUP(A19,Data_NV!$A:$E,5,0)</f>
        <v>Đang làm việc</v>
      </c>
      <c r="W19" s="10">
        <f>VLOOKUP(A19,Data_NV!$A:$I,8,0)</f>
        <v>0.3125</v>
      </c>
      <c r="X19" s="10">
        <f>VLOOKUP(A19,Data_NV!$A:$I,9,0)</f>
        <v>0.6875</v>
      </c>
      <c r="Y19" s="10">
        <f>IFERROR(TIMEVALUE(Table2[[#This Row],[Vào]]),0)</f>
        <v>0.30554398148148149</v>
      </c>
      <c r="Z19" s="10">
        <f>IFERROR(TIMEVALUE(Table2[[#This Row],[Ra]]),0)</f>
        <v>0.77381944444444439</v>
      </c>
      <c r="AA19" t="str">
        <f t="shared" si="3"/>
        <v>x</v>
      </c>
      <c r="AB19" s="105">
        <f t="shared" si="1"/>
        <v>0</v>
      </c>
      <c r="AC19" s="12" t="str">
        <f>IF(VLOOKUP(A19,Data_NV!$A:$I,7,0)="Không","",IF(OR(AND(Y19=0,Z19=0),AND(Y19&lt;&gt;0,Z19&lt;&gt;0)),"","Quên chấm công"))</f>
        <v/>
      </c>
      <c r="AD19" s="12">
        <f>IF(VLOOKUP(A19,Data_NV!$A:$I,7,0)="Không",0,IF(AND(Y19=0,Z19=0),0,IF(X19&lt;=Z19,0,ROUNDDOWN((X19-Z19)*24*60,0))))</f>
        <v>0</v>
      </c>
      <c r="AE19" s="12">
        <f>IF(VLOOKUP(A19,Data_NV!$A:$I,6,0)="Không",0,IF(Z19&lt;=X19,0,ROUNDDOWN((Z19-X19)*24*60,0)))</f>
        <v>0</v>
      </c>
      <c r="AF19" s="26">
        <f t="shared" si="2"/>
        <v>0</v>
      </c>
      <c r="AG19" s="27" t="str">
        <f>IF(AC19="","",IF(COUNTIFS($AC$3:AC19,"Quên chấm công",$S$3:S19,S19)&gt;3,"Không chấm công do vi phạm quá 3 lần",IF(COUNTIFS($AC$3:AC19,"Quên chấm công",$S$3:S19,S19)&gt;2,"Trừ toàn bộ chuyên cần tháng do vi phạm lần 3",IF(COUNTIFS($AC$3:AC19,"Quên chấm công",$S$3:S19,S19)&gt;1,"Trừ 1/2 ngày lương",50000))))</f>
        <v/>
      </c>
      <c r="AH19" s="12" t="str">
        <f>IF(AF19=0,"",IF(COUNTIFS($AF$3:AF19,"&gt;0",$S$3:S19,S19)&gt;3,"Trừ toàn bộ chuyên cần tháng",""))</f>
        <v/>
      </c>
      <c r="AI19" s="12"/>
    </row>
    <row r="20" spans="1:35" x14ac:dyDescent="0.25">
      <c r="A20" s="4" t="s">
        <v>18</v>
      </c>
      <c r="B20" s="1" t="s">
        <v>19</v>
      </c>
      <c r="C20" s="1" t="s">
        <v>20</v>
      </c>
      <c r="D20" s="1" t="s">
        <v>90</v>
      </c>
      <c r="E20" s="1" t="s">
        <v>22</v>
      </c>
      <c r="F20" s="1" t="s">
        <v>23</v>
      </c>
      <c r="G20" s="1" t="s">
        <v>29</v>
      </c>
      <c r="H20" s="1" t="s">
        <v>91</v>
      </c>
      <c r="I20" s="1" t="s">
        <v>92</v>
      </c>
      <c r="J20" s="1" t="s">
        <v>25</v>
      </c>
      <c r="K20" s="1" t="s">
        <v>93</v>
      </c>
      <c r="L20" s="1" t="s">
        <v>25</v>
      </c>
      <c r="M20" s="1" t="s">
        <v>26</v>
      </c>
      <c r="N20" s="1" t="s">
        <v>25</v>
      </c>
      <c r="O20" s="1" t="s">
        <v>94</v>
      </c>
      <c r="P20" s="1" t="s">
        <v>25</v>
      </c>
      <c r="Q20" s="1" t="s">
        <v>25</v>
      </c>
      <c r="R20" s="85" t="str">
        <f t="shared" si="0"/>
        <v>145918</v>
      </c>
      <c r="S20" t="str">
        <f>VLOOKUP(A20,Data_NV!$A:$C,3,0)</f>
        <v xml:space="preserve"> Nguyễn Bảo Thạch    </v>
      </c>
      <c r="T20" t="str">
        <f>VLOOKUP(A20,Data_NV!$A:$E,4,0)</f>
        <v>Vận Hành</v>
      </c>
      <c r="U20" s="82">
        <f>DATEVALUE(Table2[[#This Row],[Ngày]])</f>
        <v>45918</v>
      </c>
      <c r="V20" t="str">
        <f>VLOOKUP(A20,Data_NV!$A:$E,5,0)</f>
        <v>Đang làm việc</v>
      </c>
      <c r="W20" s="10">
        <f>VLOOKUP(A20,Data_NV!$A:$I,8,0)</f>
        <v>0.3125</v>
      </c>
      <c r="X20" s="10">
        <f>VLOOKUP(A20,Data_NV!$A:$I,9,0)</f>
        <v>0.6875</v>
      </c>
      <c r="Y20" s="10">
        <f>IFERROR(TIMEVALUE(Table2[[#This Row],[Vào]]),0)</f>
        <v>0.30350694444444443</v>
      </c>
      <c r="Z20" s="10">
        <f>IFERROR(TIMEVALUE(Table2[[#This Row],[Ra]]),0)</f>
        <v>0.76619212962962968</v>
      </c>
      <c r="AA20" t="str">
        <f t="shared" si="3"/>
        <v>x</v>
      </c>
      <c r="AB20" s="105">
        <f t="shared" si="1"/>
        <v>0</v>
      </c>
      <c r="AC20" s="12" t="str">
        <f>IF(VLOOKUP(A20,Data_NV!$A:$I,7,0)="Không","",IF(OR(AND(Y20=0,Z20=0),AND(Y20&lt;&gt;0,Z20&lt;&gt;0)),"","Quên chấm công"))</f>
        <v/>
      </c>
      <c r="AD20" s="12">
        <f>IF(VLOOKUP(A20,Data_NV!$A:$I,7,0)="Không",0,IF(AND(Y20=0,Z20=0),0,IF(X20&lt;=Z20,0,ROUNDDOWN((X20-Z20)*24*60,0))))</f>
        <v>0</v>
      </c>
      <c r="AE20" s="12">
        <f>IF(VLOOKUP(A20,Data_NV!$A:$I,6,0)="Không",0,IF(Z20&lt;=X20,0,ROUNDDOWN((Z20-X20)*24*60,0)))</f>
        <v>0</v>
      </c>
      <c r="AF20" s="26">
        <f t="shared" si="2"/>
        <v>0</v>
      </c>
      <c r="AG20" s="27" t="str">
        <f>IF(AC20="","",IF(COUNTIFS($AC$3:AC20,"Quên chấm công",$S$3:S20,S20)&gt;3,"Không chấm công do vi phạm quá 3 lần",IF(COUNTIFS($AC$3:AC20,"Quên chấm công",$S$3:S20,S20)&gt;2,"Trừ toàn bộ chuyên cần tháng do vi phạm lần 3",IF(COUNTIFS($AC$3:AC20,"Quên chấm công",$S$3:S20,S20)&gt;1,"Trừ 1/2 ngày lương",50000))))</f>
        <v/>
      </c>
      <c r="AH20" s="12" t="str">
        <f>IF(AF20=0,"",IF(COUNTIFS($AF$3:AF20,"&gt;0",$S$3:S20,S20)&gt;3,"Trừ toàn bộ chuyên cần tháng",""))</f>
        <v/>
      </c>
      <c r="AI20" s="12"/>
    </row>
    <row r="21" spans="1:35" x14ac:dyDescent="0.25">
      <c r="A21" s="4" t="s">
        <v>18</v>
      </c>
      <c r="B21" s="1" t="s">
        <v>19</v>
      </c>
      <c r="C21" s="1" t="s">
        <v>20</v>
      </c>
      <c r="D21" s="1" t="s">
        <v>95</v>
      </c>
      <c r="E21" s="1" t="s">
        <v>22</v>
      </c>
      <c r="F21" s="1" t="s">
        <v>23</v>
      </c>
      <c r="G21" s="1" t="s">
        <v>29</v>
      </c>
      <c r="H21" s="1" t="s">
        <v>96</v>
      </c>
      <c r="I21" s="1" t="s">
        <v>97</v>
      </c>
      <c r="J21" s="1" t="s">
        <v>25</v>
      </c>
      <c r="K21" s="1" t="s">
        <v>98</v>
      </c>
      <c r="L21" s="1" t="s">
        <v>25</v>
      </c>
      <c r="M21" s="1" t="s">
        <v>26</v>
      </c>
      <c r="N21" s="1" t="s">
        <v>25</v>
      </c>
      <c r="O21" s="1" t="s">
        <v>99</v>
      </c>
      <c r="P21" s="1" t="s">
        <v>25</v>
      </c>
      <c r="Q21" s="1" t="s">
        <v>25</v>
      </c>
      <c r="R21" s="85" t="str">
        <f t="shared" si="0"/>
        <v>145919</v>
      </c>
      <c r="S21" t="str">
        <f>VLOOKUP(A21,Data_NV!$A:$C,3,0)</f>
        <v xml:space="preserve"> Nguyễn Bảo Thạch    </v>
      </c>
      <c r="T21" t="str">
        <f>VLOOKUP(A21,Data_NV!$A:$E,4,0)</f>
        <v>Vận Hành</v>
      </c>
      <c r="U21" s="82">
        <f>DATEVALUE(Table2[[#This Row],[Ngày]])</f>
        <v>45919</v>
      </c>
      <c r="V21" t="str">
        <f>VLOOKUP(A21,Data_NV!$A:$E,5,0)</f>
        <v>Đang làm việc</v>
      </c>
      <c r="W21" s="10">
        <f>VLOOKUP(A21,Data_NV!$A:$I,8,0)</f>
        <v>0.3125</v>
      </c>
      <c r="X21" s="10">
        <f>VLOOKUP(A21,Data_NV!$A:$I,9,0)</f>
        <v>0.6875</v>
      </c>
      <c r="Y21" s="10">
        <f>IFERROR(TIMEVALUE(Table2[[#This Row],[Vào]]),0)</f>
        <v>0.30744212962962963</v>
      </c>
      <c r="Z21" s="10">
        <f>IFERROR(TIMEVALUE(Table2[[#This Row],[Ra]]),0)</f>
        <v>0.76826388888888886</v>
      </c>
      <c r="AA21" t="str">
        <f t="shared" si="3"/>
        <v>x</v>
      </c>
      <c r="AB21" s="105">
        <f t="shared" si="1"/>
        <v>0</v>
      </c>
      <c r="AC21" s="12" t="str">
        <f>IF(VLOOKUP(A21,Data_NV!$A:$I,7,0)="Không","",IF(OR(AND(Y21=0,Z21=0),AND(Y21&lt;&gt;0,Z21&lt;&gt;0)),"","Quên chấm công"))</f>
        <v/>
      </c>
      <c r="AD21" s="12">
        <f>IF(VLOOKUP(A21,Data_NV!$A:$I,7,0)="Không",0,IF(AND(Y21=0,Z21=0),0,IF(X21&lt;=Z21,0,ROUNDDOWN((X21-Z21)*24*60,0))))</f>
        <v>0</v>
      </c>
      <c r="AE21" s="12">
        <f>IF(VLOOKUP(A21,Data_NV!$A:$I,6,0)="Không",0,IF(Z21&lt;=X21,0,ROUNDDOWN((Z21-X21)*24*60,0)))</f>
        <v>0</v>
      </c>
      <c r="AF21" s="26">
        <f t="shared" si="2"/>
        <v>0</v>
      </c>
      <c r="AG21" s="27" t="str">
        <f>IF(AC21="","",IF(COUNTIFS($AC$3:AC21,"Quên chấm công",$S$3:S21,S21)&gt;3,"Không chấm công do vi phạm quá 3 lần",IF(COUNTIFS($AC$3:AC21,"Quên chấm công",$S$3:S21,S21)&gt;2,"Trừ toàn bộ chuyên cần tháng do vi phạm lần 3",IF(COUNTIFS($AC$3:AC21,"Quên chấm công",$S$3:S21,S21)&gt;1,"Trừ 1/2 ngày lương",50000))))</f>
        <v/>
      </c>
      <c r="AH21" s="12" t="str">
        <f>IF(AF21=0,"",IF(COUNTIFS($AF$3:AF21,"&gt;0",$S$3:S21,S21)&gt;3,"Trừ toàn bộ chuyên cần tháng",""))</f>
        <v/>
      </c>
      <c r="AI21" s="12"/>
    </row>
    <row r="22" spans="1:35" x14ac:dyDescent="0.25">
      <c r="A22" s="4" t="s">
        <v>18</v>
      </c>
      <c r="B22" s="1" t="s">
        <v>19</v>
      </c>
      <c r="C22" s="1" t="s">
        <v>20</v>
      </c>
      <c r="D22" s="1" t="s">
        <v>100</v>
      </c>
      <c r="E22" s="1" t="s">
        <v>22</v>
      </c>
      <c r="F22" s="1" t="s">
        <v>23</v>
      </c>
      <c r="G22" s="1" t="s">
        <v>29</v>
      </c>
      <c r="H22" s="1" t="s">
        <v>101</v>
      </c>
      <c r="I22" s="1" t="s">
        <v>102</v>
      </c>
      <c r="J22" s="1" t="s">
        <v>25</v>
      </c>
      <c r="K22" s="1" t="s">
        <v>103</v>
      </c>
      <c r="L22" s="1" t="s">
        <v>25</v>
      </c>
      <c r="M22" s="1" t="s">
        <v>26</v>
      </c>
      <c r="N22" s="1" t="s">
        <v>25</v>
      </c>
      <c r="O22" s="1" t="s">
        <v>104</v>
      </c>
      <c r="P22" s="1" t="s">
        <v>25</v>
      </c>
      <c r="Q22" s="1" t="s">
        <v>25</v>
      </c>
      <c r="R22" s="85" t="str">
        <f t="shared" si="0"/>
        <v>145920</v>
      </c>
      <c r="S22" t="str">
        <f>VLOOKUP(A22,Data_NV!$A:$C,3,0)</f>
        <v xml:space="preserve"> Nguyễn Bảo Thạch    </v>
      </c>
      <c r="T22" t="str">
        <f>VLOOKUP(A22,Data_NV!$A:$E,4,0)</f>
        <v>Vận Hành</v>
      </c>
      <c r="U22" s="82">
        <f>DATEVALUE(Table2[[#This Row],[Ngày]])</f>
        <v>45920</v>
      </c>
      <c r="V22" t="str">
        <f>VLOOKUP(A22,Data_NV!$A:$E,5,0)</f>
        <v>Đang làm việc</v>
      </c>
      <c r="W22" s="10">
        <f>VLOOKUP(A22,Data_NV!$A:$I,8,0)</f>
        <v>0.3125</v>
      </c>
      <c r="X22" s="10">
        <f>VLOOKUP(A22,Data_NV!$A:$I,9,0)</f>
        <v>0.6875</v>
      </c>
      <c r="Y22" s="10">
        <f>IFERROR(TIMEVALUE(Table2[[#This Row],[Vào]]),0)</f>
        <v>0.30842592592592594</v>
      </c>
      <c r="Z22" s="10">
        <f>IFERROR(TIMEVALUE(Table2[[#This Row],[Ra]]),0)</f>
        <v>0.74870370370370365</v>
      </c>
      <c r="AA22" t="str">
        <f t="shared" si="3"/>
        <v>x</v>
      </c>
      <c r="AB22" s="105">
        <f t="shared" si="1"/>
        <v>0</v>
      </c>
      <c r="AC22" s="12" t="str">
        <f>IF(VLOOKUP(A22,Data_NV!$A:$I,7,0)="Không","",IF(OR(AND(Y22=0,Z22=0),AND(Y22&lt;&gt;0,Z22&lt;&gt;0)),"","Quên chấm công"))</f>
        <v/>
      </c>
      <c r="AD22" s="12">
        <f>IF(VLOOKUP(A22,Data_NV!$A:$I,7,0)="Không",0,IF(AND(Y22=0,Z22=0),0,IF(X22&lt;=Z22,0,ROUNDDOWN((X22-Z22)*24*60,0))))</f>
        <v>0</v>
      </c>
      <c r="AE22" s="12">
        <f>IF(VLOOKUP(A22,Data_NV!$A:$I,6,0)="Không",0,IF(Z22&lt;=X22,0,ROUNDDOWN((Z22-X22)*24*60,0)))</f>
        <v>0</v>
      </c>
      <c r="AF22" s="26">
        <f t="shared" si="2"/>
        <v>0</v>
      </c>
      <c r="AG22" s="27" t="str">
        <f>IF(AC22="","",IF(COUNTIFS($AC$3:AC22,"Quên chấm công",$S$3:S22,S22)&gt;3,"Không chấm công do vi phạm quá 3 lần",IF(COUNTIFS($AC$3:AC22,"Quên chấm công",$S$3:S22,S22)&gt;2,"Trừ toàn bộ chuyên cần tháng do vi phạm lần 3",IF(COUNTIFS($AC$3:AC22,"Quên chấm công",$S$3:S22,S22)&gt;1,"Trừ 1/2 ngày lương",50000))))</f>
        <v/>
      </c>
      <c r="AH22" s="12" t="str">
        <f>IF(AF22=0,"",IF(COUNTIFS($AF$3:AF22,"&gt;0",$S$3:S22,S22)&gt;3,"Trừ toàn bộ chuyên cần tháng",""))</f>
        <v/>
      </c>
      <c r="AI22" s="12"/>
    </row>
    <row r="23" spans="1:35" x14ac:dyDescent="0.25">
      <c r="A23" s="4" t="s">
        <v>18</v>
      </c>
      <c r="B23" s="1" t="s">
        <v>19</v>
      </c>
      <c r="C23" s="1" t="s">
        <v>20</v>
      </c>
      <c r="D23" s="1" t="s">
        <v>105</v>
      </c>
      <c r="E23" s="1" t="s">
        <v>22</v>
      </c>
      <c r="F23" s="1" t="s">
        <v>23</v>
      </c>
      <c r="G23" s="1" t="s">
        <v>12</v>
      </c>
      <c r="H23" s="1" t="s">
        <v>24</v>
      </c>
      <c r="I23" s="1" t="s">
        <v>24</v>
      </c>
      <c r="J23" s="1" t="s">
        <v>25</v>
      </c>
      <c r="K23" s="1" t="s">
        <v>25</v>
      </c>
      <c r="L23" s="1" t="s">
        <v>26</v>
      </c>
      <c r="M23" s="1" t="s">
        <v>25</v>
      </c>
      <c r="N23" s="1" t="s">
        <v>25</v>
      </c>
      <c r="O23" s="1" t="s">
        <v>25</v>
      </c>
      <c r="P23" s="1" t="s">
        <v>25</v>
      </c>
      <c r="Q23" s="1" t="s">
        <v>25</v>
      </c>
      <c r="R23" s="85" t="str">
        <f t="shared" si="0"/>
        <v>145921</v>
      </c>
      <c r="S23" t="str">
        <f>VLOOKUP(A23,Data_NV!$A:$C,3,0)</f>
        <v xml:space="preserve"> Nguyễn Bảo Thạch    </v>
      </c>
      <c r="T23" t="str">
        <f>VLOOKUP(A23,Data_NV!$A:$E,4,0)</f>
        <v>Vận Hành</v>
      </c>
      <c r="U23" s="82">
        <f>DATEVALUE(Table2[[#This Row],[Ngày]])</f>
        <v>45921</v>
      </c>
      <c r="V23" t="str">
        <f>VLOOKUP(A23,Data_NV!$A:$E,5,0)</f>
        <v>Đang làm việc</v>
      </c>
      <c r="W23" s="10">
        <f>VLOOKUP(A23,Data_NV!$A:$I,8,0)</f>
        <v>0.3125</v>
      </c>
      <c r="X23" s="10">
        <f>VLOOKUP(A23,Data_NV!$A:$I,9,0)</f>
        <v>0.6875</v>
      </c>
      <c r="Y23" s="10">
        <f>IFERROR(TIMEVALUE(Table2[[#This Row],[Vào]]),0)</f>
        <v>0</v>
      </c>
      <c r="Z23" s="10">
        <f>IFERROR(TIMEVALUE(Table2[[#This Row],[Ra]]),0)</f>
        <v>0</v>
      </c>
      <c r="AA23" t="str">
        <f t="shared" si="3"/>
        <v>Chủ nhật</v>
      </c>
      <c r="AB23" s="105">
        <f t="shared" si="1"/>
        <v>0</v>
      </c>
      <c r="AC23" s="12" t="str">
        <f>IF(VLOOKUP(A23,Data_NV!$A:$I,7,0)="Không","",IF(OR(AND(Y23=0,Z23=0),AND(Y23&lt;&gt;0,Z23&lt;&gt;0)),"","Quên chấm công"))</f>
        <v/>
      </c>
      <c r="AD23" s="12">
        <f>IF(VLOOKUP(A23,Data_NV!$A:$I,7,0)="Không",0,IF(AND(Y23=0,Z23=0),0,IF(X23&lt;=Z23,0,ROUNDDOWN((X23-Z23)*24*60,0))))</f>
        <v>0</v>
      </c>
      <c r="AE23" s="12">
        <f>IF(VLOOKUP(A23,Data_NV!$A:$I,6,0)="Không",0,IF(Z23&lt;=X23,0,ROUNDDOWN((Z23-X23)*24*60,0)))</f>
        <v>0</v>
      </c>
      <c r="AF23" s="26">
        <f t="shared" si="2"/>
        <v>0</v>
      </c>
      <c r="AG23" s="27" t="str">
        <f>IF(AC23="","",IF(COUNTIFS($AC$3:AC23,"Quên chấm công",$S$3:S23,S23)&gt;3,"Không chấm công do vi phạm quá 3 lần",IF(COUNTIFS($AC$3:AC23,"Quên chấm công",$S$3:S23,S23)&gt;2,"Trừ toàn bộ chuyên cần tháng do vi phạm lần 3",IF(COUNTIFS($AC$3:AC23,"Quên chấm công",$S$3:S23,S23)&gt;1,"Trừ 1/2 ngày lương",50000))))</f>
        <v/>
      </c>
      <c r="AH23" s="12" t="str">
        <f>IF(AF23=0,"",IF(COUNTIFS($AF$3:AF23,"&gt;0",$S$3:S23,S23)&gt;3,"Trừ toàn bộ chuyên cần tháng",""))</f>
        <v/>
      </c>
      <c r="AI23" s="12"/>
    </row>
    <row r="24" spans="1:35" x14ac:dyDescent="0.25">
      <c r="A24" s="4" t="s">
        <v>18</v>
      </c>
      <c r="B24" s="1" t="s">
        <v>19</v>
      </c>
      <c r="C24" s="1" t="s">
        <v>20</v>
      </c>
      <c r="D24" s="1" t="s">
        <v>106</v>
      </c>
      <c r="E24" s="1" t="s">
        <v>22</v>
      </c>
      <c r="F24" s="1" t="s">
        <v>23</v>
      </c>
      <c r="G24" s="1" t="s">
        <v>29</v>
      </c>
      <c r="H24" s="1" t="s">
        <v>107</v>
      </c>
      <c r="I24" s="1" t="s">
        <v>108</v>
      </c>
      <c r="J24" s="1" t="s">
        <v>25</v>
      </c>
      <c r="K24" s="1" t="s">
        <v>109</v>
      </c>
      <c r="L24" s="1" t="s">
        <v>25</v>
      </c>
      <c r="M24" s="1" t="s">
        <v>26</v>
      </c>
      <c r="N24" s="1" t="s">
        <v>25</v>
      </c>
      <c r="O24" s="1" t="s">
        <v>110</v>
      </c>
      <c r="P24" s="1" t="s">
        <v>25</v>
      </c>
      <c r="Q24" s="1" t="s">
        <v>25</v>
      </c>
      <c r="R24" s="85" t="str">
        <f t="shared" si="0"/>
        <v>145922</v>
      </c>
      <c r="S24" t="str">
        <f>VLOOKUP(A24,Data_NV!$A:$C,3,0)</f>
        <v xml:space="preserve"> Nguyễn Bảo Thạch    </v>
      </c>
      <c r="T24" t="str">
        <f>VLOOKUP(A24,Data_NV!$A:$E,4,0)</f>
        <v>Vận Hành</v>
      </c>
      <c r="U24" s="82">
        <f>DATEVALUE(Table2[[#This Row],[Ngày]])</f>
        <v>45922</v>
      </c>
      <c r="V24" t="str">
        <f>VLOOKUP(A24,Data_NV!$A:$E,5,0)</f>
        <v>Đang làm việc</v>
      </c>
      <c r="W24" s="10">
        <f>VLOOKUP(A24,Data_NV!$A:$I,8,0)</f>
        <v>0.3125</v>
      </c>
      <c r="X24" s="10">
        <f>VLOOKUP(A24,Data_NV!$A:$I,9,0)</f>
        <v>0.6875</v>
      </c>
      <c r="Y24" s="10">
        <f>IFERROR(TIMEVALUE(Table2[[#This Row],[Vào]]),0)</f>
        <v>0.30527777777777776</v>
      </c>
      <c r="Z24" s="10">
        <f>IFERROR(TIMEVALUE(Table2[[#This Row],[Ra]]),0)</f>
        <v>0.76324074074074078</v>
      </c>
      <c r="AA24" t="str">
        <f t="shared" si="3"/>
        <v>x</v>
      </c>
      <c r="AB24" s="105">
        <f t="shared" si="1"/>
        <v>0</v>
      </c>
      <c r="AC24" s="12" t="str">
        <f>IF(VLOOKUP(A24,Data_NV!$A:$I,7,0)="Không","",IF(OR(AND(Y24=0,Z24=0),AND(Y24&lt;&gt;0,Z24&lt;&gt;0)),"","Quên chấm công"))</f>
        <v/>
      </c>
      <c r="AD24" s="12">
        <f>IF(VLOOKUP(A24,Data_NV!$A:$I,7,0)="Không",0,IF(AND(Y24=0,Z24=0),0,IF(X24&lt;=Z24,0,ROUNDDOWN((X24-Z24)*24*60,0))))</f>
        <v>0</v>
      </c>
      <c r="AE24" s="12">
        <f>IF(VLOOKUP(A24,Data_NV!$A:$I,6,0)="Không",0,IF(Z24&lt;=X24,0,ROUNDDOWN((Z24-X24)*24*60,0)))</f>
        <v>0</v>
      </c>
      <c r="AF24" s="26">
        <f t="shared" si="2"/>
        <v>0</v>
      </c>
      <c r="AG24" s="27" t="str">
        <f>IF(AC24="","",IF(COUNTIFS($AC$3:AC24,"Quên chấm công",$S$3:S24,S24)&gt;3,"Không chấm công do vi phạm quá 3 lần",IF(COUNTIFS($AC$3:AC24,"Quên chấm công",$S$3:S24,S24)&gt;2,"Trừ toàn bộ chuyên cần tháng do vi phạm lần 3",IF(COUNTIFS($AC$3:AC24,"Quên chấm công",$S$3:S24,S24)&gt;1,"Trừ 1/2 ngày lương",50000))))</f>
        <v/>
      </c>
      <c r="AH24" s="12" t="str">
        <f>IF(AF24=0,"",IF(COUNTIFS($AF$3:AF24,"&gt;0",$S$3:S24,S24)&gt;3,"Trừ toàn bộ chuyên cần tháng",""))</f>
        <v/>
      </c>
      <c r="AI24" s="12"/>
    </row>
    <row r="25" spans="1:35" x14ac:dyDescent="0.25">
      <c r="A25" s="4" t="s">
        <v>18</v>
      </c>
      <c r="B25" s="1" t="s">
        <v>19</v>
      </c>
      <c r="C25" s="1" t="s">
        <v>20</v>
      </c>
      <c r="D25" s="1" t="s">
        <v>111</v>
      </c>
      <c r="E25" s="1" t="s">
        <v>22</v>
      </c>
      <c r="F25" s="1" t="s">
        <v>23</v>
      </c>
      <c r="G25" s="1" t="s">
        <v>29</v>
      </c>
      <c r="H25" s="1" t="s">
        <v>112</v>
      </c>
      <c r="I25" s="1" t="s">
        <v>113</v>
      </c>
      <c r="J25" s="1" t="s">
        <v>25</v>
      </c>
      <c r="K25" s="1" t="s">
        <v>114</v>
      </c>
      <c r="L25" s="1" t="s">
        <v>25</v>
      </c>
      <c r="M25" s="1" t="s">
        <v>26</v>
      </c>
      <c r="N25" s="1" t="s">
        <v>25</v>
      </c>
      <c r="O25" s="1" t="s">
        <v>115</v>
      </c>
      <c r="P25" s="1" t="s">
        <v>25</v>
      </c>
      <c r="Q25" s="1" t="s">
        <v>25</v>
      </c>
      <c r="R25" s="85" t="str">
        <f t="shared" si="0"/>
        <v>145923</v>
      </c>
      <c r="S25" t="str">
        <f>VLOOKUP(A25,Data_NV!$A:$C,3,0)</f>
        <v xml:space="preserve"> Nguyễn Bảo Thạch    </v>
      </c>
      <c r="T25" t="str">
        <f>VLOOKUP(A25,Data_NV!$A:$E,4,0)</f>
        <v>Vận Hành</v>
      </c>
      <c r="U25" s="82">
        <f>DATEVALUE(Table2[[#This Row],[Ngày]])</f>
        <v>45923</v>
      </c>
      <c r="V25" t="str">
        <f>VLOOKUP(A25,Data_NV!$A:$E,5,0)</f>
        <v>Đang làm việc</v>
      </c>
      <c r="W25" s="10">
        <f>VLOOKUP(A25,Data_NV!$A:$I,8,0)</f>
        <v>0.3125</v>
      </c>
      <c r="X25" s="10">
        <f>VLOOKUP(A25,Data_NV!$A:$I,9,0)</f>
        <v>0.6875</v>
      </c>
      <c r="Y25" s="10">
        <f>IFERROR(TIMEVALUE(Table2[[#This Row],[Vào]]),0)</f>
        <v>0.30601851851851852</v>
      </c>
      <c r="Z25" s="10">
        <f>IFERROR(TIMEVALUE(Table2[[#This Row],[Ra]]),0)</f>
        <v>0.77916666666666667</v>
      </c>
      <c r="AA25" t="str">
        <f t="shared" si="3"/>
        <v>x</v>
      </c>
      <c r="AB25" s="105">
        <f t="shared" si="1"/>
        <v>0</v>
      </c>
      <c r="AC25" s="12" t="str">
        <f>IF(VLOOKUP(A25,Data_NV!$A:$I,7,0)="Không","",IF(OR(AND(Y25=0,Z25=0),AND(Y25&lt;&gt;0,Z25&lt;&gt;0)),"","Quên chấm công"))</f>
        <v/>
      </c>
      <c r="AD25" s="12">
        <f>IF(VLOOKUP(A25,Data_NV!$A:$I,7,0)="Không",0,IF(AND(Y25=0,Z25=0),0,IF(X25&lt;=Z25,0,ROUNDDOWN((X25-Z25)*24*60,0))))</f>
        <v>0</v>
      </c>
      <c r="AE25" s="12">
        <f>IF(VLOOKUP(A25,Data_NV!$A:$I,6,0)="Không",0,IF(Z25&lt;=X25,0,ROUNDDOWN((Z25-X25)*24*60,0)))</f>
        <v>0</v>
      </c>
      <c r="AF25" s="26">
        <f t="shared" si="2"/>
        <v>0</v>
      </c>
      <c r="AG25" s="27" t="str">
        <f>IF(AC25="","",IF(COUNTIFS($AC$3:AC25,"Quên chấm công",$S$3:S25,S25)&gt;3,"Không chấm công do vi phạm quá 3 lần",IF(COUNTIFS($AC$3:AC25,"Quên chấm công",$S$3:S25,S25)&gt;2,"Trừ toàn bộ chuyên cần tháng do vi phạm lần 3",IF(COUNTIFS($AC$3:AC25,"Quên chấm công",$S$3:S25,S25)&gt;1,"Trừ 1/2 ngày lương",50000))))</f>
        <v/>
      </c>
      <c r="AH25" s="12" t="str">
        <f>IF(AF25=0,"",IF(COUNTIFS($AF$3:AF25,"&gt;0",$S$3:S25,S25)&gt;3,"Trừ toàn bộ chuyên cần tháng",""))</f>
        <v/>
      </c>
      <c r="AI25" s="12"/>
    </row>
    <row r="26" spans="1:35" x14ac:dyDescent="0.25">
      <c r="A26" s="4" t="s">
        <v>18</v>
      </c>
      <c r="B26" s="1" t="s">
        <v>19</v>
      </c>
      <c r="C26" s="1" t="s">
        <v>20</v>
      </c>
      <c r="D26" s="1" t="s">
        <v>116</v>
      </c>
      <c r="E26" s="1" t="s">
        <v>22</v>
      </c>
      <c r="F26" s="1" t="s">
        <v>23</v>
      </c>
      <c r="G26" s="1" t="s">
        <v>29</v>
      </c>
      <c r="H26" s="1" t="s">
        <v>117</v>
      </c>
      <c r="I26" s="1" t="s">
        <v>118</v>
      </c>
      <c r="J26" s="1" t="s">
        <v>25</v>
      </c>
      <c r="K26" s="1" t="s">
        <v>119</v>
      </c>
      <c r="L26" s="1" t="s">
        <v>25</v>
      </c>
      <c r="M26" s="1" t="s">
        <v>26</v>
      </c>
      <c r="N26" s="1" t="s">
        <v>25</v>
      </c>
      <c r="O26" s="1" t="s">
        <v>120</v>
      </c>
      <c r="P26" s="1" t="s">
        <v>25</v>
      </c>
      <c r="Q26" s="1" t="s">
        <v>25</v>
      </c>
      <c r="R26" s="85" t="str">
        <f t="shared" si="0"/>
        <v>145924</v>
      </c>
      <c r="S26" t="str">
        <f>VLOOKUP(A26,Data_NV!$A:$C,3,0)</f>
        <v xml:space="preserve"> Nguyễn Bảo Thạch    </v>
      </c>
      <c r="T26" t="str">
        <f>VLOOKUP(A26,Data_NV!$A:$E,4,0)</f>
        <v>Vận Hành</v>
      </c>
      <c r="U26" s="82">
        <f>DATEVALUE(Table2[[#This Row],[Ngày]])</f>
        <v>45924</v>
      </c>
      <c r="V26" t="str">
        <f>VLOOKUP(A26,Data_NV!$A:$E,5,0)</f>
        <v>Đang làm việc</v>
      </c>
      <c r="W26" s="10">
        <f>VLOOKUP(A26,Data_NV!$A:$I,8,0)</f>
        <v>0.3125</v>
      </c>
      <c r="X26" s="10">
        <f>VLOOKUP(A26,Data_NV!$A:$I,9,0)</f>
        <v>0.6875</v>
      </c>
      <c r="Y26" s="10">
        <f>IFERROR(TIMEVALUE(Table2[[#This Row],[Vào]]),0)</f>
        <v>0.29784722222222221</v>
      </c>
      <c r="Z26" s="10">
        <f>IFERROR(TIMEVALUE(Table2[[#This Row],[Ra]]),0)</f>
        <v>0.75648148148148153</v>
      </c>
      <c r="AA26" t="str">
        <f t="shared" si="3"/>
        <v>x</v>
      </c>
      <c r="AB26" s="105">
        <f t="shared" si="1"/>
        <v>0</v>
      </c>
      <c r="AC26" s="12" t="str">
        <f>IF(VLOOKUP(A26,Data_NV!$A:$I,7,0)="Không","",IF(OR(AND(Y26=0,Z26=0),AND(Y26&lt;&gt;0,Z26&lt;&gt;0)),"","Quên chấm công"))</f>
        <v/>
      </c>
      <c r="AD26" s="12">
        <f>IF(VLOOKUP(A26,Data_NV!$A:$I,7,0)="Không",0,IF(AND(Y26=0,Z26=0),0,IF(X26&lt;=Z26,0,ROUNDDOWN((X26-Z26)*24*60,0))))</f>
        <v>0</v>
      </c>
      <c r="AE26" s="12">
        <f>IF(VLOOKUP(A26,Data_NV!$A:$I,6,0)="Không",0,IF(Z26&lt;=X26,0,ROUNDDOWN((Z26-X26)*24*60,0)))</f>
        <v>0</v>
      </c>
      <c r="AF26" s="26">
        <f t="shared" si="2"/>
        <v>0</v>
      </c>
      <c r="AG26" s="27" t="str">
        <f>IF(AC26="","",IF(COUNTIFS($AC$3:AC26,"Quên chấm công",$S$3:S26,S26)&gt;3,"Không chấm công do vi phạm quá 3 lần",IF(COUNTIFS($AC$3:AC26,"Quên chấm công",$S$3:S26,S26)&gt;2,"Trừ toàn bộ chuyên cần tháng do vi phạm lần 3",IF(COUNTIFS($AC$3:AC26,"Quên chấm công",$S$3:S26,S26)&gt;1,"Trừ 1/2 ngày lương",50000))))</f>
        <v/>
      </c>
      <c r="AH26" s="12" t="str">
        <f>IF(AF26=0,"",IF(COUNTIFS($AF$3:AF26,"&gt;0",$S$3:S26,S26)&gt;3,"Trừ toàn bộ chuyên cần tháng",""))</f>
        <v/>
      </c>
      <c r="AI26" s="12"/>
    </row>
    <row r="27" spans="1:35" x14ac:dyDescent="0.25">
      <c r="A27" s="4" t="s">
        <v>18</v>
      </c>
      <c r="B27" s="1" t="s">
        <v>19</v>
      </c>
      <c r="C27" s="1" t="s">
        <v>20</v>
      </c>
      <c r="D27" s="1" t="s">
        <v>121</v>
      </c>
      <c r="E27" s="1" t="s">
        <v>22</v>
      </c>
      <c r="F27" s="1" t="s">
        <v>23</v>
      </c>
      <c r="G27" s="1" t="s">
        <v>12</v>
      </c>
      <c r="H27" s="1" t="s">
        <v>122</v>
      </c>
      <c r="I27" s="1" t="s">
        <v>24</v>
      </c>
      <c r="J27" s="1" t="s">
        <v>25</v>
      </c>
      <c r="K27" s="1" t="s">
        <v>25</v>
      </c>
      <c r="L27" s="1" t="s">
        <v>26</v>
      </c>
      <c r="M27" s="1" t="s">
        <v>25</v>
      </c>
      <c r="N27" s="1" t="s">
        <v>25</v>
      </c>
      <c r="O27" s="1" t="s">
        <v>25</v>
      </c>
      <c r="P27" s="1" t="s">
        <v>25</v>
      </c>
      <c r="Q27" s="1" t="s">
        <v>25</v>
      </c>
      <c r="R27" s="85" t="str">
        <f t="shared" si="0"/>
        <v>145925</v>
      </c>
      <c r="S27" t="str">
        <f>VLOOKUP(A27,Data_NV!$A:$C,3,0)</f>
        <v xml:space="preserve"> Nguyễn Bảo Thạch    </v>
      </c>
      <c r="T27" t="str">
        <f>VLOOKUP(A27,Data_NV!$A:$E,4,0)</f>
        <v>Vận Hành</v>
      </c>
      <c r="U27" s="82">
        <f>DATEVALUE(Table2[[#This Row],[Ngày]])</f>
        <v>45925</v>
      </c>
      <c r="V27" t="str">
        <f>VLOOKUP(A27,Data_NV!$A:$E,5,0)</f>
        <v>Đang làm việc</v>
      </c>
      <c r="W27" s="10">
        <f>VLOOKUP(A27,Data_NV!$A:$I,8,0)</f>
        <v>0.3125</v>
      </c>
      <c r="X27" s="10">
        <f>VLOOKUP(A27,Data_NV!$A:$I,9,0)</f>
        <v>0.6875</v>
      </c>
      <c r="Y27" s="10">
        <f>IFERROR(TIMEVALUE(Table2[[#This Row],[Vào]]),0)</f>
        <v>0.29663194444444446</v>
      </c>
      <c r="Z27" s="10">
        <f>IFERROR(TIMEVALUE(Table2[[#This Row],[Ra]]),0)</f>
        <v>0</v>
      </c>
      <c r="AA27" t="str">
        <f t="shared" si="3"/>
        <v>x</v>
      </c>
      <c r="AB27" s="105">
        <f t="shared" si="1"/>
        <v>0</v>
      </c>
      <c r="AD27" s="12">
        <f>IF(VLOOKUP(A27,Data_NV!$A:$I,7,0)="Không",0,IF(AND(Y27=0,Z27=0),0,IF(X27&lt;=Z27,0,ROUNDDOWN((X27-Z27)*24*60,0))))</f>
        <v>990</v>
      </c>
      <c r="AE27" s="12">
        <f>IF(VLOOKUP(A27,Data_NV!$A:$I,6,0)="Không",0,IF(Z27&lt;=X27,0,ROUNDDOWN((Z27-X27)*24*60,0)))</f>
        <v>0</v>
      </c>
      <c r="AF27" s="26">
        <f t="shared" si="2"/>
        <v>0</v>
      </c>
      <c r="AG27" s="27" t="str">
        <f>IF(AC27="","",IF(COUNTIFS($AC$3:AC27,"Quên chấm công",$S$3:S27,S27)&gt;3,"Không chấm công do vi phạm quá 3 lần",IF(COUNTIFS($AC$3:AC27,"Quên chấm công",$S$3:S27,S27)&gt;2,"Trừ toàn bộ chuyên cần tháng do vi phạm lần 3",IF(COUNTIFS($AC$3:AC27,"Quên chấm công",$S$3:S27,S27)&gt;1,"Trừ 1/2 ngày lương",50000))))</f>
        <v/>
      </c>
      <c r="AH27" s="12" t="str">
        <f>IF(AF27=0,"",IF(COUNTIFS($AF$3:AF27,"&gt;0",$S$3:S27,S27)&gt;3,"Trừ toàn bộ chuyên cần tháng",""))</f>
        <v/>
      </c>
      <c r="AI27" s="12" t="s">
        <v>1399</v>
      </c>
    </row>
    <row r="28" spans="1:35" x14ac:dyDescent="0.25">
      <c r="A28" s="4" t="s">
        <v>18</v>
      </c>
      <c r="B28" s="1" t="s">
        <v>19</v>
      </c>
      <c r="C28" s="1" t="s">
        <v>20</v>
      </c>
      <c r="D28" s="1" t="s">
        <v>123</v>
      </c>
      <c r="E28" s="1" t="s">
        <v>22</v>
      </c>
      <c r="F28" s="1" t="s">
        <v>23</v>
      </c>
      <c r="G28" s="1" t="s">
        <v>12</v>
      </c>
      <c r="H28" s="1" t="s">
        <v>124</v>
      </c>
      <c r="I28" s="1" t="s">
        <v>24</v>
      </c>
      <c r="J28" s="1" t="s">
        <v>25</v>
      </c>
      <c r="K28" s="1" t="s">
        <v>25</v>
      </c>
      <c r="L28" s="1" t="s">
        <v>26</v>
      </c>
      <c r="M28" s="1" t="s">
        <v>25</v>
      </c>
      <c r="N28" s="1" t="s">
        <v>25</v>
      </c>
      <c r="O28" s="1" t="s">
        <v>25</v>
      </c>
      <c r="P28" s="1" t="s">
        <v>25</v>
      </c>
      <c r="Q28" s="1" t="s">
        <v>25</v>
      </c>
      <c r="R28" s="85" t="str">
        <f t="shared" si="0"/>
        <v>145926</v>
      </c>
      <c r="S28" t="str">
        <f>VLOOKUP(A28,Data_NV!$A:$C,3,0)</f>
        <v xml:space="preserve"> Nguyễn Bảo Thạch    </v>
      </c>
      <c r="T28" t="str">
        <f>VLOOKUP(A28,Data_NV!$A:$E,4,0)</f>
        <v>Vận Hành</v>
      </c>
      <c r="U28" s="82">
        <f>DATEVALUE(Table2[[#This Row],[Ngày]])</f>
        <v>45926</v>
      </c>
      <c r="V28" t="str">
        <f>VLOOKUP(A28,Data_NV!$A:$E,5,0)</f>
        <v>Đang làm việc</v>
      </c>
      <c r="W28" s="10">
        <f>VLOOKUP(A28,Data_NV!$A:$I,8,0)</f>
        <v>0.3125</v>
      </c>
      <c r="X28" s="10">
        <f>VLOOKUP(A28,Data_NV!$A:$I,9,0)</f>
        <v>0.6875</v>
      </c>
      <c r="Y28" s="10">
        <f>IFERROR(TIMEVALUE(Table2[[#This Row],[Vào]]),0)</f>
        <v>0.3056712962962963</v>
      </c>
      <c r="Z28" s="10">
        <f>IFERROR(TIMEVALUE(Table2[[#This Row],[Ra]]),0)</f>
        <v>0</v>
      </c>
      <c r="AA28" t="str">
        <f t="shared" si="3"/>
        <v>x</v>
      </c>
      <c r="AB28" s="105">
        <f t="shared" si="1"/>
        <v>0</v>
      </c>
      <c r="AD28" s="12">
        <f>IF(VLOOKUP(A28,Data_NV!$A:$I,7,0)="Không",0,IF(AND(Y28=0,Z28=0),0,IF(X28&lt;=Z28,0,ROUNDDOWN((X28-Z28)*24*60,0))))</f>
        <v>990</v>
      </c>
      <c r="AE28" s="12">
        <f>IF(VLOOKUP(A28,Data_NV!$A:$I,6,0)="Không",0,IF(Z28&lt;=X28,0,ROUNDDOWN((Z28-X28)*24*60,0)))</f>
        <v>0</v>
      </c>
      <c r="AF28" s="26">
        <f t="shared" si="2"/>
        <v>0</v>
      </c>
      <c r="AG28" s="27" t="str">
        <f>IF(AC28="","",IF(COUNTIFS($AC$3:AC28,"Quên chấm công",$S$3:S28,S28)&gt;3,"Không chấm công do vi phạm quá 3 lần",IF(COUNTIFS($AC$3:AC28,"Quên chấm công",$S$3:S28,S28)&gt;2,"Trừ toàn bộ chuyên cần tháng do vi phạm lần 3",IF(COUNTIFS($AC$3:AC28,"Quên chấm công",$S$3:S28,S28)&gt;1,"Trừ 1/2 ngày lương",50000))))</f>
        <v/>
      </c>
      <c r="AH28" s="12" t="str">
        <f>IF(AF28=0,"",IF(COUNTIFS($AF$3:AF28,"&gt;0",$S$3:S28,S28)&gt;3,"Trừ toàn bộ chuyên cần tháng",""))</f>
        <v/>
      </c>
      <c r="AI28" s="12" t="s">
        <v>1399</v>
      </c>
    </row>
    <row r="29" spans="1:35" x14ac:dyDescent="0.25">
      <c r="A29" s="4" t="s">
        <v>18</v>
      </c>
      <c r="B29" s="1" t="s">
        <v>19</v>
      </c>
      <c r="C29" s="1" t="s">
        <v>20</v>
      </c>
      <c r="D29" s="1" t="s">
        <v>125</v>
      </c>
      <c r="E29" s="1" t="s">
        <v>22</v>
      </c>
      <c r="F29" s="1" t="s">
        <v>23</v>
      </c>
      <c r="G29" s="1" t="s">
        <v>29</v>
      </c>
      <c r="H29" s="1" t="s">
        <v>126</v>
      </c>
      <c r="I29" s="1" t="s">
        <v>127</v>
      </c>
      <c r="J29" s="1" t="s">
        <v>25</v>
      </c>
      <c r="K29" s="1" t="s">
        <v>128</v>
      </c>
      <c r="L29" s="1" t="s">
        <v>25</v>
      </c>
      <c r="M29" s="1" t="s">
        <v>26</v>
      </c>
      <c r="N29" s="1" t="s">
        <v>25</v>
      </c>
      <c r="O29" s="1" t="s">
        <v>129</v>
      </c>
      <c r="P29" s="1" t="s">
        <v>25</v>
      </c>
      <c r="Q29" s="1" t="s">
        <v>25</v>
      </c>
      <c r="R29" s="85" t="str">
        <f t="shared" si="0"/>
        <v>145927</v>
      </c>
      <c r="S29" t="str">
        <f>VLOOKUP(A29,Data_NV!$A:$C,3,0)</f>
        <v xml:space="preserve"> Nguyễn Bảo Thạch    </v>
      </c>
      <c r="T29" t="str">
        <f>VLOOKUP(A29,Data_NV!$A:$E,4,0)</f>
        <v>Vận Hành</v>
      </c>
      <c r="U29" s="82">
        <f>DATEVALUE(Table2[[#This Row],[Ngày]])</f>
        <v>45927</v>
      </c>
      <c r="V29" t="str">
        <f>VLOOKUP(A29,Data_NV!$A:$E,5,0)</f>
        <v>Đang làm việc</v>
      </c>
      <c r="W29" s="10">
        <f>VLOOKUP(A29,Data_NV!$A:$I,8,0)</f>
        <v>0.3125</v>
      </c>
      <c r="X29" s="10">
        <f>VLOOKUP(A29,Data_NV!$A:$I,9,0)</f>
        <v>0.6875</v>
      </c>
      <c r="Y29" s="10">
        <f>IFERROR(TIMEVALUE(Table2[[#This Row],[Vào]]),0)</f>
        <v>0.31090277777777775</v>
      </c>
      <c r="Z29" s="10">
        <f>IFERROR(TIMEVALUE(Table2[[#This Row],[Ra]]),0)</f>
        <v>0.73615740740740743</v>
      </c>
      <c r="AA29" t="str">
        <f t="shared" si="3"/>
        <v>x</v>
      </c>
      <c r="AB29" s="105">
        <f t="shared" si="1"/>
        <v>0</v>
      </c>
      <c r="AC29" s="12" t="str">
        <f>IF(VLOOKUP(A29,Data_NV!$A:$I,7,0)="Không","",IF(OR(AND(Y29=0,Z29=0),AND(Y29&lt;&gt;0,Z29&lt;&gt;0)),"","Quên chấm công"))</f>
        <v/>
      </c>
      <c r="AD29" s="12">
        <f>IF(VLOOKUP(A29,Data_NV!$A:$I,7,0)="Không",0,IF(AND(Y29=0,Z29=0),0,IF(X29&lt;=Z29,0,ROUNDDOWN((X29-Z29)*24*60,0))))</f>
        <v>0</v>
      </c>
      <c r="AE29" s="12">
        <f>IF(VLOOKUP(A29,Data_NV!$A:$I,6,0)="Không",0,IF(Z29&lt;=X29,0,ROUNDDOWN((Z29-X29)*24*60,0)))</f>
        <v>0</v>
      </c>
      <c r="AF29" s="26">
        <f t="shared" si="2"/>
        <v>0</v>
      </c>
      <c r="AG29" s="27" t="str">
        <f>IF(AC29="","",IF(COUNTIFS($AC$3:AC29,"Quên chấm công",$S$3:S29,S29)&gt;3,"Không chấm công do vi phạm quá 3 lần",IF(COUNTIFS($AC$3:AC29,"Quên chấm công",$S$3:S29,S29)&gt;2,"Trừ toàn bộ chuyên cần tháng do vi phạm lần 3",IF(COUNTIFS($AC$3:AC29,"Quên chấm công",$S$3:S29,S29)&gt;1,"Trừ 1/2 ngày lương",50000))))</f>
        <v/>
      </c>
      <c r="AH29" s="12" t="str">
        <f>IF(AF29=0,"",IF(COUNTIFS($AF$3:AF29,"&gt;0",$S$3:S29,S29)&gt;3,"Trừ toàn bộ chuyên cần tháng",""))</f>
        <v/>
      </c>
      <c r="AI29" s="12"/>
    </row>
    <row r="30" spans="1:35" x14ac:dyDescent="0.25">
      <c r="A30" s="4" t="s">
        <v>18</v>
      </c>
      <c r="B30" s="1" t="s">
        <v>19</v>
      </c>
      <c r="C30" s="1" t="s">
        <v>20</v>
      </c>
      <c r="D30" s="1" t="s">
        <v>130</v>
      </c>
      <c r="E30" s="1" t="s">
        <v>22</v>
      </c>
      <c r="F30" s="1" t="s">
        <v>23</v>
      </c>
      <c r="G30" s="1" t="s">
        <v>12</v>
      </c>
      <c r="H30" s="1" t="s">
        <v>24</v>
      </c>
      <c r="I30" s="1" t="s">
        <v>24</v>
      </c>
      <c r="J30" s="1" t="s">
        <v>25</v>
      </c>
      <c r="K30" s="1" t="s">
        <v>25</v>
      </c>
      <c r="L30" s="1" t="s">
        <v>26</v>
      </c>
      <c r="M30" s="1" t="s">
        <v>25</v>
      </c>
      <c r="N30" s="1" t="s">
        <v>25</v>
      </c>
      <c r="O30" s="1" t="s">
        <v>25</v>
      </c>
      <c r="P30" s="1" t="s">
        <v>25</v>
      </c>
      <c r="Q30" s="1" t="s">
        <v>25</v>
      </c>
      <c r="R30" s="85" t="str">
        <f t="shared" si="0"/>
        <v>145928</v>
      </c>
      <c r="S30" t="str">
        <f>VLOOKUP(A30,Data_NV!$A:$C,3,0)</f>
        <v xml:space="preserve"> Nguyễn Bảo Thạch    </v>
      </c>
      <c r="T30" t="str">
        <f>VLOOKUP(A30,Data_NV!$A:$E,4,0)</f>
        <v>Vận Hành</v>
      </c>
      <c r="U30" s="82">
        <f>DATEVALUE(Table2[[#This Row],[Ngày]])</f>
        <v>45928</v>
      </c>
      <c r="V30" t="str">
        <f>VLOOKUP(A30,Data_NV!$A:$E,5,0)</f>
        <v>Đang làm việc</v>
      </c>
      <c r="W30" s="10">
        <f>VLOOKUP(A30,Data_NV!$A:$I,8,0)</f>
        <v>0.3125</v>
      </c>
      <c r="X30" s="10">
        <f>VLOOKUP(A30,Data_NV!$A:$I,9,0)</f>
        <v>0.6875</v>
      </c>
      <c r="Y30" s="10">
        <f>IFERROR(TIMEVALUE(Table2[[#This Row],[Vào]]),0)</f>
        <v>0</v>
      </c>
      <c r="Z30" s="10">
        <f>IFERROR(TIMEVALUE(Table2[[#This Row],[Ra]]),0)</f>
        <v>0</v>
      </c>
      <c r="AA30" t="str">
        <f t="shared" si="3"/>
        <v>Chủ nhật</v>
      </c>
      <c r="AB30" s="105">
        <f t="shared" si="1"/>
        <v>0</v>
      </c>
      <c r="AC30" s="12" t="str">
        <f>IF(VLOOKUP(A30,Data_NV!$A:$I,7,0)="Không","",IF(OR(AND(Y30=0,Z30=0),AND(Y30&lt;&gt;0,Z30&lt;&gt;0)),"","Quên chấm công"))</f>
        <v/>
      </c>
      <c r="AD30" s="12">
        <f>IF(VLOOKUP(A30,Data_NV!$A:$I,7,0)="Không",0,IF(AND(Y30=0,Z30=0),0,IF(X30&lt;=Z30,0,ROUNDDOWN((X30-Z30)*24*60,0))))</f>
        <v>0</v>
      </c>
      <c r="AE30" s="12">
        <f>IF(VLOOKUP(A30,Data_NV!$A:$I,6,0)="Không",0,IF(Z30&lt;=X30,0,ROUNDDOWN((Z30-X30)*24*60,0)))</f>
        <v>0</v>
      </c>
      <c r="AF30" s="26">
        <f t="shared" si="2"/>
        <v>0</v>
      </c>
      <c r="AG30" s="27" t="str">
        <f>IF(AC30="","",IF(COUNTIFS($AC$3:AC30,"Quên chấm công",$S$3:S30,S30)&gt;3,"Không chấm công do vi phạm quá 3 lần",IF(COUNTIFS($AC$3:AC30,"Quên chấm công",$S$3:S30,S30)&gt;2,"Trừ toàn bộ chuyên cần tháng do vi phạm lần 3",IF(COUNTIFS($AC$3:AC30,"Quên chấm công",$S$3:S30,S30)&gt;1,"Trừ 1/2 ngày lương",50000))))</f>
        <v/>
      </c>
      <c r="AH30" s="12" t="str">
        <f>IF(AF30=0,"",IF(COUNTIFS($AF$3:AF30,"&gt;0",$S$3:S30,S30)&gt;3,"Trừ toàn bộ chuyên cần tháng",""))</f>
        <v/>
      </c>
      <c r="AI30" s="12"/>
    </row>
    <row r="31" spans="1:35" x14ac:dyDescent="0.25">
      <c r="A31" s="4" t="s">
        <v>18</v>
      </c>
      <c r="B31" s="1" t="s">
        <v>19</v>
      </c>
      <c r="C31" s="1" t="s">
        <v>20</v>
      </c>
      <c r="D31" s="1" t="s">
        <v>131</v>
      </c>
      <c r="E31" s="1" t="s">
        <v>22</v>
      </c>
      <c r="F31" s="1" t="s">
        <v>23</v>
      </c>
      <c r="G31" s="1" t="s">
        <v>29</v>
      </c>
      <c r="H31" s="1" t="s">
        <v>132</v>
      </c>
      <c r="I31" s="1" t="s">
        <v>133</v>
      </c>
      <c r="J31" s="1" t="s">
        <v>25</v>
      </c>
      <c r="K31" s="1" t="s">
        <v>134</v>
      </c>
      <c r="L31" s="1" t="s">
        <v>25</v>
      </c>
      <c r="M31" s="1" t="s">
        <v>26</v>
      </c>
      <c r="N31" s="1" t="s">
        <v>25</v>
      </c>
      <c r="O31" s="1" t="s">
        <v>135</v>
      </c>
      <c r="P31" s="1" t="s">
        <v>25</v>
      </c>
      <c r="Q31" s="1" t="s">
        <v>25</v>
      </c>
      <c r="R31" s="85" t="str">
        <f t="shared" si="0"/>
        <v>145929</v>
      </c>
      <c r="S31" t="str">
        <f>VLOOKUP(A31,Data_NV!$A:$C,3,0)</f>
        <v xml:space="preserve"> Nguyễn Bảo Thạch    </v>
      </c>
      <c r="T31" t="str">
        <f>VLOOKUP(A31,Data_NV!$A:$E,4,0)</f>
        <v>Vận Hành</v>
      </c>
      <c r="U31" s="82">
        <f>DATEVALUE(Table2[[#This Row],[Ngày]])</f>
        <v>45929</v>
      </c>
      <c r="V31" t="str">
        <f>VLOOKUP(A31,Data_NV!$A:$E,5,0)</f>
        <v>Đang làm việc</v>
      </c>
      <c r="W31" s="10">
        <f>VLOOKUP(A31,Data_NV!$A:$I,8,0)</f>
        <v>0.3125</v>
      </c>
      <c r="X31" s="10">
        <f>VLOOKUP(A31,Data_NV!$A:$I,9,0)</f>
        <v>0.6875</v>
      </c>
      <c r="Y31" s="10">
        <f>IFERROR(TIMEVALUE(Table2[[#This Row],[Vào]]),0)</f>
        <v>0.30114583333333333</v>
      </c>
      <c r="Z31" s="10">
        <f>IFERROR(TIMEVALUE(Table2[[#This Row],[Ra]]),0)</f>
        <v>0.7756481481481482</v>
      </c>
      <c r="AA31" t="str">
        <f t="shared" si="3"/>
        <v>x</v>
      </c>
      <c r="AB31" s="105">
        <f t="shared" si="1"/>
        <v>0</v>
      </c>
      <c r="AC31" s="12" t="str">
        <f>IF(VLOOKUP(A31,Data_NV!$A:$I,7,0)="Không","",IF(OR(AND(Y31=0,Z31=0),AND(Y31&lt;&gt;0,Z31&lt;&gt;0)),"","Quên chấm công"))</f>
        <v/>
      </c>
      <c r="AD31" s="12">
        <f>IF(VLOOKUP(A31,Data_NV!$A:$I,7,0)="Không",0,IF(AND(Y31=0,Z31=0),0,IF(X31&lt;=Z31,0,ROUNDDOWN((X31-Z31)*24*60,0))))</f>
        <v>0</v>
      </c>
      <c r="AE31" s="12">
        <f>IF(VLOOKUP(A31,Data_NV!$A:$I,6,0)="Không",0,IF(Z31&lt;=X31,0,ROUNDDOWN((Z31-X31)*24*60,0)))</f>
        <v>0</v>
      </c>
      <c r="AF31" s="26">
        <f t="shared" si="2"/>
        <v>0</v>
      </c>
      <c r="AG31" s="27" t="str">
        <f>IF(AC31="","",IF(COUNTIFS($AC$3:AC31,"Quên chấm công",$S$3:S31,S31)&gt;3,"Không chấm công do vi phạm quá 3 lần",IF(COUNTIFS($AC$3:AC31,"Quên chấm công",$S$3:S31,S31)&gt;2,"Trừ toàn bộ chuyên cần tháng do vi phạm lần 3",IF(COUNTIFS($AC$3:AC31,"Quên chấm công",$S$3:S31,S31)&gt;1,"Trừ 1/2 ngày lương",50000))))</f>
        <v/>
      </c>
      <c r="AH31" s="12" t="str">
        <f>IF(AF31=0,"",IF(COUNTIFS($AF$3:AF31,"&gt;0",$S$3:S31,S31)&gt;3,"Trừ toàn bộ chuyên cần tháng",""))</f>
        <v/>
      </c>
      <c r="AI31" s="12"/>
    </row>
    <row r="32" spans="1:35" x14ac:dyDescent="0.25">
      <c r="A32" s="4" t="s">
        <v>18</v>
      </c>
      <c r="B32" s="1" t="s">
        <v>19</v>
      </c>
      <c r="C32" s="1" t="s">
        <v>20</v>
      </c>
      <c r="D32" s="1" t="s">
        <v>136</v>
      </c>
      <c r="E32" s="1" t="s">
        <v>22</v>
      </c>
      <c r="F32" s="1" t="s">
        <v>23</v>
      </c>
      <c r="G32" s="1" t="s">
        <v>29</v>
      </c>
      <c r="H32" s="1" t="s">
        <v>137</v>
      </c>
      <c r="I32" s="1" t="s">
        <v>138</v>
      </c>
      <c r="J32" s="1" t="s">
        <v>25</v>
      </c>
      <c r="K32" s="1" t="s">
        <v>139</v>
      </c>
      <c r="L32" s="1" t="s">
        <v>25</v>
      </c>
      <c r="M32" s="1" t="s">
        <v>26</v>
      </c>
      <c r="N32" s="1" t="s">
        <v>25</v>
      </c>
      <c r="O32" s="1" t="s">
        <v>140</v>
      </c>
      <c r="P32" s="1" t="s">
        <v>25</v>
      </c>
      <c r="Q32" s="1" t="s">
        <v>25</v>
      </c>
      <c r="R32" s="85" t="str">
        <f t="shared" si="0"/>
        <v>145930</v>
      </c>
      <c r="S32" t="str">
        <f>VLOOKUP(A32,Data_NV!$A:$C,3,0)</f>
        <v xml:space="preserve"> Nguyễn Bảo Thạch    </v>
      </c>
      <c r="T32" t="str">
        <f>VLOOKUP(A32,Data_NV!$A:$E,4,0)</f>
        <v>Vận Hành</v>
      </c>
      <c r="U32" s="82">
        <f>DATEVALUE(Table2[[#This Row],[Ngày]])</f>
        <v>45930</v>
      </c>
      <c r="V32" t="str">
        <f>VLOOKUP(A32,Data_NV!$A:$E,5,0)</f>
        <v>Đang làm việc</v>
      </c>
      <c r="W32" s="10">
        <f>VLOOKUP(A32,Data_NV!$A:$I,8,0)</f>
        <v>0.3125</v>
      </c>
      <c r="X32" s="10">
        <f>VLOOKUP(A32,Data_NV!$A:$I,9,0)</f>
        <v>0.6875</v>
      </c>
      <c r="Y32" s="10">
        <f>IFERROR(TIMEVALUE(Table2[[#This Row],[Vào]]),0)</f>
        <v>0.30518518518518517</v>
      </c>
      <c r="Z32" s="10">
        <f>IFERROR(TIMEVALUE(Table2[[#This Row],[Ra]]),0)</f>
        <v>0.73327546296296298</v>
      </c>
      <c r="AA32" t="str">
        <f t="shared" si="3"/>
        <v>x</v>
      </c>
      <c r="AB32" s="105">
        <f t="shared" si="1"/>
        <v>0</v>
      </c>
      <c r="AC32" s="12" t="str">
        <f>IF(VLOOKUP(A32,Data_NV!$A:$I,7,0)="Không","",IF(OR(AND(Y32=0,Z32=0),AND(Y32&lt;&gt;0,Z32&lt;&gt;0)),"","Quên chấm công"))</f>
        <v/>
      </c>
      <c r="AD32" s="12">
        <f>IF(VLOOKUP(A32,Data_NV!$A:$I,7,0)="Không",0,IF(AND(Y32=0,Z32=0),0,IF(X32&lt;=Z32,0,ROUNDDOWN((X32-Z32)*24*60,0))))</f>
        <v>0</v>
      </c>
      <c r="AE32" s="12">
        <f>IF(VLOOKUP(A32,Data_NV!$A:$I,6,0)="Không",0,IF(Z32&lt;=X32,0,ROUNDDOWN((Z32-X32)*24*60,0)))</f>
        <v>0</v>
      </c>
      <c r="AF32" s="26">
        <f t="shared" si="2"/>
        <v>0</v>
      </c>
      <c r="AG32" s="27" t="str">
        <f>IF(AC32="","",IF(COUNTIFS($AC$3:AC32,"Quên chấm công",$S$3:S32,S32)&gt;3,"Không chấm công do vi phạm quá 3 lần",IF(COUNTIFS($AC$3:AC32,"Quên chấm công",$S$3:S32,S32)&gt;2,"Trừ toàn bộ chuyên cần tháng do vi phạm lần 3",IF(COUNTIFS($AC$3:AC32,"Quên chấm công",$S$3:S32,S32)&gt;1,"Trừ 1/2 ngày lương",50000))))</f>
        <v/>
      </c>
      <c r="AH32" s="12" t="str">
        <f>IF(AF32=0,"",IF(COUNTIFS($AF$3:AF32,"&gt;0",$S$3:S32,S32)&gt;3,"Trừ toàn bộ chuyên cần tháng",""))</f>
        <v/>
      </c>
      <c r="AI32" s="12"/>
    </row>
    <row r="33" spans="1:35" x14ac:dyDescent="0.25">
      <c r="A33" s="4" t="s">
        <v>141</v>
      </c>
      <c r="B33" s="1" t="s">
        <v>142</v>
      </c>
      <c r="C33" s="1" t="s">
        <v>20</v>
      </c>
      <c r="D33" s="1" t="s">
        <v>21</v>
      </c>
      <c r="E33" s="1" t="s">
        <v>22</v>
      </c>
      <c r="F33" s="1" t="s">
        <v>23</v>
      </c>
      <c r="G33" s="1" t="s">
        <v>12</v>
      </c>
      <c r="H33" s="1" t="s">
        <v>24</v>
      </c>
      <c r="I33" s="1" t="s">
        <v>24</v>
      </c>
      <c r="J33" s="1" t="s">
        <v>25</v>
      </c>
      <c r="K33" s="1" t="s">
        <v>25</v>
      </c>
      <c r="L33" s="1" t="s">
        <v>26</v>
      </c>
      <c r="M33" s="1" t="s">
        <v>25</v>
      </c>
      <c r="N33" s="1" t="s">
        <v>25</v>
      </c>
      <c r="O33" s="1" t="s">
        <v>25</v>
      </c>
      <c r="P33" s="1" t="s">
        <v>25</v>
      </c>
      <c r="Q33" s="1" t="s">
        <v>25</v>
      </c>
      <c r="R33" s="85" t="str">
        <f t="shared" si="0"/>
        <v>1045901</v>
      </c>
      <c r="S33" t="str">
        <f>VLOOKUP(A33,Data_NV!$A:$C,3,0)</f>
        <v xml:space="preserve"> Lê Kim Đãng   </v>
      </c>
      <c r="T33" t="str">
        <f>VLOOKUP(A33,Data_NV!$A:$E,4,0)</f>
        <v>Vận Hành</v>
      </c>
      <c r="U33" s="82">
        <f>DATEVALUE(Table2[[#This Row],[Ngày]])</f>
        <v>45901</v>
      </c>
      <c r="V33" t="str">
        <f>VLOOKUP(A33,Data_NV!$A:$E,5,0)</f>
        <v>Đang làm việc</v>
      </c>
      <c r="W33" s="10">
        <f>VLOOKUP(A33,Data_NV!$A:$I,8,0)</f>
        <v>0.3125</v>
      </c>
      <c r="X33" s="10">
        <f>VLOOKUP(A33,Data_NV!$A:$I,9,0)</f>
        <v>0.6875</v>
      </c>
      <c r="Y33" s="10">
        <f>IFERROR(TIMEVALUE(Table2[[#This Row],[Vào]]),0)</f>
        <v>0</v>
      </c>
      <c r="Z33" s="10">
        <f>IFERROR(TIMEVALUE(Table2[[#This Row],[Ra]]),0)</f>
        <v>0</v>
      </c>
      <c r="AA33" s="97" t="s">
        <v>1349</v>
      </c>
      <c r="AB33" s="105">
        <f t="shared" si="1"/>
        <v>0</v>
      </c>
      <c r="AC33" s="12" t="str">
        <f>IF(VLOOKUP(A33,Data_NV!$A:$I,7,0)="Không","",IF(OR(AND(Y33=0,Z33=0),AND(Y33&lt;&gt;0,Z33&lt;&gt;0)),"","Quên chấm công"))</f>
        <v/>
      </c>
      <c r="AD33" s="12">
        <f>IF(VLOOKUP(A33,Data_NV!$A:$I,7,0)="Không",0,IF(AND(Y33=0,Z33=0),0,IF(X33&lt;=Z33,0,ROUNDDOWN((X33-Z33)*24*60,0))))</f>
        <v>0</v>
      </c>
      <c r="AE33" s="12">
        <f>IF(VLOOKUP(A33,Data_NV!$A:$I,6,0)="Không",0,IF(Z33&lt;=X33,0,ROUNDDOWN((Z33-X33)*24*60,0)))</f>
        <v>0</v>
      </c>
      <c r="AF33" s="26">
        <f t="shared" si="2"/>
        <v>0</v>
      </c>
      <c r="AG33" s="27" t="str">
        <f>IF(AC33="","",IF(COUNTIFS($AC$3:AC33,"Quên chấm công",$S$3:S33,S33)&gt;3,"Không chấm công do vi phạm quá 3 lần",IF(COUNTIFS($AC$3:AC33,"Quên chấm công",$S$3:S33,S33)&gt;2,"Trừ toàn bộ chuyên cần tháng do vi phạm lần 3",IF(COUNTIFS($AC$3:AC33,"Quên chấm công",$S$3:S33,S33)&gt;1,"Trừ 1/2 ngày lương",50000))))</f>
        <v/>
      </c>
      <c r="AH33" s="12" t="str">
        <f>IF(AF33=0,"",IF(COUNTIFS($AF$3:AF33,"&gt;0",$S$3:S33,S33)&gt;3,"Trừ toàn bộ chuyên cần tháng",""))</f>
        <v/>
      </c>
      <c r="AI33" s="98" t="s">
        <v>1369</v>
      </c>
    </row>
    <row r="34" spans="1:35" x14ac:dyDescent="0.25">
      <c r="A34" s="4" t="s">
        <v>141</v>
      </c>
      <c r="B34" s="1" t="s">
        <v>142</v>
      </c>
      <c r="C34" s="1" t="s">
        <v>20</v>
      </c>
      <c r="D34" s="1" t="s">
        <v>27</v>
      </c>
      <c r="E34" s="1" t="s">
        <v>22</v>
      </c>
      <c r="F34" s="1" t="s">
        <v>23</v>
      </c>
      <c r="G34" s="1" t="s">
        <v>12</v>
      </c>
      <c r="H34" s="1" t="s">
        <v>24</v>
      </c>
      <c r="I34" s="1" t="s">
        <v>24</v>
      </c>
      <c r="J34" s="1" t="s">
        <v>25</v>
      </c>
      <c r="K34" s="1" t="s">
        <v>25</v>
      </c>
      <c r="L34" s="1" t="s">
        <v>26</v>
      </c>
      <c r="M34" s="1" t="s">
        <v>25</v>
      </c>
      <c r="N34" s="1" t="s">
        <v>25</v>
      </c>
      <c r="O34" s="1" t="s">
        <v>25</v>
      </c>
      <c r="P34" s="1" t="s">
        <v>25</v>
      </c>
      <c r="Q34" s="1" t="s">
        <v>25</v>
      </c>
      <c r="R34" s="85" t="str">
        <f t="shared" si="0"/>
        <v>1045902</v>
      </c>
      <c r="S34" t="str">
        <f>VLOOKUP(A34,Data_NV!$A:$C,3,0)</f>
        <v xml:space="preserve"> Lê Kim Đãng   </v>
      </c>
      <c r="T34" t="str">
        <f>VLOOKUP(A34,Data_NV!$A:$E,4,0)</f>
        <v>Vận Hành</v>
      </c>
      <c r="U34" s="82">
        <f>DATEVALUE(Table2[[#This Row],[Ngày]])</f>
        <v>45902</v>
      </c>
      <c r="V34" t="str">
        <f>VLOOKUP(A34,Data_NV!$A:$E,5,0)</f>
        <v>Đang làm việc</v>
      </c>
      <c r="W34" s="10">
        <f>VLOOKUP(A34,Data_NV!$A:$I,8,0)</f>
        <v>0.3125</v>
      </c>
      <c r="X34" s="10">
        <f>VLOOKUP(A34,Data_NV!$A:$I,9,0)</f>
        <v>0.6875</v>
      </c>
      <c r="Y34" s="10">
        <f>IFERROR(TIMEVALUE(Table2[[#This Row],[Vào]]),0)</f>
        <v>0</v>
      </c>
      <c r="Z34" s="10">
        <f>IFERROR(TIMEVALUE(Table2[[#This Row],[Ra]]),0)</f>
        <v>0</v>
      </c>
      <c r="AA34" s="97" t="s">
        <v>1349</v>
      </c>
      <c r="AB34" s="105">
        <f t="shared" si="1"/>
        <v>0</v>
      </c>
      <c r="AC34" s="12" t="str">
        <f>IF(VLOOKUP(A34,Data_NV!$A:$I,7,0)="Không","",IF(OR(AND(Y34=0,Z34=0),AND(Y34&lt;&gt;0,Z34&lt;&gt;0)),"","Quên chấm công"))</f>
        <v/>
      </c>
      <c r="AD34" s="12">
        <f>IF(VLOOKUP(A34,Data_NV!$A:$I,7,0)="Không",0,IF(AND(Y34=0,Z34=0),0,IF(X34&lt;=Z34,0,ROUNDDOWN((X34-Z34)*24*60,0))))</f>
        <v>0</v>
      </c>
      <c r="AE34" s="12">
        <f>IF(VLOOKUP(A34,Data_NV!$A:$I,6,0)="Không",0,IF(Z34&lt;=X34,0,ROUNDDOWN((Z34-X34)*24*60,0)))</f>
        <v>0</v>
      </c>
      <c r="AF34" s="26">
        <f t="shared" si="2"/>
        <v>0</v>
      </c>
      <c r="AG34" s="27" t="str">
        <f>IF(AC34="","",IF(COUNTIFS($AC$3:AC34,"Quên chấm công",$S$3:S34,S34)&gt;3,"Không chấm công do vi phạm quá 3 lần",IF(COUNTIFS($AC$3:AC34,"Quên chấm công",$S$3:S34,S34)&gt;2,"Trừ toàn bộ chuyên cần tháng do vi phạm lần 3",IF(COUNTIFS($AC$3:AC34,"Quên chấm công",$S$3:S34,S34)&gt;1,"Trừ 1/2 ngày lương",50000))))</f>
        <v/>
      </c>
      <c r="AH34" s="12" t="str">
        <f>IF(AF34=0,"",IF(COUNTIFS($AF$3:AF34,"&gt;0",$S$3:S34,S34)&gt;3,"Trừ toàn bộ chuyên cần tháng",""))</f>
        <v/>
      </c>
      <c r="AI34" s="98" t="s">
        <v>1369</v>
      </c>
    </row>
    <row r="35" spans="1:35" x14ac:dyDescent="0.25">
      <c r="A35" s="4" t="s">
        <v>141</v>
      </c>
      <c r="B35" s="1" t="s">
        <v>142</v>
      </c>
      <c r="C35" s="1" t="s">
        <v>20</v>
      </c>
      <c r="D35" s="1" t="s">
        <v>28</v>
      </c>
      <c r="E35" s="1" t="s">
        <v>22</v>
      </c>
      <c r="F35" s="1" t="s">
        <v>23</v>
      </c>
      <c r="G35" s="1" t="s">
        <v>12</v>
      </c>
      <c r="H35" s="1" t="s">
        <v>143</v>
      </c>
      <c r="I35" s="1" t="s">
        <v>24</v>
      </c>
      <c r="J35" s="1" t="s">
        <v>25</v>
      </c>
      <c r="K35" s="1" t="s">
        <v>25</v>
      </c>
      <c r="L35" s="1" t="s">
        <v>26</v>
      </c>
      <c r="M35" s="1" t="s">
        <v>25</v>
      </c>
      <c r="N35" s="1" t="s">
        <v>25</v>
      </c>
      <c r="O35" s="1" t="s">
        <v>25</v>
      </c>
      <c r="P35" s="1" t="s">
        <v>25</v>
      </c>
      <c r="Q35" s="1" t="s">
        <v>25</v>
      </c>
      <c r="R35" s="85" t="str">
        <f t="shared" si="0"/>
        <v>1045903</v>
      </c>
      <c r="S35" t="str">
        <f>VLOOKUP(A35,Data_NV!$A:$C,3,0)</f>
        <v xml:space="preserve"> Lê Kim Đãng   </v>
      </c>
      <c r="T35" t="str">
        <f>VLOOKUP(A35,Data_NV!$A:$E,4,0)</f>
        <v>Vận Hành</v>
      </c>
      <c r="U35" s="82">
        <f>DATEVALUE(Table2[[#This Row],[Ngày]])</f>
        <v>45903</v>
      </c>
      <c r="V35" t="str">
        <f>VLOOKUP(A35,Data_NV!$A:$E,5,0)</f>
        <v>Đang làm việc</v>
      </c>
      <c r="W35" s="10">
        <f>VLOOKUP(A35,Data_NV!$A:$I,8,0)</f>
        <v>0.3125</v>
      </c>
      <c r="X35" s="10">
        <f>VLOOKUP(A35,Data_NV!$A:$I,9,0)</f>
        <v>0.6875</v>
      </c>
      <c r="Y35" s="10">
        <f>IFERROR(TIMEVALUE(Table2[[#This Row],[Vào]]),0)</f>
        <v>0.27721064814814816</v>
      </c>
      <c r="Z35" s="10">
        <f>IFERROR(TIMEVALUE(Table2[[#This Row],[Ra]]),0)</f>
        <v>0</v>
      </c>
      <c r="AA35" t="str">
        <f t="shared" si="3"/>
        <v>x</v>
      </c>
      <c r="AB35" s="105">
        <f t="shared" si="1"/>
        <v>0</v>
      </c>
      <c r="AC35" s="12" t="str">
        <f>IF(VLOOKUP(A35,Data_NV!$A:$I,7,0)="Không","",IF(OR(AND(Y35=0,Z35=0),AND(Y35&lt;&gt;0,Z35&lt;&gt;0)),"","Quên chấm công"))</f>
        <v/>
      </c>
      <c r="AD35" s="12">
        <f>IF(VLOOKUP(A35,Data_NV!$A:$I,7,0)="Không",0,IF(AND(Y35=0,Z35=0),0,IF(X35&lt;=Z35,0,ROUNDDOWN((X35-Z35)*24*60,0))))</f>
        <v>0</v>
      </c>
      <c r="AE35" s="12">
        <f>IF(VLOOKUP(A35,Data_NV!$A:$I,6,0)="Không",0,IF(Z35&lt;=X35,0,ROUNDDOWN((Z35-X35)*24*60,0)))</f>
        <v>0</v>
      </c>
      <c r="AF35" s="26">
        <f t="shared" si="2"/>
        <v>0</v>
      </c>
      <c r="AG35" s="27" t="str">
        <f>IF(AC35="","",IF(COUNTIFS($AC$3:AC35,"Quên chấm công",$S$3:S35,S35)&gt;3,"Không chấm công do vi phạm quá 3 lần",IF(COUNTIFS($AC$3:AC35,"Quên chấm công",$S$3:S35,S35)&gt;2,"Trừ toàn bộ chuyên cần tháng do vi phạm lần 3",IF(COUNTIFS($AC$3:AC35,"Quên chấm công",$S$3:S35,S35)&gt;1,"Trừ 1/2 ngày lương",50000))))</f>
        <v/>
      </c>
      <c r="AH35" s="12" t="str">
        <f>IF(AF35=0,"",IF(COUNTIFS($AF$3:AF35,"&gt;0",$S$3:S35,S35)&gt;3,"Trừ toàn bộ chuyên cần tháng",""))</f>
        <v/>
      </c>
      <c r="AI35" s="12"/>
    </row>
    <row r="36" spans="1:35" x14ac:dyDescent="0.25">
      <c r="A36" s="4" t="s">
        <v>141</v>
      </c>
      <c r="B36" s="1" t="s">
        <v>142</v>
      </c>
      <c r="C36" s="1" t="s">
        <v>20</v>
      </c>
      <c r="D36" s="1" t="s">
        <v>35</v>
      </c>
      <c r="E36" s="1" t="s">
        <v>22</v>
      </c>
      <c r="F36" s="1" t="s">
        <v>23</v>
      </c>
      <c r="G36" s="1" t="s">
        <v>12</v>
      </c>
      <c r="H36" s="1" t="s">
        <v>144</v>
      </c>
      <c r="I36" s="1" t="s">
        <v>24</v>
      </c>
      <c r="J36" s="1" t="s">
        <v>25</v>
      </c>
      <c r="K36" s="1" t="s">
        <v>25</v>
      </c>
      <c r="L36" s="1" t="s">
        <v>26</v>
      </c>
      <c r="M36" s="1" t="s">
        <v>25</v>
      </c>
      <c r="N36" s="1" t="s">
        <v>25</v>
      </c>
      <c r="O36" s="1" t="s">
        <v>25</v>
      </c>
      <c r="P36" s="1" t="s">
        <v>25</v>
      </c>
      <c r="Q36" s="1" t="s">
        <v>25</v>
      </c>
      <c r="R36" s="85" t="str">
        <f t="shared" si="0"/>
        <v>1045904</v>
      </c>
      <c r="S36" t="str">
        <f>VLOOKUP(A36,Data_NV!$A:$C,3,0)</f>
        <v xml:space="preserve"> Lê Kim Đãng   </v>
      </c>
      <c r="T36" t="str">
        <f>VLOOKUP(A36,Data_NV!$A:$E,4,0)</f>
        <v>Vận Hành</v>
      </c>
      <c r="U36" s="82">
        <f>DATEVALUE(Table2[[#This Row],[Ngày]])</f>
        <v>45904</v>
      </c>
      <c r="V36" t="str">
        <f>VLOOKUP(A36,Data_NV!$A:$E,5,0)</f>
        <v>Đang làm việc</v>
      </c>
      <c r="W36" s="10">
        <f>VLOOKUP(A36,Data_NV!$A:$I,8,0)</f>
        <v>0.3125</v>
      </c>
      <c r="X36" s="10">
        <f>VLOOKUP(A36,Data_NV!$A:$I,9,0)</f>
        <v>0.6875</v>
      </c>
      <c r="Y36" s="10">
        <f>IFERROR(TIMEVALUE(Table2[[#This Row],[Vào]]),0)</f>
        <v>0.28098379629629627</v>
      </c>
      <c r="Z36" s="10">
        <f>IFERROR(TIMEVALUE(Table2[[#This Row],[Ra]]),0)</f>
        <v>0</v>
      </c>
      <c r="AA36" t="str">
        <f t="shared" si="3"/>
        <v>x</v>
      </c>
      <c r="AB36" s="105">
        <f t="shared" si="1"/>
        <v>0</v>
      </c>
      <c r="AC36" s="12" t="str">
        <f>IF(VLOOKUP(A36,Data_NV!$A:$I,7,0)="Không","",IF(OR(AND(Y36=0,Z36=0),AND(Y36&lt;&gt;0,Z36&lt;&gt;0)),"","Quên chấm công"))</f>
        <v/>
      </c>
      <c r="AD36" s="12">
        <f>IF(VLOOKUP(A36,Data_NV!$A:$I,7,0)="Không",0,IF(AND(Y36=0,Z36=0),0,IF(X36&lt;=Z36,0,ROUNDDOWN((X36-Z36)*24*60,0))))</f>
        <v>0</v>
      </c>
      <c r="AE36" s="12">
        <f>IF(VLOOKUP(A36,Data_NV!$A:$I,6,0)="Không",0,IF(Z36&lt;=X36,0,ROUNDDOWN((Z36-X36)*24*60,0)))</f>
        <v>0</v>
      </c>
      <c r="AF36" s="26">
        <f t="shared" si="2"/>
        <v>0</v>
      </c>
      <c r="AG36" s="27" t="str">
        <f>IF(AC36="","",IF(COUNTIFS($AC$3:AC36,"Quên chấm công",$S$3:S36,S36)&gt;3,"Không chấm công do vi phạm quá 3 lần",IF(COUNTIFS($AC$3:AC36,"Quên chấm công",$S$3:S36,S36)&gt;2,"Trừ toàn bộ chuyên cần tháng do vi phạm lần 3",IF(COUNTIFS($AC$3:AC36,"Quên chấm công",$S$3:S36,S36)&gt;1,"Trừ 1/2 ngày lương",50000))))</f>
        <v/>
      </c>
      <c r="AH36" s="12" t="str">
        <f>IF(AF36=0,"",IF(COUNTIFS($AF$3:AF36,"&gt;0",$S$3:S36,S36)&gt;3,"Trừ toàn bộ chuyên cần tháng",""))</f>
        <v/>
      </c>
      <c r="AI36" s="12"/>
    </row>
    <row r="37" spans="1:35" x14ac:dyDescent="0.25">
      <c r="A37" s="4" t="s">
        <v>141</v>
      </c>
      <c r="B37" s="1" t="s">
        <v>142</v>
      </c>
      <c r="C37" s="1" t="s">
        <v>20</v>
      </c>
      <c r="D37" s="1" t="s">
        <v>37</v>
      </c>
      <c r="E37" s="1" t="s">
        <v>22</v>
      </c>
      <c r="F37" s="1" t="s">
        <v>23</v>
      </c>
      <c r="G37" s="1" t="s">
        <v>12</v>
      </c>
      <c r="H37" s="1" t="s">
        <v>145</v>
      </c>
      <c r="I37" s="1" t="s">
        <v>24</v>
      </c>
      <c r="J37" s="1" t="s">
        <v>25</v>
      </c>
      <c r="K37" s="1" t="s">
        <v>25</v>
      </c>
      <c r="L37" s="1" t="s">
        <v>26</v>
      </c>
      <c r="M37" s="1" t="s">
        <v>25</v>
      </c>
      <c r="N37" s="1" t="s">
        <v>25</v>
      </c>
      <c r="O37" s="1" t="s">
        <v>25</v>
      </c>
      <c r="P37" s="1" t="s">
        <v>25</v>
      </c>
      <c r="Q37" s="1" t="s">
        <v>25</v>
      </c>
      <c r="R37" s="85" t="str">
        <f t="shared" si="0"/>
        <v>1045905</v>
      </c>
      <c r="S37" t="str">
        <f>VLOOKUP(A37,Data_NV!$A:$C,3,0)</f>
        <v xml:space="preserve"> Lê Kim Đãng   </v>
      </c>
      <c r="T37" t="str">
        <f>VLOOKUP(A37,Data_NV!$A:$E,4,0)</f>
        <v>Vận Hành</v>
      </c>
      <c r="U37" s="82">
        <f>DATEVALUE(Table2[[#This Row],[Ngày]])</f>
        <v>45905</v>
      </c>
      <c r="V37" t="str">
        <f>VLOOKUP(A37,Data_NV!$A:$E,5,0)</f>
        <v>Đang làm việc</v>
      </c>
      <c r="W37" s="10">
        <f>VLOOKUP(A37,Data_NV!$A:$I,8,0)</f>
        <v>0.3125</v>
      </c>
      <c r="X37" s="10">
        <f>VLOOKUP(A37,Data_NV!$A:$I,9,0)</f>
        <v>0.6875</v>
      </c>
      <c r="Y37" s="10">
        <f>IFERROR(TIMEVALUE(Table2[[#This Row],[Vào]]),0)</f>
        <v>0.20898148148148149</v>
      </c>
      <c r="Z37" s="10">
        <f>IFERROR(TIMEVALUE(Table2[[#This Row],[Ra]]),0)</f>
        <v>0</v>
      </c>
      <c r="AA37" t="str">
        <f t="shared" si="3"/>
        <v>x</v>
      </c>
      <c r="AB37" s="105">
        <f t="shared" si="1"/>
        <v>0</v>
      </c>
      <c r="AC37" s="12" t="str">
        <f>IF(VLOOKUP(A37,Data_NV!$A:$I,7,0)="Không","",IF(OR(AND(Y37=0,Z37=0),AND(Y37&lt;&gt;0,Z37&lt;&gt;0)),"","Quên chấm công"))</f>
        <v/>
      </c>
      <c r="AD37" s="12">
        <f>IF(VLOOKUP(A37,Data_NV!$A:$I,7,0)="Không",0,IF(AND(Y37=0,Z37=0),0,IF(X37&lt;=Z37,0,ROUNDDOWN((X37-Z37)*24*60,0))))</f>
        <v>0</v>
      </c>
      <c r="AE37" s="12">
        <f>IF(VLOOKUP(A37,Data_NV!$A:$I,6,0)="Không",0,IF(Z37&lt;=X37,0,ROUNDDOWN((Z37-X37)*24*60,0)))</f>
        <v>0</v>
      </c>
      <c r="AF37" s="26">
        <f t="shared" si="2"/>
        <v>0</v>
      </c>
      <c r="AG37" s="27" t="str">
        <f>IF(AC37="","",IF(COUNTIFS($AC$3:AC37,"Quên chấm công",$S$3:S37,S37)&gt;3,"Không chấm công do vi phạm quá 3 lần",IF(COUNTIFS($AC$3:AC37,"Quên chấm công",$S$3:S37,S37)&gt;2,"Trừ toàn bộ chuyên cần tháng do vi phạm lần 3",IF(COUNTIFS($AC$3:AC37,"Quên chấm công",$S$3:S37,S37)&gt;1,"Trừ 1/2 ngày lương",50000))))</f>
        <v/>
      </c>
      <c r="AH37" s="12" t="str">
        <f>IF(AF37=0,"",IF(COUNTIFS($AF$3:AF37,"&gt;0",$S$3:S37,S37)&gt;3,"Trừ toàn bộ chuyên cần tháng",""))</f>
        <v/>
      </c>
      <c r="AI37" s="12"/>
    </row>
    <row r="38" spans="1:35" x14ac:dyDescent="0.25">
      <c r="A38" s="4" t="s">
        <v>141</v>
      </c>
      <c r="B38" s="1" t="s">
        <v>142</v>
      </c>
      <c r="C38" s="1" t="s">
        <v>20</v>
      </c>
      <c r="D38" s="1" t="s">
        <v>42</v>
      </c>
      <c r="E38" s="1" t="s">
        <v>22</v>
      </c>
      <c r="F38" s="1" t="s">
        <v>23</v>
      </c>
      <c r="G38" s="1" t="s">
        <v>12</v>
      </c>
      <c r="H38" s="1" t="s">
        <v>24</v>
      </c>
      <c r="I38" s="1" t="s">
        <v>24</v>
      </c>
      <c r="J38" s="1" t="s">
        <v>25</v>
      </c>
      <c r="K38" s="1" t="s">
        <v>25</v>
      </c>
      <c r="L38" s="1" t="s">
        <v>26</v>
      </c>
      <c r="M38" s="1" t="s">
        <v>25</v>
      </c>
      <c r="N38" s="1" t="s">
        <v>25</v>
      </c>
      <c r="O38" s="1" t="s">
        <v>25</v>
      </c>
      <c r="P38" s="1" t="s">
        <v>25</v>
      </c>
      <c r="Q38" s="1" t="s">
        <v>25</v>
      </c>
      <c r="R38" s="85" t="str">
        <f t="shared" si="0"/>
        <v>1045906</v>
      </c>
      <c r="S38" t="str">
        <f>VLOOKUP(A38,Data_NV!$A:$C,3,0)</f>
        <v xml:space="preserve"> Lê Kim Đãng   </v>
      </c>
      <c r="T38" t="str">
        <f>VLOOKUP(A38,Data_NV!$A:$E,4,0)</f>
        <v>Vận Hành</v>
      </c>
      <c r="U38" s="82">
        <f>DATEVALUE(Table2[[#This Row],[Ngày]])</f>
        <v>45906</v>
      </c>
      <c r="V38" t="str">
        <f>VLOOKUP(A38,Data_NV!$A:$E,5,0)</f>
        <v>Đang làm việc</v>
      </c>
      <c r="W38" s="10">
        <f>VLOOKUP(A38,Data_NV!$A:$I,8,0)</f>
        <v>0.3125</v>
      </c>
      <c r="X38" s="10">
        <f>VLOOKUP(A38,Data_NV!$A:$I,9,0)</f>
        <v>0.6875</v>
      </c>
      <c r="Y38" s="10">
        <f>IFERROR(TIMEVALUE(Table2[[#This Row],[Vào]]),0)</f>
        <v>0</v>
      </c>
      <c r="Z38" s="10">
        <f>IFERROR(TIMEVALUE(Table2[[#This Row],[Ra]]),0)</f>
        <v>0</v>
      </c>
      <c r="AA38" t="s">
        <v>1341</v>
      </c>
      <c r="AB38" s="105">
        <f t="shared" si="1"/>
        <v>0</v>
      </c>
      <c r="AC38" s="12" t="str">
        <f>IF(VLOOKUP(A38,Data_NV!$A:$I,7,0)="Không","",IF(OR(AND(Y38=0,Z38=0),AND(Y38&lt;&gt;0,Z38&lt;&gt;0)),"","Quên chấm công"))</f>
        <v/>
      </c>
      <c r="AD38" s="12">
        <f>IF(VLOOKUP(A38,Data_NV!$A:$I,7,0)="Không",0,IF(AND(Y38=0,Z38=0),0,IF(X38&lt;=Z38,0,ROUNDDOWN((X38-Z38)*24*60,0))))</f>
        <v>0</v>
      </c>
      <c r="AE38" s="12">
        <f>IF(VLOOKUP(A38,Data_NV!$A:$I,6,0)="Không",0,IF(Z38&lt;=X38,0,ROUNDDOWN((Z38-X38)*24*60,0)))</f>
        <v>0</v>
      </c>
      <c r="AF38" s="26">
        <f t="shared" si="2"/>
        <v>0</v>
      </c>
      <c r="AG38" s="27" t="str">
        <f>IF(AC38="","",IF(COUNTIFS($AC$3:AC38,"Quên chấm công",$S$3:S38,S38)&gt;3,"Không chấm công do vi phạm quá 3 lần",IF(COUNTIFS($AC$3:AC38,"Quên chấm công",$S$3:S38,S38)&gt;2,"Trừ toàn bộ chuyên cần tháng do vi phạm lần 3",IF(COUNTIFS($AC$3:AC38,"Quên chấm công",$S$3:S38,S38)&gt;1,"Trừ 1/2 ngày lương",50000))))</f>
        <v/>
      </c>
      <c r="AH38" s="12" t="str">
        <f>IF(AF38=0,"",IF(COUNTIFS($AF$3:AF38,"&gt;0",$S$3:S38,S38)&gt;3,"Trừ toàn bộ chuyên cần tháng",""))</f>
        <v/>
      </c>
      <c r="AI38" s="12" t="s">
        <v>1398</v>
      </c>
    </row>
    <row r="39" spans="1:35" x14ac:dyDescent="0.25">
      <c r="A39" s="4" t="s">
        <v>141</v>
      </c>
      <c r="B39" s="1" t="s">
        <v>142</v>
      </c>
      <c r="C39" s="1" t="s">
        <v>20</v>
      </c>
      <c r="D39" s="1" t="s">
        <v>47</v>
      </c>
      <c r="E39" s="1" t="s">
        <v>22</v>
      </c>
      <c r="F39" s="1" t="s">
        <v>23</v>
      </c>
      <c r="G39" s="1" t="s">
        <v>12</v>
      </c>
      <c r="H39" s="1" t="s">
        <v>24</v>
      </c>
      <c r="I39" s="1" t="s">
        <v>24</v>
      </c>
      <c r="J39" s="1" t="s">
        <v>25</v>
      </c>
      <c r="K39" s="1" t="s">
        <v>25</v>
      </c>
      <c r="L39" s="1" t="s">
        <v>26</v>
      </c>
      <c r="M39" s="1" t="s">
        <v>25</v>
      </c>
      <c r="N39" s="1" t="s">
        <v>25</v>
      </c>
      <c r="O39" s="1" t="s">
        <v>25</v>
      </c>
      <c r="P39" s="1" t="s">
        <v>25</v>
      </c>
      <c r="Q39" s="1" t="s">
        <v>25</v>
      </c>
      <c r="R39" s="85" t="str">
        <f t="shared" si="0"/>
        <v>1045907</v>
      </c>
      <c r="S39" t="str">
        <f>VLOOKUP(A39,Data_NV!$A:$C,3,0)</f>
        <v xml:space="preserve"> Lê Kim Đãng   </v>
      </c>
      <c r="T39" t="str">
        <f>VLOOKUP(A39,Data_NV!$A:$E,4,0)</f>
        <v>Vận Hành</v>
      </c>
      <c r="U39" s="82">
        <f>DATEVALUE(Table2[[#This Row],[Ngày]])</f>
        <v>45907</v>
      </c>
      <c r="V39" t="str">
        <f>VLOOKUP(A39,Data_NV!$A:$E,5,0)</f>
        <v>Đang làm việc</v>
      </c>
      <c r="W39" s="10">
        <f>VLOOKUP(A39,Data_NV!$A:$I,8,0)</f>
        <v>0.3125</v>
      </c>
      <c r="X39" s="10">
        <f>VLOOKUP(A39,Data_NV!$A:$I,9,0)</f>
        <v>0.6875</v>
      </c>
      <c r="Y39" s="10">
        <f>IFERROR(TIMEVALUE(Table2[[#This Row],[Vào]]),0)</f>
        <v>0</v>
      </c>
      <c r="Z39" s="10">
        <f>IFERROR(TIMEVALUE(Table2[[#This Row],[Ra]]),0)</f>
        <v>0</v>
      </c>
      <c r="AA39" t="str">
        <f t="shared" si="3"/>
        <v>Chủ nhật</v>
      </c>
      <c r="AB39" s="105">
        <f t="shared" si="1"/>
        <v>0</v>
      </c>
      <c r="AC39" s="12" t="str">
        <f>IF(VLOOKUP(A39,Data_NV!$A:$I,7,0)="Không","",IF(OR(AND(Y39=0,Z39=0),AND(Y39&lt;&gt;0,Z39&lt;&gt;0)),"","Quên chấm công"))</f>
        <v/>
      </c>
      <c r="AD39" s="12">
        <f>IF(VLOOKUP(A39,Data_NV!$A:$I,7,0)="Không",0,IF(AND(Y39=0,Z39=0),0,IF(X39&lt;=Z39,0,ROUNDDOWN((X39-Z39)*24*60,0))))</f>
        <v>0</v>
      </c>
      <c r="AE39" s="12">
        <f>IF(VLOOKUP(A39,Data_NV!$A:$I,6,0)="Không",0,IF(Z39&lt;=X39,0,ROUNDDOWN((Z39-X39)*24*60,0)))</f>
        <v>0</v>
      </c>
      <c r="AF39" s="26">
        <f t="shared" si="2"/>
        <v>0</v>
      </c>
      <c r="AG39" s="27" t="str">
        <f>IF(AC39="","",IF(COUNTIFS($AC$3:AC39,"Quên chấm công",$S$3:S39,S39)&gt;3,"Không chấm công do vi phạm quá 3 lần",IF(COUNTIFS($AC$3:AC39,"Quên chấm công",$S$3:S39,S39)&gt;2,"Trừ toàn bộ chuyên cần tháng do vi phạm lần 3",IF(COUNTIFS($AC$3:AC39,"Quên chấm công",$S$3:S39,S39)&gt;1,"Trừ 1/2 ngày lương",50000))))</f>
        <v/>
      </c>
      <c r="AH39" s="12" t="str">
        <f>IF(AF39=0,"",IF(COUNTIFS($AF$3:AF39,"&gt;0",$S$3:S39,S39)&gt;3,"Trừ toàn bộ chuyên cần tháng",""))</f>
        <v/>
      </c>
      <c r="AI39" s="12"/>
    </row>
    <row r="40" spans="1:35" x14ac:dyDescent="0.25">
      <c r="A40" s="4" t="s">
        <v>141</v>
      </c>
      <c r="B40" s="1" t="s">
        <v>142</v>
      </c>
      <c r="C40" s="1" t="s">
        <v>20</v>
      </c>
      <c r="D40" s="1" t="s">
        <v>48</v>
      </c>
      <c r="E40" s="1" t="s">
        <v>22</v>
      </c>
      <c r="F40" s="1" t="s">
        <v>23</v>
      </c>
      <c r="G40" s="1" t="s">
        <v>12</v>
      </c>
      <c r="H40" s="1" t="s">
        <v>146</v>
      </c>
      <c r="I40" s="1" t="s">
        <v>24</v>
      </c>
      <c r="J40" s="1" t="s">
        <v>25</v>
      </c>
      <c r="K40" s="1" t="s">
        <v>25</v>
      </c>
      <c r="L40" s="1" t="s">
        <v>26</v>
      </c>
      <c r="M40" s="1" t="s">
        <v>25</v>
      </c>
      <c r="N40" s="1" t="s">
        <v>25</v>
      </c>
      <c r="O40" s="1" t="s">
        <v>25</v>
      </c>
      <c r="P40" s="1" t="s">
        <v>25</v>
      </c>
      <c r="Q40" s="1" t="s">
        <v>25</v>
      </c>
      <c r="R40" s="85" t="str">
        <f t="shared" si="0"/>
        <v>1045908</v>
      </c>
      <c r="S40" t="str">
        <f>VLOOKUP(A40,Data_NV!$A:$C,3,0)</f>
        <v xml:space="preserve"> Lê Kim Đãng   </v>
      </c>
      <c r="T40" t="str">
        <f>VLOOKUP(A40,Data_NV!$A:$E,4,0)</f>
        <v>Vận Hành</v>
      </c>
      <c r="U40" s="82">
        <f>DATEVALUE(Table2[[#This Row],[Ngày]])</f>
        <v>45908</v>
      </c>
      <c r="V40" t="str">
        <f>VLOOKUP(A40,Data_NV!$A:$E,5,0)</f>
        <v>Đang làm việc</v>
      </c>
      <c r="W40" s="10">
        <f>VLOOKUP(A40,Data_NV!$A:$I,8,0)</f>
        <v>0.3125</v>
      </c>
      <c r="X40" s="10">
        <f>VLOOKUP(A40,Data_NV!$A:$I,9,0)</f>
        <v>0.6875</v>
      </c>
      <c r="Y40" s="10">
        <f>IFERROR(TIMEVALUE(Table2[[#This Row],[Vào]]),0)</f>
        <v>0.28466435185185185</v>
      </c>
      <c r="Z40" s="10">
        <f>IFERROR(TIMEVALUE(Table2[[#This Row],[Ra]]),0)</f>
        <v>0</v>
      </c>
      <c r="AA40" t="str">
        <f t="shared" si="3"/>
        <v>x</v>
      </c>
      <c r="AB40" s="105">
        <f t="shared" si="1"/>
        <v>0</v>
      </c>
      <c r="AC40" s="12" t="str">
        <f>IF(VLOOKUP(A40,Data_NV!$A:$I,7,0)="Không","",IF(OR(AND(Y40=0,Z40=0),AND(Y40&lt;&gt;0,Z40&lt;&gt;0)),"","Quên chấm công"))</f>
        <v/>
      </c>
      <c r="AD40" s="12">
        <f>IF(VLOOKUP(A40,Data_NV!$A:$I,7,0)="Không",0,IF(AND(Y40=0,Z40=0),0,IF(X40&lt;=Z40,0,ROUNDDOWN((X40-Z40)*24*60,0))))</f>
        <v>0</v>
      </c>
      <c r="AE40" s="12">
        <f>IF(VLOOKUP(A40,Data_NV!$A:$I,6,0)="Không",0,IF(Z40&lt;=X40,0,ROUNDDOWN((Z40-X40)*24*60,0)))</f>
        <v>0</v>
      </c>
      <c r="AF40" s="26">
        <f t="shared" si="2"/>
        <v>0</v>
      </c>
      <c r="AG40" s="27" t="str">
        <f>IF(AC40="","",IF(COUNTIFS($AC$3:AC40,"Quên chấm công",$S$3:S40,S40)&gt;3,"Không chấm công do vi phạm quá 3 lần",IF(COUNTIFS($AC$3:AC40,"Quên chấm công",$S$3:S40,S40)&gt;2,"Trừ toàn bộ chuyên cần tháng do vi phạm lần 3",IF(COUNTIFS($AC$3:AC40,"Quên chấm công",$S$3:S40,S40)&gt;1,"Trừ 1/2 ngày lương",50000))))</f>
        <v/>
      </c>
      <c r="AH40" s="12" t="str">
        <f>IF(AF40=0,"",IF(COUNTIFS($AF$3:AF40,"&gt;0",$S$3:S40,S40)&gt;3,"Trừ toàn bộ chuyên cần tháng",""))</f>
        <v/>
      </c>
      <c r="AI40" s="12"/>
    </row>
    <row r="41" spans="1:35" x14ac:dyDescent="0.25">
      <c r="A41" s="4" t="s">
        <v>141</v>
      </c>
      <c r="B41" s="1" t="s">
        <v>142</v>
      </c>
      <c r="C41" s="1" t="s">
        <v>20</v>
      </c>
      <c r="D41" s="1" t="s">
        <v>53</v>
      </c>
      <c r="E41" s="1" t="s">
        <v>22</v>
      </c>
      <c r="F41" s="1" t="s">
        <v>23</v>
      </c>
      <c r="G41" s="1" t="s">
        <v>12</v>
      </c>
      <c r="H41" s="1" t="s">
        <v>147</v>
      </c>
      <c r="I41" s="1" t="s">
        <v>24</v>
      </c>
      <c r="J41" s="1" t="s">
        <v>25</v>
      </c>
      <c r="K41" s="1" t="s">
        <v>25</v>
      </c>
      <c r="L41" s="1" t="s">
        <v>26</v>
      </c>
      <c r="M41" s="1" t="s">
        <v>25</v>
      </c>
      <c r="N41" s="1" t="s">
        <v>25</v>
      </c>
      <c r="O41" s="1" t="s">
        <v>25</v>
      </c>
      <c r="P41" s="1" t="s">
        <v>25</v>
      </c>
      <c r="Q41" s="1" t="s">
        <v>25</v>
      </c>
      <c r="R41" s="85" t="str">
        <f t="shared" si="0"/>
        <v>1045909</v>
      </c>
      <c r="S41" t="str">
        <f>VLOOKUP(A41,Data_NV!$A:$C,3,0)</f>
        <v xml:space="preserve"> Lê Kim Đãng   </v>
      </c>
      <c r="T41" t="str">
        <f>VLOOKUP(A41,Data_NV!$A:$E,4,0)</f>
        <v>Vận Hành</v>
      </c>
      <c r="U41" s="82">
        <f>DATEVALUE(Table2[[#This Row],[Ngày]])</f>
        <v>45909</v>
      </c>
      <c r="V41" t="str">
        <f>VLOOKUP(A41,Data_NV!$A:$E,5,0)</f>
        <v>Đang làm việc</v>
      </c>
      <c r="W41" s="10">
        <f>VLOOKUP(A41,Data_NV!$A:$I,8,0)</f>
        <v>0.3125</v>
      </c>
      <c r="X41" s="10">
        <f>VLOOKUP(A41,Data_NV!$A:$I,9,0)</f>
        <v>0.6875</v>
      </c>
      <c r="Y41" s="10">
        <f>IFERROR(TIMEVALUE(Table2[[#This Row],[Vào]]),0)</f>
        <v>0.28019675925925924</v>
      </c>
      <c r="Z41" s="10">
        <f>IFERROR(TIMEVALUE(Table2[[#This Row],[Ra]]),0)</f>
        <v>0</v>
      </c>
      <c r="AA41" t="str">
        <f t="shared" si="3"/>
        <v>x</v>
      </c>
      <c r="AB41" s="105">
        <f t="shared" si="1"/>
        <v>0</v>
      </c>
      <c r="AC41" s="12" t="str">
        <f>IF(VLOOKUP(A41,Data_NV!$A:$I,7,0)="Không","",IF(OR(AND(Y41=0,Z41=0),AND(Y41&lt;&gt;0,Z41&lt;&gt;0)),"","Quên chấm công"))</f>
        <v/>
      </c>
      <c r="AD41" s="12">
        <f>IF(VLOOKUP(A41,Data_NV!$A:$I,7,0)="Không",0,IF(AND(Y41=0,Z41=0),0,IF(X41&lt;=Z41,0,ROUNDDOWN((X41-Z41)*24*60,0))))</f>
        <v>0</v>
      </c>
      <c r="AE41" s="12">
        <f>IF(VLOOKUP(A41,Data_NV!$A:$I,6,0)="Không",0,IF(Z41&lt;=X41,0,ROUNDDOWN((Z41-X41)*24*60,0)))</f>
        <v>0</v>
      </c>
      <c r="AF41" s="26">
        <f t="shared" si="2"/>
        <v>0</v>
      </c>
      <c r="AG41" s="27" t="str">
        <f>IF(AC41="","",IF(COUNTIFS($AC$3:AC41,"Quên chấm công",$S$3:S41,S41)&gt;3,"Không chấm công do vi phạm quá 3 lần",IF(COUNTIFS($AC$3:AC41,"Quên chấm công",$S$3:S41,S41)&gt;2,"Trừ toàn bộ chuyên cần tháng do vi phạm lần 3",IF(COUNTIFS($AC$3:AC41,"Quên chấm công",$S$3:S41,S41)&gt;1,"Trừ 1/2 ngày lương",50000))))</f>
        <v/>
      </c>
      <c r="AH41" s="12" t="str">
        <f>IF(AF41=0,"",IF(COUNTIFS($AF$3:AF41,"&gt;0",$S$3:S41,S41)&gt;3,"Trừ toàn bộ chuyên cần tháng",""))</f>
        <v/>
      </c>
      <c r="AI41" s="12"/>
    </row>
    <row r="42" spans="1:35" x14ac:dyDescent="0.25">
      <c r="A42" s="4" t="s">
        <v>141</v>
      </c>
      <c r="B42" s="1" t="s">
        <v>142</v>
      </c>
      <c r="C42" s="1" t="s">
        <v>20</v>
      </c>
      <c r="D42" s="1" t="s">
        <v>58</v>
      </c>
      <c r="E42" s="1" t="s">
        <v>22</v>
      </c>
      <c r="F42" s="1" t="s">
        <v>23</v>
      </c>
      <c r="G42" s="1" t="s">
        <v>12</v>
      </c>
      <c r="H42" s="1" t="s">
        <v>148</v>
      </c>
      <c r="I42" s="1" t="s">
        <v>24</v>
      </c>
      <c r="J42" s="1" t="s">
        <v>25</v>
      </c>
      <c r="K42" s="1" t="s">
        <v>25</v>
      </c>
      <c r="L42" s="1" t="s">
        <v>26</v>
      </c>
      <c r="M42" s="1" t="s">
        <v>25</v>
      </c>
      <c r="N42" s="1" t="s">
        <v>25</v>
      </c>
      <c r="O42" s="1" t="s">
        <v>25</v>
      </c>
      <c r="P42" s="1" t="s">
        <v>25</v>
      </c>
      <c r="Q42" s="1" t="s">
        <v>25</v>
      </c>
      <c r="R42" s="85" t="str">
        <f t="shared" si="0"/>
        <v>1045910</v>
      </c>
      <c r="S42" t="str">
        <f>VLOOKUP(A42,Data_NV!$A:$C,3,0)</f>
        <v xml:space="preserve"> Lê Kim Đãng   </v>
      </c>
      <c r="T42" t="str">
        <f>VLOOKUP(A42,Data_NV!$A:$E,4,0)</f>
        <v>Vận Hành</v>
      </c>
      <c r="U42" s="82">
        <f>DATEVALUE(Table2[[#This Row],[Ngày]])</f>
        <v>45910</v>
      </c>
      <c r="V42" t="str">
        <f>VLOOKUP(A42,Data_NV!$A:$E,5,0)</f>
        <v>Đang làm việc</v>
      </c>
      <c r="W42" s="10">
        <f>VLOOKUP(A42,Data_NV!$A:$I,8,0)</f>
        <v>0.3125</v>
      </c>
      <c r="X42" s="10">
        <f>VLOOKUP(A42,Data_NV!$A:$I,9,0)</f>
        <v>0.6875</v>
      </c>
      <c r="Y42" s="10">
        <f>IFERROR(TIMEVALUE(Table2[[#This Row],[Vào]]),0)</f>
        <v>0.27782407407407406</v>
      </c>
      <c r="Z42" s="10">
        <f>IFERROR(TIMEVALUE(Table2[[#This Row],[Ra]]),0)</f>
        <v>0</v>
      </c>
      <c r="AA42" t="str">
        <f t="shared" si="3"/>
        <v>x</v>
      </c>
      <c r="AB42" s="105">
        <f t="shared" si="1"/>
        <v>0</v>
      </c>
      <c r="AC42" s="12" t="str">
        <f>IF(VLOOKUP(A42,Data_NV!$A:$I,7,0)="Không","",IF(OR(AND(Y42=0,Z42=0),AND(Y42&lt;&gt;0,Z42&lt;&gt;0)),"","Quên chấm công"))</f>
        <v/>
      </c>
      <c r="AD42" s="12">
        <f>IF(VLOOKUP(A42,Data_NV!$A:$I,7,0)="Không",0,IF(AND(Y42=0,Z42=0),0,IF(X42&lt;=Z42,0,ROUNDDOWN((X42-Z42)*24*60,0))))</f>
        <v>0</v>
      </c>
      <c r="AE42" s="12">
        <f>IF(VLOOKUP(A42,Data_NV!$A:$I,6,0)="Không",0,IF(Z42&lt;=X42,0,ROUNDDOWN((Z42-X42)*24*60,0)))</f>
        <v>0</v>
      </c>
      <c r="AF42" s="26">
        <f t="shared" si="2"/>
        <v>0</v>
      </c>
      <c r="AG42" s="27" t="str">
        <f>IF(AC42="","",IF(COUNTIFS($AC$3:AC42,"Quên chấm công",$S$3:S42,S42)&gt;3,"Không chấm công do vi phạm quá 3 lần",IF(COUNTIFS($AC$3:AC42,"Quên chấm công",$S$3:S42,S42)&gt;2,"Trừ toàn bộ chuyên cần tháng do vi phạm lần 3",IF(COUNTIFS($AC$3:AC42,"Quên chấm công",$S$3:S42,S42)&gt;1,"Trừ 1/2 ngày lương",50000))))</f>
        <v/>
      </c>
      <c r="AH42" s="12" t="str">
        <f>IF(AF42=0,"",IF(COUNTIFS($AF$3:AF42,"&gt;0",$S$3:S42,S42)&gt;3,"Trừ toàn bộ chuyên cần tháng",""))</f>
        <v/>
      </c>
      <c r="AI42" s="12"/>
    </row>
    <row r="43" spans="1:35" x14ac:dyDescent="0.25">
      <c r="A43" s="4" t="s">
        <v>141</v>
      </c>
      <c r="B43" s="1" t="s">
        <v>142</v>
      </c>
      <c r="C43" s="1" t="s">
        <v>20</v>
      </c>
      <c r="D43" s="1" t="s">
        <v>63</v>
      </c>
      <c r="E43" s="1" t="s">
        <v>22</v>
      </c>
      <c r="F43" s="1" t="s">
        <v>23</v>
      </c>
      <c r="G43" s="1" t="s">
        <v>12</v>
      </c>
      <c r="H43" s="1" t="s">
        <v>149</v>
      </c>
      <c r="I43" s="1" t="s">
        <v>24</v>
      </c>
      <c r="J43" s="1" t="s">
        <v>25</v>
      </c>
      <c r="K43" s="1" t="s">
        <v>25</v>
      </c>
      <c r="L43" s="1" t="s">
        <v>26</v>
      </c>
      <c r="M43" s="1" t="s">
        <v>25</v>
      </c>
      <c r="N43" s="1" t="s">
        <v>25</v>
      </c>
      <c r="O43" s="1" t="s">
        <v>25</v>
      </c>
      <c r="P43" s="1" t="s">
        <v>25</v>
      </c>
      <c r="Q43" s="1" t="s">
        <v>25</v>
      </c>
      <c r="R43" s="85" t="str">
        <f t="shared" si="0"/>
        <v>1045911</v>
      </c>
      <c r="S43" t="str">
        <f>VLOOKUP(A43,Data_NV!$A:$C,3,0)</f>
        <v xml:space="preserve"> Lê Kim Đãng   </v>
      </c>
      <c r="T43" t="str">
        <f>VLOOKUP(A43,Data_NV!$A:$E,4,0)</f>
        <v>Vận Hành</v>
      </c>
      <c r="U43" s="82">
        <f>DATEVALUE(Table2[[#This Row],[Ngày]])</f>
        <v>45911</v>
      </c>
      <c r="V43" t="str">
        <f>VLOOKUP(A43,Data_NV!$A:$E,5,0)</f>
        <v>Đang làm việc</v>
      </c>
      <c r="W43" s="10">
        <f>VLOOKUP(A43,Data_NV!$A:$I,8,0)</f>
        <v>0.3125</v>
      </c>
      <c r="X43" s="10">
        <f>VLOOKUP(A43,Data_NV!$A:$I,9,0)</f>
        <v>0.6875</v>
      </c>
      <c r="Y43" s="10">
        <f>IFERROR(TIMEVALUE(Table2[[#This Row],[Vào]]),0)</f>
        <v>0.23337962962962963</v>
      </c>
      <c r="Z43" s="10">
        <f>IFERROR(TIMEVALUE(Table2[[#This Row],[Ra]]),0)</f>
        <v>0</v>
      </c>
      <c r="AA43" t="str">
        <f t="shared" si="3"/>
        <v>x</v>
      </c>
      <c r="AB43" s="105">
        <f t="shared" si="1"/>
        <v>0</v>
      </c>
      <c r="AC43" s="12" t="str">
        <f>IF(VLOOKUP(A43,Data_NV!$A:$I,7,0)="Không","",IF(OR(AND(Y43=0,Z43=0),AND(Y43&lt;&gt;0,Z43&lt;&gt;0)),"","Quên chấm công"))</f>
        <v/>
      </c>
      <c r="AD43" s="12">
        <f>IF(VLOOKUP(A43,Data_NV!$A:$I,7,0)="Không",0,IF(AND(Y43=0,Z43=0),0,IF(X43&lt;=Z43,0,ROUNDDOWN((X43-Z43)*24*60,0))))</f>
        <v>0</v>
      </c>
      <c r="AE43" s="12">
        <f>IF(VLOOKUP(A43,Data_NV!$A:$I,6,0)="Không",0,IF(Z43&lt;=X43,0,ROUNDDOWN((Z43-X43)*24*60,0)))</f>
        <v>0</v>
      </c>
      <c r="AF43" s="26">
        <f t="shared" si="2"/>
        <v>0</v>
      </c>
      <c r="AG43" s="27" t="str">
        <f>IF(AC43="","",IF(COUNTIFS($AC$3:AC43,"Quên chấm công",$S$3:S43,S43)&gt;3,"Không chấm công do vi phạm quá 3 lần",IF(COUNTIFS($AC$3:AC43,"Quên chấm công",$S$3:S43,S43)&gt;2,"Trừ toàn bộ chuyên cần tháng do vi phạm lần 3",IF(COUNTIFS($AC$3:AC43,"Quên chấm công",$S$3:S43,S43)&gt;1,"Trừ 1/2 ngày lương",50000))))</f>
        <v/>
      </c>
      <c r="AH43" s="12" t="str">
        <f>IF(AF43=0,"",IF(COUNTIFS($AF$3:AF43,"&gt;0",$S$3:S43,S43)&gt;3,"Trừ toàn bộ chuyên cần tháng",""))</f>
        <v/>
      </c>
      <c r="AI43" s="12"/>
    </row>
    <row r="44" spans="1:35" x14ac:dyDescent="0.25">
      <c r="A44" s="4" t="s">
        <v>141</v>
      </c>
      <c r="B44" s="1" t="s">
        <v>142</v>
      </c>
      <c r="C44" s="1" t="s">
        <v>20</v>
      </c>
      <c r="D44" s="1" t="s">
        <v>67</v>
      </c>
      <c r="E44" s="1" t="s">
        <v>22</v>
      </c>
      <c r="F44" s="1" t="s">
        <v>23</v>
      </c>
      <c r="G44" s="1" t="s">
        <v>12</v>
      </c>
      <c r="H44" s="1" t="s">
        <v>24</v>
      </c>
      <c r="I44" s="1" t="s">
        <v>24</v>
      </c>
      <c r="J44" s="1" t="s">
        <v>25</v>
      </c>
      <c r="K44" s="1" t="s">
        <v>25</v>
      </c>
      <c r="L44" s="1" t="s">
        <v>26</v>
      </c>
      <c r="M44" s="1" t="s">
        <v>25</v>
      </c>
      <c r="N44" s="1" t="s">
        <v>25</v>
      </c>
      <c r="O44" s="1" t="s">
        <v>25</v>
      </c>
      <c r="P44" s="1" t="s">
        <v>25</v>
      </c>
      <c r="Q44" s="1" t="s">
        <v>25</v>
      </c>
      <c r="R44" s="85" t="str">
        <f t="shared" si="0"/>
        <v>1045912</v>
      </c>
      <c r="S44" t="str">
        <f>VLOOKUP(A44,Data_NV!$A:$C,3,0)</f>
        <v xml:space="preserve"> Lê Kim Đãng   </v>
      </c>
      <c r="T44" t="str">
        <f>VLOOKUP(A44,Data_NV!$A:$E,4,0)</f>
        <v>Vận Hành</v>
      </c>
      <c r="U44" s="82">
        <f>DATEVALUE(Table2[[#This Row],[Ngày]])</f>
        <v>45912</v>
      </c>
      <c r="V44" t="str">
        <f>VLOOKUP(A44,Data_NV!$A:$E,5,0)</f>
        <v>Đang làm việc</v>
      </c>
      <c r="W44" s="10">
        <f>VLOOKUP(A44,Data_NV!$A:$I,8,0)</f>
        <v>0.3125</v>
      </c>
      <c r="X44" s="10">
        <f>VLOOKUP(A44,Data_NV!$A:$I,9,0)</f>
        <v>0.6875</v>
      </c>
      <c r="Y44" s="10">
        <f>IFERROR(TIMEVALUE(Table2[[#This Row],[Vào]]),0)</f>
        <v>0</v>
      </c>
      <c r="Z44" s="10">
        <f>IFERROR(TIMEVALUE(Table2[[#This Row],[Ra]]),0)</f>
        <v>0</v>
      </c>
      <c r="AA44" t="s">
        <v>1341</v>
      </c>
      <c r="AB44" s="105">
        <f t="shared" si="1"/>
        <v>0</v>
      </c>
      <c r="AC44" s="12" t="str">
        <f>IF(VLOOKUP(A44,Data_NV!$A:$I,7,0)="Không","",IF(OR(AND(Y44=0,Z44=0),AND(Y44&lt;&gt;0,Z44&lt;&gt;0)),"","Quên chấm công"))</f>
        <v/>
      </c>
      <c r="AD44" s="12">
        <f>IF(VLOOKUP(A44,Data_NV!$A:$I,7,0)="Không",0,IF(AND(Y44=0,Z44=0),0,IF(X44&lt;=Z44,0,ROUNDDOWN((X44-Z44)*24*60,0))))</f>
        <v>0</v>
      </c>
      <c r="AE44" s="12">
        <f>IF(VLOOKUP(A44,Data_NV!$A:$I,6,0)="Không",0,IF(Z44&lt;=X44,0,ROUNDDOWN((Z44-X44)*24*60,0)))</f>
        <v>0</v>
      </c>
      <c r="AF44" s="26">
        <f t="shared" si="2"/>
        <v>0</v>
      </c>
      <c r="AG44" s="27" t="str">
        <f>IF(AC44="","",IF(COUNTIFS($AC$3:AC44,"Quên chấm công",$S$3:S44,S44)&gt;3,"Không chấm công do vi phạm quá 3 lần",IF(COUNTIFS($AC$3:AC44,"Quên chấm công",$S$3:S44,S44)&gt;2,"Trừ toàn bộ chuyên cần tháng do vi phạm lần 3",IF(COUNTIFS($AC$3:AC44,"Quên chấm công",$S$3:S44,S44)&gt;1,"Trừ 1/2 ngày lương",50000))))</f>
        <v/>
      </c>
      <c r="AH44" s="12" t="str">
        <f>IF(AF44=0,"",IF(COUNTIFS($AF$3:AF44,"&gt;0",$S$3:S44,S44)&gt;3,"Trừ toàn bộ chuyên cần tháng",""))</f>
        <v/>
      </c>
      <c r="AI44" s="12" t="s">
        <v>1397</v>
      </c>
    </row>
    <row r="45" spans="1:35" x14ac:dyDescent="0.25">
      <c r="A45" s="4" t="s">
        <v>141</v>
      </c>
      <c r="B45" s="1" t="s">
        <v>142</v>
      </c>
      <c r="C45" s="1" t="s">
        <v>20</v>
      </c>
      <c r="D45" s="1" t="s">
        <v>69</v>
      </c>
      <c r="E45" s="1" t="s">
        <v>22</v>
      </c>
      <c r="F45" s="1" t="s">
        <v>23</v>
      </c>
      <c r="G45" s="1" t="s">
        <v>12</v>
      </c>
      <c r="H45" s="1" t="s">
        <v>24</v>
      </c>
      <c r="I45" s="1" t="s">
        <v>24</v>
      </c>
      <c r="J45" s="1" t="s">
        <v>25</v>
      </c>
      <c r="K45" s="1" t="s">
        <v>25</v>
      </c>
      <c r="L45" s="1" t="s">
        <v>26</v>
      </c>
      <c r="M45" s="1" t="s">
        <v>25</v>
      </c>
      <c r="N45" s="1" t="s">
        <v>25</v>
      </c>
      <c r="O45" s="1" t="s">
        <v>25</v>
      </c>
      <c r="P45" s="1" t="s">
        <v>25</v>
      </c>
      <c r="Q45" s="1" t="s">
        <v>25</v>
      </c>
      <c r="R45" s="85" t="str">
        <f t="shared" si="0"/>
        <v>1045913</v>
      </c>
      <c r="S45" t="str">
        <f>VLOOKUP(A45,Data_NV!$A:$C,3,0)</f>
        <v xml:space="preserve"> Lê Kim Đãng   </v>
      </c>
      <c r="T45" t="str">
        <f>VLOOKUP(A45,Data_NV!$A:$E,4,0)</f>
        <v>Vận Hành</v>
      </c>
      <c r="U45" s="82">
        <f>DATEVALUE(Table2[[#This Row],[Ngày]])</f>
        <v>45913</v>
      </c>
      <c r="V45" t="str">
        <f>VLOOKUP(A45,Data_NV!$A:$E,5,0)</f>
        <v>Đang làm việc</v>
      </c>
      <c r="W45" s="10">
        <f>VLOOKUP(A45,Data_NV!$A:$I,8,0)</f>
        <v>0.3125</v>
      </c>
      <c r="X45" s="10">
        <f>VLOOKUP(A45,Data_NV!$A:$I,9,0)</f>
        <v>0.6875</v>
      </c>
      <c r="Y45" s="10">
        <f>IFERROR(TIMEVALUE(Table2[[#This Row],[Vào]]),0)</f>
        <v>0</v>
      </c>
      <c r="Z45" s="10">
        <f>IFERROR(TIMEVALUE(Table2[[#This Row],[Ra]]),0)</f>
        <v>0</v>
      </c>
      <c r="AA45" t="s">
        <v>1347</v>
      </c>
      <c r="AB45" s="105">
        <f t="shared" si="1"/>
        <v>0</v>
      </c>
      <c r="AC45" s="12" t="str">
        <f>IF(VLOOKUP(A45,Data_NV!$A:$I,7,0)="Không","",IF(OR(AND(Y45=0,Z45=0),AND(Y45&lt;&gt;0,Z45&lt;&gt;0)),"","Quên chấm công"))</f>
        <v/>
      </c>
      <c r="AD45" s="12">
        <f>IF(VLOOKUP(A45,Data_NV!$A:$I,7,0)="Không",0,IF(AND(Y45=0,Z45=0),0,IF(X45&lt;=Z45,0,ROUNDDOWN((X45-Z45)*24*60,0))))</f>
        <v>0</v>
      </c>
      <c r="AE45" s="12">
        <f>IF(VLOOKUP(A45,Data_NV!$A:$I,6,0)="Không",0,IF(Z45&lt;=X45,0,ROUNDDOWN((Z45-X45)*24*60,0)))</f>
        <v>0</v>
      </c>
      <c r="AF45" s="26">
        <f t="shared" si="2"/>
        <v>0</v>
      </c>
      <c r="AG45" s="27" t="str">
        <f>IF(AC45="","",IF(COUNTIFS($AC$3:AC45,"Quên chấm công",$S$3:S45,S45)&gt;3,"Không chấm công do vi phạm quá 3 lần",IF(COUNTIFS($AC$3:AC45,"Quên chấm công",$S$3:S45,S45)&gt;2,"Trừ toàn bộ chuyên cần tháng do vi phạm lần 3",IF(COUNTIFS($AC$3:AC45,"Quên chấm công",$S$3:S45,S45)&gt;1,"Trừ 1/2 ngày lương",50000))))</f>
        <v/>
      </c>
      <c r="AH45" s="12" t="str">
        <f>IF(AF45=0,"",IF(COUNTIFS($AF$3:AF45,"&gt;0",$S$3:S45,S45)&gt;3,"Trừ toàn bộ chuyên cần tháng",""))</f>
        <v/>
      </c>
      <c r="AI45" s="12" t="s">
        <v>1371</v>
      </c>
    </row>
    <row r="46" spans="1:35" x14ac:dyDescent="0.25">
      <c r="A46" s="4" t="s">
        <v>141</v>
      </c>
      <c r="B46" s="1" t="s">
        <v>142</v>
      </c>
      <c r="C46" s="1" t="s">
        <v>20</v>
      </c>
      <c r="D46" s="1" t="s">
        <v>74</v>
      </c>
      <c r="E46" s="1" t="s">
        <v>22</v>
      </c>
      <c r="F46" s="1" t="s">
        <v>23</v>
      </c>
      <c r="G46" s="1" t="s">
        <v>12</v>
      </c>
      <c r="H46" s="1" t="s">
        <v>24</v>
      </c>
      <c r="I46" s="1" t="s">
        <v>24</v>
      </c>
      <c r="J46" s="1" t="s">
        <v>25</v>
      </c>
      <c r="K46" s="1" t="s">
        <v>25</v>
      </c>
      <c r="L46" s="1" t="s">
        <v>26</v>
      </c>
      <c r="M46" s="1" t="s">
        <v>25</v>
      </c>
      <c r="N46" s="1" t="s">
        <v>25</v>
      </c>
      <c r="O46" s="1" t="s">
        <v>25</v>
      </c>
      <c r="P46" s="1" t="s">
        <v>25</v>
      </c>
      <c r="Q46" s="1" t="s">
        <v>25</v>
      </c>
      <c r="R46" s="85" t="str">
        <f t="shared" si="0"/>
        <v>1045914</v>
      </c>
      <c r="S46" t="str">
        <f>VLOOKUP(A46,Data_NV!$A:$C,3,0)</f>
        <v xml:space="preserve"> Lê Kim Đãng   </v>
      </c>
      <c r="T46" t="str">
        <f>VLOOKUP(A46,Data_NV!$A:$E,4,0)</f>
        <v>Vận Hành</v>
      </c>
      <c r="U46" s="82">
        <f>DATEVALUE(Table2[[#This Row],[Ngày]])</f>
        <v>45914</v>
      </c>
      <c r="V46" t="str">
        <f>VLOOKUP(A46,Data_NV!$A:$E,5,0)</f>
        <v>Đang làm việc</v>
      </c>
      <c r="W46" s="10">
        <f>VLOOKUP(A46,Data_NV!$A:$I,8,0)</f>
        <v>0.3125</v>
      </c>
      <c r="X46" s="10">
        <f>VLOOKUP(A46,Data_NV!$A:$I,9,0)</f>
        <v>0.6875</v>
      </c>
      <c r="Y46" s="10">
        <f>IFERROR(TIMEVALUE(Table2[[#This Row],[Vào]]),0)</f>
        <v>0</v>
      </c>
      <c r="Z46" s="10">
        <f>IFERROR(TIMEVALUE(Table2[[#This Row],[Ra]]),0)</f>
        <v>0</v>
      </c>
      <c r="AA46" t="str">
        <f t="shared" si="3"/>
        <v>Chủ nhật</v>
      </c>
      <c r="AB46" s="105">
        <f t="shared" si="1"/>
        <v>0</v>
      </c>
      <c r="AC46" s="12" t="str">
        <f>IF(VLOOKUP(A46,Data_NV!$A:$I,7,0)="Không","",IF(OR(AND(Y46=0,Z46=0),AND(Y46&lt;&gt;0,Z46&lt;&gt;0)),"","Quên chấm công"))</f>
        <v/>
      </c>
      <c r="AD46" s="12">
        <f>IF(VLOOKUP(A46,Data_NV!$A:$I,7,0)="Không",0,IF(AND(Y46=0,Z46=0),0,IF(X46&lt;=Z46,0,ROUNDDOWN((X46-Z46)*24*60,0))))</f>
        <v>0</v>
      </c>
      <c r="AE46" s="12">
        <f>IF(VLOOKUP(A46,Data_NV!$A:$I,6,0)="Không",0,IF(Z46&lt;=X46,0,ROUNDDOWN((Z46-X46)*24*60,0)))</f>
        <v>0</v>
      </c>
      <c r="AF46" s="26">
        <f t="shared" si="2"/>
        <v>0</v>
      </c>
      <c r="AG46" s="27" t="str">
        <f>IF(AC46="","",IF(COUNTIFS($AC$3:AC46,"Quên chấm công",$S$3:S46,S46)&gt;3,"Không chấm công do vi phạm quá 3 lần",IF(COUNTIFS($AC$3:AC46,"Quên chấm công",$S$3:S46,S46)&gt;2,"Trừ toàn bộ chuyên cần tháng do vi phạm lần 3",IF(COUNTIFS($AC$3:AC46,"Quên chấm công",$S$3:S46,S46)&gt;1,"Trừ 1/2 ngày lương",50000))))</f>
        <v/>
      </c>
      <c r="AH46" s="12" t="str">
        <f>IF(AF46=0,"",IF(COUNTIFS($AF$3:AF46,"&gt;0",$S$3:S46,S46)&gt;3,"Trừ toàn bộ chuyên cần tháng",""))</f>
        <v/>
      </c>
      <c r="AI46" s="12"/>
    </row>
    <row r="47" spans="1:35" x14ac:dyDescent="0.25">
      <c r="A47" s="4" t="s">
        <v>141</v>
      </c>
      <c r="B47" s="1" t="s">
        <v>142</v>
      </c>
      <c r="C47" s="1" t="s">
        <v>20</v>
      </c>
      <c r="D47" s="1" t="s">
        <v>75</v>
      </c>
      <c r="E47" s="1" t="s">
        <v>22</v>
      </c>
      <c r="F47" s="1" t="s">
        <v>23</v>
      </c>
      <c r="G47" s="1" t="s">
        <v>12</v>
      </c>
      <c r="H47" s="1" t="s">
        <v>150</v>
      </c>
      <c r="I47" s="1" t="s">
        <v>24</v>
      </c>
      <c r="J47" s="1" t="s">
        <v>25</v>
      </c>
      <c r="K47" s="1" t="s">
        <v>25</v>
      </c>
      <c r="L47" s="1" t="s">
        <v>26</v>
      </c>
      <c r="M47" s="1" t="s">
        <v>25</v>
      </c>
      <c r="N47" s="1" t="s">
        <v>25</v>
      </c>
      <c r="O47" s="1" t="s">
        <v>25</v>
      </c>
      <c r="P47" s="1" t="s">
        <v>25</v>
      </c>
      <c r="Q47" s="1" t="s">
        <v>25</v>
      </c>
      <c r="R47" s="85" t="str">
        <f t="shared" si="0"/>
        <v>1045915</v>
      </c>
      <c r="S47" t="str">
        <f>VLOOKUP(A47,Data_NV!$A:$C,3,0)</f>
        <v xml:space="preserve"> Lê Kim Đãng   </v>
      </c>
      <c r="T47" t="str">
        <f>VLOOKUP(A47,Data_NV!$A:$E,4,0)</f>
        <v>Vận Hành</v>
      </c>
      <c r="U47" s="82">
        <f>DATEVALUE(Table2[[#This Row],[Ngày]])</f>
        <v>45915</v>
      </c>
      <c r="V47" t="str">
        <f>VLOOKUP(A47,Data_NV!$A:$E,5,0)</f>
        <v>Đang làm việc</v>
      </c>
      <c r="W47" s="10">
        <f>VLOOKUP(A47,Data_NV!$A:$I,8,0)</f>
        <v>0.3125</v>
      </c>
      <c r="X47" s="10">
        <f>VLOOKUP(A47,Data_NV!$A:$I,9,0)</f>
        <v>0.6875</v>
      </c>
      <c r="Y47" s="10">
        <f>IFERROR(TIMEVALUE(Table2[[#This Row],[Vào]]),0)</f>
        <v>0.26807870370370368</v>
      </c>
      <c r="Z47" s="10">
        <f>IFERROR(TIMEVALUE(Table2[[#This Row],[Ra]]),0)</f>
        <v>0</v>
      </c>
      <c r="AA47" t="str">
        <f t="shared" si="3"/>
        <v>x</v>
      </c>
      <c r="AB47" s="105">
        <f t="shared" si="1"/>
        <v>0</v>
      </c>
      <c r="AC47" s="12" t="str">
        <f>IF(VLOOKUP(A47,Data_NV!$A:$I,7,0)="Không","",IF(OR(AND(Y47=0,Z47=0),AND(Y47&lt;&gt;0,Z47&lt;&gt;0)),"","Quên chấm công"))</f>
        <v/>
      </c>
      <c r="AD47" s="12">
        <f>IF(VLOOKUP(A47,Data_NV!$A:$I,7,0)="Không",0,IF(AND(Y47=0,Z47=0),0,IF(X47&lt;=Z47,0,ROUNDDOWN((X47-Z47)*24*60,0))))</f>
        <v>0</v>
      </c>
      <c r="AE47" s="12">
        <f>IF(VLOOKUP(A47,Data_NV!$A:$I,6,0)="Không",0,IF(Z47&lt;=X47,0,ROUNDDOWN((Z47-X47)*24*60,0)))</f>
        <v>0</v>
      </c>
      <c r="AF47" s="26">
        <f t="shared" si="2"/>
        <v>0</v>
      </c>
      <c r="AG47" s="27" t="str">
        <f>IF(AC47="","",IF(COUNTIFS($AC$3:AC47,"Quên chấm công",$S$3:S47,S47)&gt;3,"Không chấm công do vi phạm quá 3 lần",IF(COUNTIFS($AC$3:AC47,"Quên chấm công",$S$3:S47,S47)&gt;2,"Trừ toàn bộ chuyên cần tháng do vi phạm lần 3",IF(COUNTIFS($AC$3:AC47,"Quên chấm công",$S$3:S47,S47)&gt;1,"Trừ 1/2 ngày lương",50000))))</f>
        <v/>
      </c>
      <c r="AH47" s="12" t="str">
        <f>IF(AF47=0,"",IF(COUNTIFS($AF$3:AF47,"&gt;0",$S$3:S47,S47)&gt;3,"Trừ toàn bộ chuyên cần tháng",""))</f>
        <v/>
      </c>
      <c r="AI47" s="12"/>
    </row>
    <row r="48" spans="1:35" x14ac:dyDescent="0.25">
      <c r="A48" s="4" t="s">
        <v>141</v>
      </c>
      <c r="B48" s="1" t="s">
        <v>142</v>
      </c>
      <c r="C48" s="1" t="s">
        <v>20</v>
      </c>
      <c r="D48" s="1" t="s">
        <v>80</v>
      </c>
      <c r="E48" s="1" t="s">
        <v>22</v>
      </c>
      <c r="F48" s="1" t="s">
        <v>23</v>
      </c>
      <c r="G48" s="1" t="s">
        <v>12</v>
      </c>
      <c r="H48" s="1" t="s">
        <v>151</v>
      </c>
      <c r="I48" s="1" t="s">
        <v>24</v>
      </c>
      <c r="J48" s="1" t="s">
        <v>25</v>
      </c>
      <c r="K48" s="1" t="s">
        <v>25</v>
      </c>
      <c r="L48" s="1" t="s">
        <v>26</v>
      </c>
      <c r="M48" s="1" t="s">
        <v>25</v>
      </c>
      <c r="N48" s="1" t="s">
        <v>25</v>
      </c>
      <c r="O48" s="1" t="s">
        <v>25</v>
      </c>
      <c r="P48" s="1" t="s">
        <v>25</v>
      </c>
      <c r="Q48" s="1" t="s">
        <v>25</v>
      </c>
      <c r="R48" s="85" t="str">
        <f t="shared" si="0"/>
        <v>1045916</v>
      </c>
      <c r="S48" t="str">
        <f>VLOOKUP(A48,Data_NV!$A:$C,3,0)</f>
        <v xml:space="preserve"> Lê Kim Đãng   </v>
      </c>
      <c r="T48" t="str">
        <f>VLOOKUP(A48,Data_NV!$A:$E,4,0)</f>
        <v>Vận Hành</v>
      </c>
      <c r="U48" s="82">
        <f>DATEVALUE(Table2[[#This Row],[Ngày]])</f>
        <v>45916</v>
      </c>
      <c r="V48" t="str">
        <f>VLOOKUP(A48,Data_NV!$A:$E,5,0)</f>
        <v>Đang làm việc</v>
      </c>
      <c r="W48" s="10">
        <f>VLOOKUP(A48,Data_NV!$A:$I,8,0)</f>
        <v>0.3125</v>
      </c>
      <c r="X48" s="10">
        <f>VLOOKUP(A48,Data_NV!$A:$I,9,0)</f>
        <v>0.6875</v>
      </c>
      <c r="Y48" s="10">
        <f>IFERROR(TIMEVALUE(Table2[[#This Row],[Vào]]),0)</f>
        <v>0.28438657407407408</v>
      </c>
      <c r="Z48" s="10">
        <f>IFERROR(TIMEVALUE(Table2[[#This Row],[Ra]]),0)</f>
        <v>0</v>
      </c>
      <c r="AA48" t="str">
        <f t="shared" si="3"/>
        <v>x</v>
      </c>
      <c r="AB48" s="105">
        <f t="shared" si="1"/>
        <v>0</v>
      </c>
      <c r="AC48" s="12" t="str">
        <f>IF(VLOOKUP(A48,Data_NV!$A:$I,7,0)="Không","",IF(OR(AND(Y48=0,Z48=0),AND(Y48&lt;&gt;0,Z48&lt;&gt;0)),"","Quên chấm công"))</f>
        <v/>
      </c>
      <c r="AD48" s="12">
        <f>IF(VLOOKUP(A48,Data_NV!$A:$I,7,0)="Không",0,IF(AND(Y48=0,Z48=0),0,IF(X48&lt;=Z48,0,ROUNDDOWN((X48-Z48)*24*60,0))))</f>
        <v>0</v>
      </c>
      <c r="AE48" s="12">
        <f>IF(VLOOKUP(A48,Data_NV!$A:$I,6,0)="Không",0,IF(Z48&lt;=X48,0,ROUNDDOWN((Z48-X48)*24*60,0)))</f>
        <v>0</v>
      </c>
      <c r="AF48" s="26">
        <f t="shared" si="2"/>
        <v>0</v>
      </c>
      <c r="AG48" s="27" t="str">
        <f>IF(AC48="","",IF(COUNTIFS($AC$3:AC48,"Quên chấm công",$S$3:S48,S48)&gt;3,"Không chấm công do vi phạm quá 3 lần",IF(COUNTIFS($AC$3:AC48,"Quên chấm công",$S$3:S48,S48)&gt;2,"Trừ toàn bộ chuyên cần tháng do vi phạm lần 3",IF(COUNTIFS($AC$3:AC48,"Quên chấm công",$S$3:S48,S48)&gt;1,"Trừ 1/2 ngày lương",50000))))</f>
        <v/>
      </c>
      <c r="AH48" s="12" t="str">
        <f>IF(AF48=0,"",IF(COUNTIFS($AF$3:AF48,"&gt;0",$S$3:S48,S48)&gt;3,"Trừ toàn bộ chuyên cần tháng",""))</f>
        <v/>
      </c>
      <c r="AI48" s="12"/>
    </row>
    <row r="49" spans="1:35" x14ac:dyDescent="0.25">
      <c r="A49" s="4" t="s">
        <v>141</v>
      </c>
      <c r="B49" s="1" t="s">
        <v>142</v>
      </c>
      <c r="C49" s="1" t="s">
        <v>20</v>
      </c>
      <c r="D49" s="1" t="s">
        <v>85</v>
      </c>
      <c r="E49" s="1" t="s">
        <v>22</v>
      </c>
      <c r="F49" s="1" t="s">
        <v>23</v>
      </c>
      <c r="G49" s="1" t="s">
        <v>12</v>
      </c>
      <c r="H49" s="1" t="s">
        <v>152</v>
      </c>
      <c r="I49" s="1" t="s">
        <v>24</v>
      </c>
      <c r="J49" s="1" t="s">
        <v>25</v>
      </c>
      <c r="K49" s="1" t="s">
        <v>25</v>
      </c>
      <c r="L49" s="1" t="s">
        <v>26</v>
      </c>
      <c r="M49" s="1" t="s">
        <v>25</v>
      </c>
      <c r="N49" s="1" t="s">
        <v>25</v>
      </c>
      <c r="O49" s="1" t="s">
        <v>25</v>
      </c>
      <c r="P49" s="1" t="s">
        <v>25</v>
      </c>
      <c r="Q49" s="1" t="s">
        <v>25</v>
      </c>
      <c r="R49" s="85" t="str">
        <f t="shared" si="0"/>
        <v>1045917</v>
      </c>
      <c r="S49" t="str">
        <f>VLOOKUP(A49,Data_NV!$A:$C,3,0)</f>
        <v xml:space="preserve"> Lê Kim Đãng   </v>
      </c>
      <c r="T49" t="str">
        <f>VLOOKUP(A49,Data_NV!$A:$E,4,0)</f>
        <v>Vận Hành</v>
      </c>
      <c r="U49" s="82">
        <f>DATEVALUE(Table2[[#This Row],[Ngày]])</f>
        <v>45917</v>
      </c>
      <c r="V49" t="str">
        <f>VLOOKUP(A49,Data_NV!$A:$E,5,0)</f>
        <v>Đang làm việc</v>
      </c>
      <c r="W49" s="10">
        <f>VLOOKUP(A49,Data_NV!$A:$I,8,0)</f>
        <v>0.3125</v>
      </c>
      <c r="X49" s="10">
        <f>VLOOKUP(A49,Data_NV!$A:$I,9,0)</f>
        <v>0.6875</v>
      </c>
      <c r="Y49" s="10">
        <f>IFERROR(TIMEVALUE(Table2[[#This Row],[Vào]]),0)</f>
        <v>0.28311342592592592</v>
      </c>
      <c r="Z49" s="10">
        <f>IFERROR(TIMEVALUE(Table2[[#This Row],[Ra]]),0)</f>
        <v>0</v>
      </c>
      <c r="AA49" t="str">
        <f t="shared" si="3"/>
        <v>x</v>
      </c>
      <c r="AB49" s="105">
        <f t="shared" si="1"/>
        <v>0</v>
      </c>
      <c r="AC49" s="12" t="str">
        <f>IF(VLOOKUP(A49,Data_NV!$A:$I,7,0)="Không","",IF(OR(AND(Y49=0,Z49=0),AND(Y49&lt;&gt;0,Z49&lt;&gt;0)),"","Quên chấm công"))</f>
        <v/>
      </c>
      <c r="AD49" s="12">
        <f>IF(VLOOKUP(A49,Data_NV!$A:$I,7,0)="Không",0,IF(AND(Y49=0,Z49=0),0,IF(X49&lt;=Z49,0,ROUNDDOWN((X49-Z49)*24*60,0))))</f>
        <v>0</v>
      </c>
      <c r="AE49" s="12">
        <f>IF(VLOOKUP(A49,Data_NV!$A:$I,6,0)="Không",0,IF(Z49&lt;=X49,0,ROUNDDOWN((Z49-X49)*24*60,0)))</f>
        <v>0</v>
      </c>
      <c r="AF49" s="26">
        <f t="shared" si="2"/>
        <v>0</v>
      </c>
      <c r="AG49" s="27" t="str">
        <f>IF(AC49="","",IF(COUNTIFS($AC$3:AC49,"Quên chấm công",$S$3:S49,S49)&gt;3,"Không chấm công do vi phạm quá 3 lần",IF(COUNTIFS($AC$3:AC49,"Quên chấm công",$S$3:S49,S49)&gt;2,"Trừ toàn bộ chuyên cần tháng do vi phạm lần 3",IF(COUNTIFS($AC$3:AC49,"Quên chấm công",$S$3:S49,S49)&gt;1,"Trừ 1/2 ngày lương",50000))))</f>
        <v/>
      </c>
      <c r="AH49" s="12" t="str">
        <f>IF(AF49=0,"",IF(COUNTIFS($AF$3:AF49,"&gt;0",$S$3:S49,S49)&gt;3,"Trừ toàn bộ chuyên cần tháng",""))</f>
        <v/>
      </c>
      <c r="AI49" s="12"/>
    </row>
    <row r="50" spans="1:35" x14ac:dyDescent="0.25">
      <c r="A50" s="4" t="s">
        <v>141</v>
      </c>
      <c r="B50" s="1" t="s">
        <v>142</v>
      </c>
      <c r="C50" s="1" t="s">
        <v>20</v>
      </c>
      <c r="D50" s="1" t="s">
        <v>90</v>
      </c>
      <c r="E50" s="1" t="s">
        <v>22</v>
      </c>
      <c r="F50" s="1" t="s">
        <v>23</v>
      </c>
      <c r="G50" s="1" t="s">
        <v>12</v>
      </c>
      <c r="H50" s="1" t="s">
        <v>153</v>
      </c>
      <c r="I50" s="1" t="s">
        <v>24</v>
      </c>
      <c r="J50" s="1" t="s">
        <v>25</v>
      </c>
      <c r="K50" s="1" t="s">
        <v>25</v>
      </c>
      <c r="L50" s="1" t="s">
        <v>26</v>
      </c>
      <c r="M50" s="1" t="s">
        <v>25</v>
      </c>
      <c r="N50" s="1" t="s">
        <v>25</v>
      </c>
      <c r="O50" s="1" t="s">
        <v>25</v>
      </c>
      <c r="P50" s="1" t="s">
        <v>25</v>
      </c>
      <c r="Q50" s="1" t="s">
        <v>25</v>
      </c>
      <c r="R50" s="85" t="str">
        <f t="shared" si="0"/>
        <v>1045918</v>
      </c>
      <c r="S50" t="str">
        <f>VLOOKUP(A50,Data_NV!$A:$C,3,0)</f>
        <v xml:space="preserve"> Lê Kim Đãng   </v>
      </c>
      <c r="T50" t="str">
        <f>VLOOKUP(A50,Data_NV!$A:$E,4,0)</f>
        <v>Vận Hành</v>
      </c>
      <c r="U50" s="82">
        <f>DATEVALUE(Table2[[#This Row],[Ngày]])</f>
        <v>45918</v>
      </c>
      <c r="V50" t="str">
        <f>VLOOKUP(A50,Data_NV!$A:$E,5,0)</f>
        <v>Đang làm việc</v>
      </c>
      <c r="W50" s="10">
        <f>VLOOKUP(A50,Data_NV!$A:$I,8,0)</f>
        <v>0.3125</v>
      </c>
      <c r="X50" s="10">
        <f>VLOOKUP(A50,Data_NV!$A:$I,9,0)</f>
        <v>0.6875</v>
      </c>
      <c r="Y50" s="10">
        <f>IFERROR(TIMEVALUE(Table2[[#This Row],[Vào]]),0)</f>
        <v>0.28072916666666664</v>
      </c>
      <c r="Z50" s="10">
        <f>IFERROR(TIMEVALUE(Table2[[#This Row],[Ra]]),0)</f>
        <v>0</v>
      </c>
      <c r="AA50" t="str">
        <f t="shared" si="3"/>
        <v>x</v>
      </c>
      <c r="AB50" s="105">
        <f t="shared" si="1"/>
        <v>0</v>
      </c>
      <c r="AC50" s="12" t="str">
        <f>IF(VLOOKUP(A50,Data_NV!$A:$I,7,0)="Không","",IF(OR(AND(Y50=0,Z50=0),AND(Y50&lt;&gt;0,Z50&lt;&gt;0)),"","Quên chấm công"))</f>
        <v/>
      </c>
      <c r="AD50" s="12">
        <f>IF(VLOOKUP(A50,Data_NV!$A:$I,7,0)="Không",0,IF(AND(Y50=0,Z50=0),0,IF(X50&lt;=Z50,0,ROUNDDOWN((X50-Z50)*24*60,0))))</f>
        <v>0</v>
      </c>
      <c r="AE50" s="12">
        <f>IF(VLOOKUP(A50,Data_NV!$A:$I,6,0)="Không",0,IF(Z50&lt;=X50,0,ROUNDDOWN((Z50-X50)*24*60,0)))</f>
        <v>0</v>
      </c>
      <c r="AF50" s="26">
        <f t="shared" si="2"/>
        <v>0</v>
      </c>
      <c r="AG50" s="27" t="str">
        <f>IF(AC50="","",IF(COUNTIFS($AC$3:AC50,"Quên chấm công",$S$3:S50,S50)&gt;3,"Không chấm công do vi phạm quá 3 lần",IF(COUNTIFS($AC$3:AC50,"Quên chấm công",$S$3:S50,S50)&gt;2,"Trừ toàn bộ chuyên cần tháng do vi phạm lần 3",IF(COUNTIFS($AC$3:AC50,"Quên chấm công",$S$3:S50,S50)&gt;1,"Trừ 1/2 ngày lương",50000))))</f>
        <v/>
      </c>
      <c r="AH50" s="12" t="str">
        <f>IF(AF50=0,"",IF(COUNTIFS($AF$3:AF50,"&gt;0",$S$3:S50,S50)&gt;3,"Trừ toàn bộ chuyên cần tháng",""))</f>
        <v/>
      </c>
      <c r="AI50" s="12"/>
    </row>
    <row r="51" spans="1:35" x14ac:dyDescent="0.25">
      <c r="A51" s="4" t="s">
        <v>141</v>
      </c>
      <c r="B51" s="1" t="s">
        <v>142</v>
      </c>
      <c r="C51" s="1" t="s">
        <v>20</v>
      </c>
      <c r="D51" s="1" t="s">
        <v>95</v>
      </c>
      <c r="E51" s="1" t="s">
        <v>22</v>
      </c>
      <c r="F51" s="1" t="s">
        <v>23</v>
      </c>
      <c r="G51" s="1" t="s">
        <v>12</v>
      </c>
      <c r="H51" s="1" t="s">
        <v>154</v>
      </c>
      <c r="I51" s="1" t="s">
        <v>24</v>
      </c>
      <c r="J51" s="1" t="s">
        <v>25</v>
      </c>
      <c r="K51" s="1" t="s">
        <v>25</v>
      </c>
      <c r="L51" s="1" t="s">
        <v>26</v>
      </c>
      <c r="M51" s="1" t="s">
        <v>25</v>
      </c>
      <c r="N51" s="1" t="s">
        <v>25</v>
      </c>
      <c r="O51" s="1" t="s">
        <v>25</v>
      </c>
      <c r="P51" s="1" t="s">
        <v>25</v>
      </c>
      <c r="Q51" s="1" t="s">
        <v>25</v>
      </c>
      <c r="R51" s="85" t="str">
        <f t="shared" si="0"/>
        <v>1045919</v>
      </c>
      <c r="S51" t="str">
        <f>VLOOKUP(A51,Data_NV!$A:$C,3,0)</f>
        <v xml:space="preserve"> Lê Kim Đãng   </v>
      </c>
      <c r="T51" t="str">
        <f>VLOOKUP(A51,Data_NV!$A:$E,4,0)</f>
        <v>Vận Hành</v>
      </c>
      <c r="U51" s="82">
        <f>DATEVALUE(Table2[[#This Row],[Ngày]])</f>
        <v>45919</v>
      </c>
      <c r="V51" t="str">
        <f>VLOOKUP(A51,Data_NV!$A:$E,5,0)</f>
        <v>Đang làm việc</v>
      </c>
      <c r="W51" s="10">
        <f>VLOOKUP(A51,Data_NV!$A:$I,8,0)</f>
        <v>0.3125</v>
      </c>
      <c r="X51" s="10">
        <f>VLOOKUP(A51,Data_NV!$A:$I,9,0)</f>
        <v>0.6875</v>
      </c>
      <c r="Y51" s="10">
        <f>IFERROR(TIMEVALUE(Table2[[#This Row],[Vào]]),0)</f>
        <v>0.27937499999999998</v>
      </c>
      <c r="Z51" s="10">
        <f>IFERROR(TIMEVALUE(Table2[[#This Row],[Ra]]),0)</f>
        <v>0</v>
      </c>
      <c r="AA51" t="str">
        <f t="shared" si="3"/>
        <v>x</v>
      </c>
      <c r="AB51" s="105">
        <f t="shared" si="1"/>
        <v>0</v>
      </c>
      <c r="AC51" s="12" t="str">
        <f>IF(VLOOKUP(A51,Data_NV!$A:$I,7,0)="Không","",IF(OR(AND(Y51=0,Z51=0),AND(Y51&lt;&gt;0,Z51&lt;&gt;0)),"","Quên chấm công"))</f>
        <v/>
      </c>
      <c r="AD51" s="12">
        <f>IF(VLOOKUP(A51,Data_NV!$A:$I,7,0)="Không",0,IF(AND(Y51=0,Z51=0),0,IF(X51&lt;=Z51,0,ROUNDDOWN((X51-Z51)*24*60,0))))</f>
        <v>0</v>
      </c>
      <c r="AE51" s="12">
        <f>IF(VLOOKUP(A51,Data_NV!$A:$I,6,0)="Không",0,IF(Z51&lt;=X51,0,ROUNDDOWN((Z51-X51)*24*60,0)))</f>
        <v>0</v>
      </c>
      <c r="AF51" s="26">
        <f t="shared" si="2"/>
        <v>0</v>
      </c>
      <c r="AG51" s="27" t="str">
        <f>IF(AC51="","",IF(COUNTIFS($AC$3:AC51,"Quên chấm công",$S$3:S51,S51)&gt;3,"Không chấm công do vi phạm quá 3 lần",IF(COUNTIFS($AC$3:AC51,"Quên chấm công",$S$3:S51,S51)&gt;2,"Trừ toàn bộ chuyên cần tháng do vi phạm lần 3",IF(COUNTIFS($AC$3:AC51,"Quên chấm công",$S$3:S51,S51)&gt;1,"Trừ 1/2 ngày lương",50000))))</f>
        <v/>
      </c>
      <c r="AH51" s="12" t="str">
        <f>IF(AF51=0,"",IF(COUNTIFS($AF$3:AF51,"&gt;0",$S$3:S51,S51)&gt;3,"Trừ toàn bộ chuyên cần tháng",""))</f>
        <v/>
      </c>
      <c r="AI51" s="12"/>
    </row>
    <row r="52" spans="1:35" x14ac:dyDescent="0.25">
      <c r="A52" s="4" t="s">
        <v>141</v>
      </c>
      <c r="B52" s="1" t="s">
        <v>142</v>
      </c>
      <c r="C52" s="1" t="s">
        <v>20</v>
      </c>
      <c r="D52" s="1" t="s">
        <v>100</v>
      </c>
      <c r="E52" s="1" t="s">
        <v>22</v>
      </c>
      <c r="F52" s="1" t="s">
        <v>23</v>
      </c>
      <c r="G52" s="1" t="s">
        <v>12</v>
      </c>
      <c r="H52" s="1" t="s">
        <v>155</v>
      </c>
      <c r="I52" s="1" t="s">
        <v>24</v>
      </c>
      <c r="J52" s="1" t="s">
        <v>25</v>
      </c>
      <c r="K52" s="1" t="s">
        <v>25</v>
      </c>
      <c r="L52" s="1" t="s">
        <v>26</v>
      </c>
      <c r="M52" s="1" t="s">
        <v>25</v>
      </c>
      <c r="N52" s="1" t="s">
        <v>25</v>
      </c>
      <c r="O52" s="1" t="s">
        <v>25</v>
      </c>
      <c r="P52" s="1" t="s">
        <v>25</v>
      </c>
      <c r="Q52" s="1" t="s">
        <v>25</v>
      </c>
      <c r="R52" s="85" t="str">
        <f t="shared" si="0"/>
        <v>1045920</v>
      </c>
      <c r="S52" t="str">
        <f>VLOOKUP(A52,Data_NV!$A:$C,3,0)</f>
        <v xml:space="preserve"> Lê Kim Đãng   </v>
      </c>
      <c r="T52" t="str">
        <f>VLOOKUP(A52,Data_NV!$A:$E,4,0)</f>
        <v>Vận Hành</v>
      </c>
      <c r="U52" s="82">
        <f>DATEVALUE(Table2[[#This Row],[Ngày]])</f>
        <v>45920</v>
      </c>
      <c r="V52" t="str">
        <f>VLOOKUP(A52,Data_NV!$A:$E,5,0)</f>
        <v>Đang làm việc</v>
      </c>
      <c r="W52" s="10">
        <f>VLOOKUP(A52,Data_NV!$A:$I,8,0)</f>
        <v>0.3125</v>
      </c>
      <c r="X52" s="10">
        <f>VLOOKUP(A52,Data_NV!$A:$I,9,0)</f>
        <v>0.6875</v>
      </c>
      <c r="Y52" s="10">
        <f>IFERROR(TIMEVALUE(Table2[[#This Row],[Vào]]),0)</f>
        <v>0.27914351851851854</v>
      </c>
      <c r="Z52" s="10">
        <f>IFERROR(TIMEVALUE(Table2[[#This Row],[Ra]]),0)</f>
        <v>0</v>
      </c>
      <c r="AA52" t="str">
        <f t="shared" si="3"/>
        <v>x</v>
      </c>
      <c r="AB52" s="105">
        <f t="shared" si="1"/>
        <v>0</v>
      </c>
      <c r="AC52" s="12" t="str">
        <f>IF(VLOOKUP(A52,Data_NV!$A:$I,7,0)="Không","",IF(OR(AND(Y52=0,Z52=0),AND(Y52&lt;&gt;0,Z52&lt;&gt;0)),"","Quên chấm công"))</f>
        <v/>
      </c>
      <c r="AD52" s="12">
        <f>IF(VLOOKUP(A52,Data_NV!$A:$I,7,0)="Không",0,IF(AND(Y52=0,Z52=0),0,IF(X52&lt;=Z52,0,ROUNDDOWN((X52-Z52)*24*60,0))))</f>
        <v>0</v>
      </c>
      <c r="AE52" s="12">
        <f>IF(VLOOKUP(A52,Data_NV!$A:$I,6,0)="Không",0,IF(Z52&lt;=X52,0,ROUNDDOWN((Z52-X52)*24*60,0)))</f>
        <v>0</v>
      </c>
      <c r="AF52" s="26">
        <f t="shared" si="2"/>
        <v>0</v>
      </c>
      <c r="AG52" s="27" t="str">
        <f>IF(AC52="","",IF(COUNTIFS($AC$3:AC52,"Quên chấm công",$S$3:S52,S52)&gt;3,"Không chấm công do vi phạm quá 3 lần",IF(COUNTIFS($AC$3:AC52,"Quên chấm công",$S$3:S52,S52)&gt;2,"Trừ toàn bộ chuyên cần tháng do vi phạm lần 3",IF(COUNTIFS($AC$3:AC52,"Quên chấm công",$S$3:S52,S52)&gt;1,"Trừ 1/2 ngày lương",50000))))</f>
        <v/>
      </c>
      <c r="AH52" s="12" t="str">
        <f>IF(AF52=0,"",IF(COUNTIFS($AF$3:AF52,"&gt;0",$S$3:S52,S52)&gt;3,"Trừ toàn bộ chuyên cần tháng",""))</f>
        <v/>
      </c>
      <c r="AI52" s="12"/>
    </row>
    <row r="53" spans="1:35" x14ac:dyDescent="0.25">
      <c r="A53" s="4" t="s">
        <v>141</v>
      </c>
      <c r="B53" s="1" t="s">
        <v>142</v>
      </c>
      <c r="C53" s="1" t="s">
        <v>20</v>
      </c>
      <c r="D53" s="1" t="s">
        <v>105</v>
      </c>
      <c r="E53" s="1" t="s">
        <v>22</v>
      </c>
      <c r="F53" s="1" t="s">
        <v>23</v>
      </c>
      <c r="G53" s="1" t="s">
        <v>12</v>
      </c>
      <c r="H53" s="1" t="s">
        <v>24</v>
      </c>
      <c r="I53" s="1" t="s">
        <v>24</v>
      </c>
      <c r="J53" s="1" t="s">
        <v>25</v>
      </c>
      <c r="K53" s="1" t="s">
        <v>25</v>
      </c>
      <c r="L53" s="1" t="s">
        <v>26</v>
      </c>
      <c r="M53" s="1" t="s">
        <v>25</v>
      </c>
      <c r="N53" s="1" t="s">
        <v>25</v>
      </c>
      <c r="O53" s="1" t="s">
        <v>25</v>
      </c>
      <c r="P53" s="1" t="s">
        <v>25</v>
      </c>
      <c r="Q53" s="1" t="s">
        <v>25</v>
      </c>
      <c r="R53" s="85" t="str">
        <f t="shared" si="0"/>
        <v>1045921</v>
      </c>
      <c r="S53" t="str">
        <f>VLOOKUP(A53,Data_NV!$A:$C,3,0)</f>
        <v xml:space="preserve"> Lê Kim Đãng   </v>
      </c>
      <c r="T53" t="str">
        <f>VLOOKUP(A53,Data_NV!$A:$E,4,0)</f>
        <v>Vận Hành</v>
      </c>
      <c r="U53" s="82">
        <f>DATEVALUE(Table2[[#This Row],[Ngày]])</f>
        <v>45921</v>
      </c>
      <c r="V53" t="str">
        <f>VLOOKUP(A53,Data_NV!$A:$E,5,0)</f>
        <v>Đang làm việc</v>
      </c>
      <c r="W53" s="10">
        <f>VLOOKUP(A53,Data_NV!$A:$I,8,0)</f>
        <v>0.3125</v>
      </c>
      <c r="X53" s="10">
        <f>VLOOKUP(A53,Data_NV!$A:$I,9,0)</f>
        <v>0.6875</v>
      </c>
      <c r="Y53" s="10">
        <f>IFERROR(TIMEVALUE(Table2[[#This Row],[Vào]]),0)</f>
        <v>0</v>
      </c>
      <c r="Z53" s="10">
        <f>IFERROR(TIMEVALUE(Table2[[#This Row],[Ra]]),0)</f>
        <v>0</v>
      </c>
      <c r="AA53" t="str">
        <f t="shared" si="3"/>
        <v>Chủ nhật</v>
      </c>
      <c r="AB53" s="105">
        <f t="shared" si="1"/>
        <v>0</v>
      </c>
      <c r="AC53" s="12" t="str">
        <f>IF(VLOOKUP(A53,Data_NV!$A:$I,7,0)="Không","",IF(OR(AND(Y53=0,Z53=0),AND(Y53&lt;&gt;0,Z53&lt;&gt;0)),"","Quên chấm công"))</f>
        <v/>
      </c>
      <c r="AD53" s="12">
        <f>IF(VLOOKUP(A53,Data_NV!$A:$I,7,0)="Không",0,IF(AND(Y53=0,Z53=0),0,IF(X53&lt;=Z53,0,ROUNDDOWN((X53-Z53)*24*60,0))))</f>
        <v>0</v>
      </c>
      <c r="AE53" s="12">
        <f>IF(VLOOKUP(A53,Data_NV!$A:$I,6,0)="Không",0,IF(Z53&lt;=X53,0,ROUNDDOWN((Z53-X53)*24*60,0)))</f>
        <v>0</v>
      </c>
      <c r="AF53" s="26">
        <f t="shared" si="2"/>
        <v>0</v>
      </c>
      <c r="AG53" s="27" t="str">
        <f>IF(AC53="","",IF(COUNTIFS($AC$3:AC53,"Quên chấm công",$S$3:S53,S53)&gt;3,"Không chấm công do vi phạm quá 3 lần",IF(COUNTIFS($AC$3:AC53,"Quên chấm công",$S$3:S53,S53)&gt;2,"Trừ toàn bộ chuyên cần tháng do vi phạm lần 3",IF(COUNTIFS($AC$3:AC53,"Quên chấm công",$S$3:S53,S53)&gt;1,"Trừ 1/2 ngày lương",50000))))</f>
        <v/>
      </c>
      <c r="AH53" s="12" t="str">
        <f>IF(AF53=0,"",IF(COUNTIFS($AF$3:AF53,"&gt;0",$S$3:S53,S53)&gt;3,"Trừ toàn bộ chuyên cần tháng",""))</f>
        <v/>
      </c>
      <c r="AI53" s="12"/>
    </row>
    <row r="54" spans="1:35" x14ac:dyDescent="0.25">
      <c r="A54" s="4" t="s">
        <v>141</v>
      </c>
      <c r="B54" s="1" t="s">
        <v>142</v>
      </c>
      <c r="C54" s="1" t="s">
        <v>20</v>
      </c>
      <c r="D54" s="1" t="s">
        <v>106</v>
      </c>
      <c r="E54" s="1" t="s">
        <v>22</v>
      </c>
      <c r="F54" s="1" t="s">
        <v>23</v>
      </c>
      <c r="G54" s="1" t="s">
        <v>12</v>
      </c>
      <c r="H54" s="1" t="s">
        <v>24</v>
      </c>
      <c r="I54" s="1" t="s">
        <v>24</v>
      </c>
      <c r="J54" s="1" t="s">
        <v>25</v>
      </c>
      <c r="K54" s="1" t="s">
        <v>25</v>
      </c>
      <c r="L54" s="1" t="s">
        <v>26</v>
      </c>
      <c r="M54" s="1" t="s">
        <v>25</v>
      </c>
      <c r="N54" s="1" t="s">
        <v>25</v>
      </c>
      <c r="O54" s="1" t="s">
        <v>25</v>
      </c>
      <c r="P54" s="1" t="s">
        <v>25</v>
      </c>
      <c r="Q54" s="1" t="s">
        <v>25</v>
      </c>
      <c r="R54" s="85" t="str">
        <f t="shared" si="0"/>
        <v>1045922</v>
      </c>
      <c r="S54" t="str">
        <f>VLOOKUP(A54,Data_NV!$A:$C,3,0)</f>
        <v xml:space="preserve"> Lê Kim Đãng   </v>
      </c>
      <c r="T54" t="str">
        <f>VLOOKUP(A54,Data_NV!$A:$E,4,0)</f>
        <v>Vận Hành</v>
      </c>
      <c r="U54" s="82">
        <f>DATEVALUE(Table2[[#This Row],[Ngày]])</f>
        <v>45922</v>
      </c>
      <c r="V54" t="str">
        <f>VLOOKUP(A54,Data_NV!$A:$E,5,0)</f>
        <v>Đang làm việc</v>
      </c>
      <c r="W54" s="10">
        <f>VLOOKUP(A54,Data_NV!$A:$I,8,0)</f>
        <v>0.3125</v>
      </c>
      <c r="X54" s="10">
        <f>VLOOKUP(A54,Data_NV!$A:$I,9,0)</f>
        <v>0.6875</v>
      </c>
      <c r="Y54" s="10">
        <f>IFERROR(TIMEVALUE(Table2[[#This Row],[Vào]]),0)</f>
        <v>0</v>
      </c>
      <c r="Z54" s="10">
        <f>IFERROR(TIMEVALUE(Table2[[#This Row],[Ra]]),0)</f>
        <v>0</v>
      </c>
      <c r="AA54" t="s">
        <v>1341</v>
      </c>
      <c r="AB54" s="105">
        <f t="shared" si="1"/>
        <v>0</v>
      </c>
      <c r="AC54" s="12" t="s">
        <v>1395</v>
      </c>
      <c r="AD54" s="12">
        <f>IF(VLOOKUP(A54,Data_NV!$A:$I,7,0)="Không",0,IF(AND(Y54=0,Z54=0),0,IF(X54&lt;=Z54,0,ROUNDDOWN((X54-Z54)*24*60,0))))</f>
        <v>0</v>
      </c>
      <c r="AE54" s="12">
        <f>IF(VLOOKUP(A54,Data_NV!$A:$I,6,0)="Không",0,IF(Z54&lt;=X54,0,ROUNDDOWN((Z54-X54)*24*60,0)))</f>
        <v>0</v>
      </c>
      <c r="AF54" s="26">
        <f t="shared" si="2"/>
        <v>0</v>
      </c>
      <c r="AG54" s="27">
        <f>IF(AC54="","",IF(COUNTIFS($AC$3:AC54,"Quên chấm công",$S$3:S54,S54)&gt;3,"Không chấm công do vi phạm quá 3 lần",IF(COUNTIFS($AC$3:AC54,"Quên chấm công",$S$3:S54,S54)&gt;2,"Trừ toàn bộ chuyên cần tháng do vi phạm lần 3",IF(COUNTIFS($AC$3:AC54,"Quên chấm công",$S$3:S54,S54)&gt;1,"Trừ 1/2 ngày lương",50000))))</f>
        <v>50000</v>
      </c>
      <c r="AH54" s="12" t="str">
        <f>IF(AF54=0,"",IF(COUNTIFS($AF$3:AF54,"&gt;0",$S$3:S54,S54)&gt;3,"Trừ toàn bộ chuyên cần tháng",""))</f>
        <v/>
      </c>
      <c r="AI54" s="12" t="s">
        <v>1396</v>
      </c>
    </row>
    <row r="55" spans="1:35" x14ac:dyDescent="0.25">
      <c r="A55" s="4" t="s">
        <v>141</v>
      </c>
      <c r="B55" s="1" t="s">
        <v>142</v>
      </c>
      <c r="C55" s="1" t="s">
        <v>20</v>
      </c>
      <c r="D55" s="1" t="s">
        <v>111</v>
      </c>
      <c r="E55" s="1" t="s">
        <v>22</v>
      </c>
      <c r="F55" s="1" t="s">
        <v>23</v>
      </c>
      <c r="G55" s="1" t="s">
        <v>12</v>
      </c>
      <c r="H55" s="1" t="s">
        <v>156</v>
      </c>
      <c r="I55" s="1" t="s">
        <v>24</v>
      </c>
      <c r="J55" s="1" t="s">
        <v>25</v>
      </c>
      <c r="K55" s="1" t="s">
        <v>25</v>
      </c>
      <c r="L55" s="1" t="s">
        <v>26</v>
      </c>
      <c r="M55" s="1" t="s">
        <v>25</v>
      </c>
      <c r="N55" s="1" t="s">
        <v>25</v>
      </c>
      <c r="O55" s="1" t="s">
        <v>25</v>
      </c>
      <c r="P55" s="1" t="s">
        <v>25</v>
      </c>
      <c r="Q55" s="1" t="s">
        <v>25</v>
      </c>
      <c r="R55" s="85" t="str">
        <f t="shared" si="0"/>
        <v>1045923</v>
      </c>
      <c r="S55" t="str">
        <f>VLOOKUP(A55,Data_NV!$A:$C,3,0)</f>
        <v xml:space="preserve"> Lê Kim Đãng   </v>
      </c>
      <c r="T55" t="str">
        <f>VLOOKUP(A55,Data_NV!$A:$E,4,0)</f>
        <v>Vận Hành</v>
      </c>
      <c r="U55" s="82">
        <f>DATEVALUE(Table2[[#This Row],[Ngày]])</f>
        <v>45923</v>
      </c>
      <c r="V55" t="str">
        <f>VLOOKUP(A55,Data_NV!$A:$E,5,0)</f>
        <v>Đang làm việc</v>
      </c>
      <c r="W55" s="10">
        <f>VLOOKUP(A55,Data_NV!$A:$I,8,0)</f>
        <v>0.3125</v>
      </c>
      <c r="X55" s="10">
        <f>VLOOKUP(A55,Data_NV!$A:$I,9,0)</f>
        <v>0.6875</v>
      </c>
      <c r="Y55" s="10">
        <f>IFERROR(TIMEVALUE(Table2[[#This Row],[Vào]]),0)</f>
        <v>0.28267361111111111</v>
      </c>
      <c r="Z55" s="10">
        <f>IFERROR(TIMEVALUE(Table2[[#This Row],[Ra]]),0)</f>
        <v>0</v>
      </c>
      <c r="AA55" t="str">
        <f t="shared" si="3"/>
        <v>x</v>
      </c>
      <c r="AB55" s="105">
        <f t="shared" si="1"/>
        <v>0</v>
      </c>
      <c r="AC55" s="12" t="str">
        <f>IF(VLOOKUP(A55,Data_NV!$A:$I,7,0)="Không","",IF(OR(AND(Y55=0,Z55=0),AND(Y55&lt;&gt;0,Z55&lt;&gt;0)),"","Quên chấm công"))</f>
        <v/>
      </c>
      <c r="AD55" s="12">
        <f>IF(VLOOKUP(A55,Data_NV!$A:$I,7,0)="Không",0,IF(AND(Y55=0,Z55=0),0,IF(X55&lt;=Z55,0,ROUNDDOWN((X55-Z55)*24*60,0))))</f>
        <v>0</v>
      </c>
      <c r="AE55" s="12">
        <f>IF(VLOOKUP(A55,Data_NV!$A:$I,6,0)="Không",0,IF(Z55&lt;=X55,0,ROUNDDOWN((Z55-X55)*24*60,0)))</f>
        <v>0</v>
      </c>
      <c r="AF55" s="26">
        <f t="shared" si="2"/>
        <v>0</v>
      </c>
      <c r="AG55" s="27" t="str">
        <f>IF(AC55="","",IF(COUNTIFS($AC$3:AC55,"Quên chấm công",$S$3:S55,S55)&gt;3,"Không chấm công do vi phạm quá 3 lần",IF(COUNTIFS($AC$3:AC55,"Quên chấm công",$S$3:S55,S55)&gt;2,"Trừ toàn bộ chuyên cần tháng do vi phạm lần 3",IF(COUNTIFS($AC$3:AC55,"Quên chấm công",$S$3:S55,S55)&gt;1,"Trừ 1/2 ngày lương",50000))))</f>
        <v/>
      </c>
      <c r="AH55" s="12" t="str">
        <f>IF(AF55=0,"",IF(COUNTIFS($AF$3:AF55,"&gt;0",$S$3:S55,S55)&gt;3,"Trừ toàn bộ chuyên cần tháng",""))</f>
        <v/>
      </c>
      <c r="AI55" s="12"/>
    </row>
    <row r="56" spans="1:35" x14ac:dyDescent="0.25">
      <c r="A56" s="4" t="s">
        <v>141</v>
      </c>
      <c r="B56" s="1" t="s">
        <v>142</v>
      </c>
      <c r="C56" s="1" t="s">
        <v>20</v>
      </c>
      <c r="D56" s="1" t="s">
        <v>116</v>
      </c>
      <c r="E56" s="1" t="s">
        <v>22</v>
      </c>
      <c r="F56" s="1" t="s">
        <v>23</v>
      </c>
      <c r="G56" s="1" t="s">
        <v>12</v>
      </c>
      <c r="H56" s="1" t="s">
        <v>157</v>
      </c>
      <c r="I56" s="1" t="s">
        <v>24</v>
      </c>
      <c r="J56" s="1" t="s">
        <v>25</v>
      </c>
      <c r="K56" s="1" t="s">
        <v>25</v>
      </c>
      <c r="L56" s="1" t="s">
        <v>26</v>
      </c>
      <c r="M56" s="1" t="s">
        <v>25</v>
      </c>
      <c r="N56" s="1" t="s">
        <v>25</v>
      </c>
      <c r="O56" s="1" t="s">
        <v>25</v>
      </c>
      <c r="P56" s="1" t="s">
        <v>25</v>
      </c>
      <c r="Q56" s="1" t="s">
        <v>25</v>
      </c>
      <c r="R56" s="85" t="str">
        <f t="shared" si="0"/>
        <v>1045924</v>
      </c>
      <c r="S56" t="str">
        <f>VLOOKUP(A56,Data_NV!$A:$C,3,0)</f>
        <v xml:space="preserve"> Lê Kim Đãng   </v>
      </c>
      <c r="T56" t="str">
        <f>VLOOKUP(A56,Data_NV!$A:$E,4,0)</f>
        <v>Vận Hành</v>
      </c>
      <c r="U56" s="82">
        <f>DATEVALUE(Table2[[#This Row],[Ngày]])</f>
        <v>45924</v>
      </c>
      <c r="V56" t="str">
        <f>VLOOKUP(A56,Data_NV!$A:$E,5,0)</f>
        <v>Đang làm việc</v>
      </c>
      <c r="W56" s="10">
        <f>VLOOKUP(A56,Data_NV!$A:$I,8,0)</f>
        <v>0.3125</v>
      </c>
      <c r="X56" s="10">
        <f>VLOOKUP(A56,Data_NV!$A:$I,9,0)</f>
        <v>0.6875</v>
      </c>
      <c r="Y56" s="10">
        <f>IFERROR(TIMEVALUE(Table2[[#This Row],[Vào]]),0)</f>
        <v>0.28760416666666666</v>
      </c>
      <c r="Z56" s="10">
        <f>IFERROR(TIMEVALUE(Table2[[#This Row],[Ra]]),0)</f>
        <v>0</v>
      </c>
      <c r="AA56" t="str">
        <f t="shared" si="3"/>
        <v>x</v>
      </c>
      <c r="AB56" s="105">
        <f t="shared" si="1"/>
        <v>0</v>
      </c>
      <c r="AC56" s="12" t="str">
        <f>IF(VLOOKUP(A56,Data_NV!$A:$I,7,0)="Không","",IF(OR(AND(Y56=0,Z56=0),AND(Y56&lt;&gt;0,Z56&lt;&gt;0)),"","Quên chấm công"))</f>
        <v/>
      </c>
      <c r="AD56" s="12">
        <f>IF(VLOOKUP(A56,Data_NV!$A:$I,7,0)="Không",0,IF(AND(Y56=0,Z56=0),0,IF(X56&lt;=Z56,0,ROUNDDOWN((X56-Z56)*24*60,0))))</f>
        <v>0</v>
      </c>
      <c r="AE56" s="12">
        <f>IF(VLOOKUP(A56,Data_NV!$A:$I,6,0)="Không",0,IF(Z56&lt;=X56,0,ROUNDDOWN((Z56-X56)*24*60,0)))</f>
        <v>0</v>
      </c>
      <c r="AF56" s="26">
        <f t="shared" si="2"/>
        <v>0</v>
      </c>
      <c r="AG56" s="27" t="str">
        <f>IF(AC56="","",IF(COUNTIFS($AC$3:AC56,"Quên chấm công",$S$3:S56,S56)&gt;3,"Không chấm công do vi phạm quá 3 lần",IF(COUNTIFS($AC$3:AC56,"Quên chấm công",$S$3:S56,S56)&gt;2,"Trừ toàn bộ chuyên cần tháng do vi phạm lần 3",IF(COUNTIFS($AC$3:AC56,"Quên chấm công",$S$3:S56,S56)&gt;1,"Trừ 1/2 ngày lương",50000))))</f>
        <v/>
      </c>
      <c r="AH56" s="12" t="str">
        <f>IF(AF56=0,"",IF(COUNTIFS($AF$3:AF56,"&gt;0",$S$3:S56,S56)&gt;3,"Trừ toàn bộ chuyên cần tháng",""))</f>
        <v/>
      </c>
      <c r="AI56" s="12"/>
    </row>
    <row r="57" spans="1:35" x14ac:dyDescent="0.25">
      <c r="A57" s="4" t="s">
        <v>141</v>
      </c>
      <c r="B57" s="1" t="s">
        <v>142</v>
      </c>
      <c r="C57" s="1" t="s">
        <v>20</v>
      </c>
      <c r="D57" s="1" t="s">
        <v>121</v>
      </c>
      <c r="E57" s="1" t="s">
        <v>22</v>
      </c>
      <c r="F57" s="1" t="s">
        <v>23</v>
      </c>
      <c r="G57" s="1" t="s">
        <v>12</v>
      </c>
      <c r="H57" s="1" t="s">
        <v>158</v>
      </c>
      <c r="I57" s="1" t="s">
        <v>24</v>
      </c>
      <c r="J57" s="1" t="s">
        <v>25</v>
      </c>
      <c r="K57" s="1" t="s">
        <v>25</v>
      </c>
      <c r="L57" s="1" t="s">
        <v>26</v>
      </c>
      <c r="M57" s="1" t="s">
        <v>25</v>
      </c>
      <c r="N57" s="1" t="s">
        <v>25</v>
      </c>
      <c r="O57" s="1" t="s">
        <v>25</v>
      </c>
      <c r="P57" s="1" t="s">
        <v>25</v>
      </c>
      <c r="Q57" s="1" t="s">
        <v>25</v>
      </c>
      <c r="R57" s="85" t="str">
        <f t="shared" si="0"/>
        <v>1045925</v>
      </c>
      <c r="S57" t="str">
        <f>VLOOKUP(A57,Data_NV!$A:$C,3,0)</f>
        <v xml:space="preserve"> Lê Kim Đãng   </v>
      </c>
      <c r="T57" t="str">
        <f>VLOOKUP(A57,Data_NV!$A:$E,4,0)</f>
        <v>Vận Hành</v>
      </c>
      <c r="U57" s="82">
        <f>DATEVALUE(Table2[[#This Row],[Ngày]])</f>
        <v>45925</v>
      </c>
      <c r="V57" t="str">
        <f>VLOOKUP(A57,Data_NV!$A:$E,5,0)</f>
        <v>Đang làm việc</v>
      </c>
      <c r="W57" s="10">
        <f>VLOOKUP(A57,Data_NV!$A:$I,8,0)</f>
        <v>0.3125</v>
      </c>
      <c r="X57" s="10">
        <f>VLOOKUP(A57,Data_NV!$A:$I,9,0)</f>
        <v>0.6875</v>
      </c>
      <c r="Y57" s="10">
        <f>IFERROR(TIMEVALUE(Table2[[#This Row],[Vào]]),0)</f>
        <v>0.28554398148148147</v>
      </c>
      <c r="Z57" s="10">
        <f>IFERROR(TIMEVALUE(Table2[[#This Row],[Ra]]),0)</f>
        <v>0</v>
      </c>
      <c r="AA57" t="str">
        <f t="shared" si="3"/>
        <v>x</v>
      </c>
      <c r="AB57" s="105">
        <f t="shared" si="1"/>
        <v>0</v>
      </c>
      <c r="AC57" s="12" t="str">
        <f>IF(VLOOKUP(A57,Data_NV!$A:$I,7,0)="Không","",IF(OR(AND(Y57=0,Z57=0),AND(Y57&lt;&gt;0,Z57&lt;&gt;0)),"","Quên chấm công"))</f>
        <v/>
      </c>
      <c r="AD57" s="12">
        <f>IF(VLOOKUP(A57,Data_NV!$A:$I,7,0)="Không",0,IF(AND(Y57=0,Z57=0),0,IF(X57&lt;=Z57,0,ROUNDDOWN((X57-Z57)*24*60,0))))</f>
        <v>0</v>
      </c>
      <c r="AE57" s="12">
        <f>IF(VLOOKUP(A57,Data_NV!$A:$I,6,0)="Không",0,IF(Z57&lt;=X57,0,ROUNDDOWN((Z57-X57)*24*60,0)))</f>
        <v>0</v>
      </c>
      <c r="AF57" s="26">
        <f t="shared" si="2"/>
        <v>0</v>
      </c>
      <c r="AG57" s="27" t="str">
        <f>IF(AC57="","",IF(COUNTIFS($AC$3:AC57,"Quên chấm công",$S$3:S57,S57)&gt;3,"Không chấm công do vi phạm quá 3 lần",IF(COUNTIFS($AC$3:AC57,"Quên chấm công",$S$3:S57,S57)&gt;2,"Trừ toàn bộ chuyên cần tháng do vi phạm lần 3",IF(COUNTIFS($AC$3:AC57,"Quên chấm công",$S$3:S57,S57)&gt;1,"Trừ 1/2 ngày lương",50000))))</f>
        <v/>
      </c>
      <c r="AH57" s="12" t="str">
        <f>IF(AF57=0,"",IF(COUNTIFS($AF$3:AF57,"&gt;0",$S$3:S57,S57)&gt;3,"Trừ toàn bộ chuyên cần tháng",""))</f>
        <v/>
      </c>
      <c r="AI57" s="12"/>
    </row>
    <row r="58" spans="1:35" x14ac:dyDescent="0.25">
      <c r="A58" s="4" t="s">
        <v>141</v>
      </c>
      <c r="B58" s="1" t="s">
        <v>142</v>
      </c>
      <c r="C58" s="1" t="s">
        <v>20</v>
      </c>
      <c r="D58" s="1" t="s">
        <v>123</v>
      </c>
      <c r="E58" s="1" t="s">
        <v>22</v>
      </c>
      <c r="F58" s="1" t="s">
        <v>23</v>
      </c>
      <c r="G58" s="1" t="s">
        <v>12</v>
      </c>
      <c r="H58" s="1" t="s">
        <v>159</v>
      </c>
      <c r="I58" s="1" t="s">
        <v>24</v>
      </c>
      <c r="J58" s="1" t="s">
        <v>25</v>
      </c>
      <c r="K58" s="1" t="s">
        <v>25</v>
      </c>
      <c r="L58" s="1" t="s">
        <v>26</v>
      </c>
      <c r="M58" s="1" t="s">
        <v>25</v>
      </c>
      <c r="N58" s="1" t="s">
        <v>25</v>
      </c>
      <c r="O58" s="1" t="s">
        <v>25</v>
      </c>
      <c r="P58" s="1" t="s">
        <v>25</v>
      </c>
      <c r="Q58" s="1" t="s">
        <v>25</v>
      </c>
      <c r="R58" s="85" t="str">
        <f t="shared" si="0"/>
        <v>1045926</v>
      </c>
      <c r="S58" t="str">
        <f>VLOOKUP(A58,Data_NV!$A:$C,3,0)</f>
        <v xml:space="preserve"> Lê Kim Đãng   </v>
      </c>
      <c r="T58" t="str">
        <f>VLOOKUP(A58,Data_NV!$A:$E,4,0)</f>
        <v>Vận Hành</v>
      </c>
      <c r="U58" s="82">
        <f>DATEVALUE(Table2[[#This Row],[Ngày]])</f>
        <v>45926</v>
      </c>
      <c r="V58" t="str">
        <f>VLOOKUP(A58,Data_NV!$A:$E,5,0)</f>
        <v>Đang làm việc</v>
      </c>
      <c r="W58" s="10">
        <f>VLOOKUP(A58,Data_NV!$A:$I,8,0)</f>
        <v>0.3125</v>
      </c>
      <c r="X58" s="10">
        <f>VLOOKUP(A58,Data_NV!$A:$I,9,0)</f>
        <v>0.6875</v>
      </c>
      <c r="Y58" s="10">
        <f>IFERROR(TIMEVALUE(Table2[[#This Row],[Vào]]),0)</f>
        <v>0.28515046296296298</v>
      </c>
      <c r="Z58" s="10">
        <f>IFERROR(TIMEVALUE(Table2[[#This Row],[Ra]]),0)</f>
        <v>0</v>
      </c>
      <c r="AA58" t="str">
        <f t="shared" si="3"/>
        <v>x</v>
      </c>
      <c r="AB58" s="105">
        <f t="shared" si="1"/>
        <v>0</v>
      </c>
      <c r="AC58" s="12" t="str">
        <f>IF(VLOOKUP(A58,Data_NV!$A:$I,7,0)="Không","",IF(OR(AND(Y58=0,Z58=0),AND(Y58&lt;&gt;0,Z58&lt;&gt;0)),"","Quên chấm công"))</f>
        <v/>
      </c>
      <c r="AD58" s="12">
        <f>IF(VLOOKUP(A58,Data_NV!$A:$I,7,0)="Không",0,IF(AND(Y58=0,Z58=0),0,IF(X58&lt;=Z58,0,ROUNDDOWN((X58-Z58)*24*60,0))))</f>
        <v>0</v>
      </c>
      <c r="AE58" s="12">
        <f>IF(VLOOKUP(A58,Data_NV!$A:$I,6,0)="Không",0,IF(Z58&lt;=X58,0,ROUNDDOWN((Z58-X58)*24*60,0)))</f>
        <v>0</v>
      </c>
      <c r="AF58" s="26">
        <f t="shared" si="2"/>
        <v>0</v>
      </c>
      <c r="AG58" s="27" t="str">
        <f>IF(AC58="","",IF(COUNTIFS($AC$3:AC58,"Quên chấm công",$S$3:S58,S58)&gt;3,"Không chấm công do vi phạm quá 3 lần",IF(COUNTIFS($AC$3:AC58,"Quên chấm công",$S$3:S58,S58)&gt;2,"Trừ toàn bộ chuyên cần tháng do vi phạm lần 3",IF(COUNTIFS($AC$3:AC58,"Quên chấm công",$S$3:S58,S58)&gt;1,"Trừ 1/2 ngày lương",50000))))</f>
        <v/>
      </c>
      <c r="AH58" s="12" t="str">
        <f>IF(AF58=0,"",IF(COUNTIFS($AF$3:AF58,"&gt;0",$S$3:S58,S58)&gt;3,"Trừ toàn bộ chuyên cần tháng",""))</f>
        <v/>
      </c>
      <c r="AI58" s="12"/>
    </row>
    <row r="59" spans="1:35" x14ac:dyDescent="0.25">
      <c r="A59" s="4" t="s">
        <v>141</v>
      </c>
      <c r="B59" s="1" t="s">
        <v>142</v>
      </c>
      <c r="C59" s="1" t="s">
        <v>20</v>
      </c>
      <c r="D59" s="1" t="s">
        <v>125</v>
      </c>
      <c r="E59" s="1" t="s">
        <v>22</v>
      </c>
      <c r="F59" s="1" t="s">
        <v>23</v>
      </c>
      <c r="G59" s="1" t="s">
        <v>12</v>
      </c>
      <c r="H59" s="1" t="s">
        <v>160</v>
      </c>
      <c r="I59" s="1" t="s">
        <v>24</v>
      </c>
      <c r="J59" s="1" t="s">
        <v>25</v>
      </c>
      <c r="K59" s="1" t="s">
        <v>25</v>
      </c>
      <c r="L59" s="1" t="s">
        <v>26</v>
      </c>
      <c r="M59" s="1" t="s">
        <v>25</v>
      </c>
      <c r="N59" s="1" t="s">
        <v>25</v>
      </c>
      <c r="O59" s="1" t="s">
        <v>25</v>
      </c>
      <c r="P59" s="1" t="s">
        <v>25</v>
      </c>
      <c r="Q59" s="1" t="s">
        <v>25</v>
      </c>
      <c r="R59" s="85" t="str">
        <f t="shared" si="0"/>
        <v>1045927</v>
      </c>
      <c r="S59" t="str">
        <f>VLOOKUP(A59,Data_NV!$A:$C,3,0)</f>
        <v xml:space="preserve"> Lê Kim Đãng   </v>
      </c>
      <c r="T59" t="str">
        <f>VLOOKUP(A59,Data_NV!$A:$E,4,0)</f>
        <v>Vận Hành</v>
      </c>
      <c r="U59" s="82">
        <f>DATEVALUE(Table2[[#This Row],[Ngày]])</f>
        <v>45927</v>
      </c>
      <c r="V59" t="str">
        <f>VLOOKUP(A59,Data_NV!$A:$E,5,0)</f>
        <v>Đang làm việc</v>
      </c>
      <c r="W59" s="10">
        <f>VLOOKUP(A59,Data_NV!$A:$I,8,0)</f>
        <v>0.3125</v>
      </c>
      <c r="X59" s="10">
        <f>VLOOKUP(A59,Data_NV!$A:$I,9,0)</f>
        <v>0.6875</v>
      </c>
      <c r="Y59" s="10">
        <f>IFERROR(TIMEVALUE(Table2[[#This Row],[Vào]]),0)</f>
        <v>0.28037037037037038</v>
      </c>
      <c r="Z59" s="10">
        <f>IFERROR(TIMEVALUE(Table2[[#This Row],[Ra]]),0)</f>
        <v>0</v>
      </c>
      <c r="AA59" t="str">
        <f t="shared" si="3"/>
        <v>x</v>
      </c>
      <c r="AB59" s="105">
        <f t="shared" si="1"/>
        <v>0</v>
      </c>
      <c r="AC59" s="12" t="str">
        <f>IF(VLOOKUP(A59,Data_NV!$A:$I,7,0)="Không","",IF(OR(AND(Y59=0,Z59=0),AND(Y59&lt;&gt;0,Z59&lt;&gt;0)),"","Quên chấm công"))</f>
        <v/>
      </c>
      <c r="AD59" s="12">
        <f>IF(VLOOKUP(A59,Data_NV!$A:$I,7,0)="Không",0,IF(AND(Y59=0,Z59=0),0,IF(X59&lt;=Z59,0,ROUNDDOWN((X59-Z59)*24*60,0))))</f>
        <v>0</v>
      </c>
      <c r="AE59" s="12">
        <f>IF(VLOOKUP(A59,Data_NV!$A:$I,6,0)="Không",0,IF(Z59&lt;=X59,0,ROUNDDOWN((Z59-X59)*24*60,0)))</f>
        <v>0</v>
      </c>
      <c r="AF59" s="26">
        <f t="shared" si="2"/>
        <v>0</v>
      </c>
      <c r="AG59" s="27" t="str">
        <f>IF(AC59="","",IF(COUNTIFS($AC$3:AC59,"Quên chấm công",$S$3:S59,S59)&gt;3,"Không chấm công do vi phạm quá 3 lần",IF(COUNTIFS($AC$3:AC59,"Quên chấm công",$S$3:S59,S59)&gt;2,"Trừ toàn bộ chuyên cần tháng do vi phạm lần 3",IF(COUNTIFS($AC$3:AC59,"Quên chấm công",$S$3:S59,S59)&gt;1,"Trừ 1/2 ngày lương",50000))))</f>
        <v/>
      </c>
      <c r="AH59" s="12" t="str">
        <f>IF(AF59=0,"",IF(COUNTIFS($AF$3:AF59,"&gt;0",$S$3:S59,S59)&gt;3,"Trừ toàn bộ chuyên cần tháng",""))</f>
        <v/>
      </c>
      <c r="AI59" s="12"/>
    </row>
    <row r="60" spans="1:35" x14ac:dyDescent="0.25">
      <c r="A60" s="4" t="s">
        <v>141</v>
      </c>
      <c r="B60" s="1" t="s">
        <v>142</v>
      </c>
      <c r="C60" s="1" t="s">
        <v>20</v>
      </c>
      <c r="D60" s="1" t="s">
        <v>130</v>
      </c>
      <c r="E60" s="1" t="s">
        <v>22</v>
      </c>
      <c r="F60" s="1" t="s">
        <v>23</v>
      </c>
      <c r="G60" s="1" t="s">
        <v>12</v>
      </c>
      <c r="H60" s="1" t="s">
        <v>24</v>
      </c>
      <c r="I60" s="1" t="s">
        <v>24</v>
      </c>
      <c r="J60" s="1" t="s">
        <v>25</v>
      </c>
      <c r="K60" s="1" t="s">
        <v>25</v>
      </c>
      <c r="L60" s="1" t="s">
        <v>26</v>
      </c>
      <c r="M60" s="1" t="s">
        <v>25</v>
      </c>
      <c r="N60" s="1" t="s">
        <v>25</v>
      </c>
      <c r="O60" s="1" t="s">
        <v>25</v>
      </c>
      <c r="P60" s="1" t="s">
        <v>25</v>
      </c>
      <c r="Q60" s="1" t="s">
        <v>25</v>
      </c>
      <c r="R60" s="85" t="str">
        <f t="shared" si="0"/>
        <v>1045928</v>
      </c>
      <c r="S60" t="str">
        <f>VLOOKUP(A60,Data_NV!$A:$C,3,0)</f>
        <v xml:space="preserve"> Lê Kim Đãng   </v>
      </c>
      <c r="T60" t="str">
        <f>VLOOKUP(A60,Data_NV!$A:$E,4,0)</f>
        <v>Vận Hành</v>
      </c>
      <c r="U60" s="82">
        <f>DATEVALUE(Table2[[#This Row],[Ngày]])</f>
        <v>45928</v>
      </c>
      <c r="V60" t="str">
        <f>VLOOKUP(A60,Data_NV!$A:$E,5,0)</f>
        <v>Đang làm việc</v>
      </c>
      <c r="W60" s="10">
        <f>VLOOKUP(A60,Data_NV!$A:$I,8,0)</f>
        <v>0.3125</v>
      </c>
      <c r="X60" s="10">
        <f>VLOOKUP(A60,Data_NV!$A:$I,9,0)</f>
        <v>0.6875</v>
      </c>
      <c r="Y60" s="10">
        <f>IFERROR(TIMEVALUE(Table2[[#This Row],[Vào]]),0)</f>
        <v>0</v>
      </c>
      <c r="Z60" s="10">
        <f>IFERROR(TIMEVALUE(Table2[[#This Row],[Ra]]),0)</f>
        <v>0</v>
      </c>
      <c r="AA60" t="str">
        <f t="shared" si="3"/>
        <v>Chủ nhật</v>
      </c>
      <c r="AB60" s="105">
        <f t="shared" si="1"/>
        <v>0</v>
      </c>
      <c r="AC60" s="12" t="str">
        <f>IF(VLOOKUP(A60,Data_NV!$A:$I,7,0)="Không","",IF(OR(AND(Y60=0,Z60=0),AND(Y60&lt;&gt;0,Z60&lt;&gt;0)),"","Quên chấm công"))</f>
        <v/>
      </c>
      <c r="AD60" s="12">
        <f>IF(VLOOKUP(A60,Data_NV!$A:$I,7,0)="Không",0,IF(AND(Y60=0,Z60=0),0,IF(X60&lt;=Z60,0,ROUNDDOWN((X60-Z60)*24*60,0))))</f>
        <v>0</v>
      </c>
      <c r="AE60" s="12">
        <f>IF(VLOOKUP(A60,Data_NV!$A:$I,6,0)="Không",0,IF(Z60&lt;=X60,0,ROUNDDOWN((Z60-X60)*24*60,0)))</f>
        <v>0</v>
      </c>
      <c r="AF60" s="26">
        <f t="shared" si="2"/>
        <v>0</v>
      </c>
      <c r="AG60" s="27" t="str">
        <f>IF(AC60="","",IF(COUNTIFS($AC$3:AC60,"Quên chấm công",$S$3:S60,S60)&gt;3,"Không chấm công do vi phạm quá 3 lần",IF(COUNTIFS($AC$3:AC60,"Quên chấm công",$S$3:S60,S60)&gt;2,"Trừ toàn bộ chuyên cần tháng do vi phạm lần 3",IF(COUNTIFS($AC$3:AC60,"Quên chấm công",$S$3:S60,S60)&gt;1,"Trừ 1/2 ngày lương",50000))))</f>
        <v/>
      </c>
      <c r="AH60" s="12" t="str">
        <f>IF(AF60=0,"",IF(COUNTIFS($AF$3:AF60,"&gt;0",$S$3:S60,S60)&gt;3,"Trừ toàn bộ chuyên cần tháng",""))</f>
        <v/>
      </c>
      <c r="AI60" s="12"/>
    </row>
    <row r="61" spans="1:35" x14ac:dyDescent="0.25">
      <c r="A61" s="4" t="s">
        <v>141</v>
      </c>
      <c r="B61" s="1" t="s">
        <v>142</v>
      </c>
      <c r="C61" s="1" t="s">
        <v>20</v>
      </c>
      <c r="D61" s="1" t="s">
        <v>131</v>
      </c>
      <c r="E61" s="1" t="s">
        <v>22</v>
      </c>
      <c r="F61" s="1" t="s">
        <v>23</v>
      </c>
      <c r="G61" s="1" t="s">
        <v>12</v>
      </c>
      <c r="H61" s="1" t="s">
        <v>161</v>
      </c>
      <c r="I61" s="1" t="s">
        <v>24</v>
      </c>
      <c r="J61" s="1" t="s">
        <v>25</v>
      </c>
      <c r="K61" s="1" t="s">
        <v>25</v>
      </c>
      <c r="L61" s="1" t="s">
        <v>26</v>
      </c>
      <c r="M61" s="1" t="s">
        <v>25</v>
      </c>
      <c r="N61" s="1" t="s">
        <v>25</v>
      </c>
      <c r="O61" s="1" t="s">
        <v>25</v>
      </c>
      <c r="P61" s="1" t="s">
        <v>25</v>
      </c>
      <c r="Q61" s="1" t="s">
        <v>25</v>
      </c>
      <c r="R61" s="85" t="str">
        <f t="shared" si="0"/>
        <v>1045929</v>
      </c>
      <c r="S61" t="str">
        <f>VLOOKUP(A61,Data_NV!$A:$C,3,0)</f>
        <v xml:space="preserve"> Lê Kim Đãng   </v>
      </c>
      <c r="T61" t="str">
        <f>VLOOKUP(A61,Data_NV!$A:$E,4,0)</f>
        <v>Vận Hành</v>
      </c>
      <c r="U61" s="82">
        <f>DATEVALUE(Table2[[#This Row],[Ngày]])</f>
        <v>45929</v>
      </c>
      <c r="V61" t="str">
        <f>VLOOKUP(A61,Data_NV!$A:$E,5,0)</f>
        <v>Đang làm việc</v>
      </c>
      <c r="W61" s="10">
        <f>VLOOKUP(A61,Data_NV!$A:$I,8,0)</f>
        <v>0.3125</v>
      </c>
      <c r="X61" s="10">
        <f>VLOOKUP(A61,Data_NV!$A:$I,9,0)</f>
        <v>0.6875</v>
      </c>
      <c r="Y61" s="10">
        <f>IFERROR(TIMEVALUE(Table2[[#This Row],[Vào]]),0)</f>
        <v>0.28583333333333333</v>
      </c>
      <c r="Z61" s="10">
        <f>IFERROR(TIMEVALUE(Table2[[#This Row],[Ra]]),0)</f>
        <v>0</v>
      </c>
      <c r="AA61" t="str">
        <f t="shared" si="3"/>
        <v>x</v>
      </c>
      <c r="AB61" s="105">
        <f t="shared" si="1"/>
        <v>0</v>
      </c>
      <c r="AC61" s="12" t="str">
        <f>IF(VLOOKUP(A61,Data_NV!$A:$I,7,0)="Không","",IF(OR(AND(Y61=0,Z61=0),AND(Y61&lt;&gt;0,Z61&lt;&gt;0)),"","Quên chấm công"))</f>
        <v/>
      </c>
      <c r="AD61" s="12">
        <f>IF(VLOOKUP(A61,Data_NV!$A:$I,7,0)="Không",0,IF(AND(Y61=0,Z61=0),0,IF(X61&lt;=Z61,0,ROUNDDOWN((X61-Z61)*24*60,0))))</f>
        <v>0</v>
      </c>
      <c r="AE61" s="12">
        <f>IF(VLOOKUP(A61,Data_NV!$A:$I,6,0)="Không",0,IF(Z61&lt;=X61,0,ROUNDDOWN((Z61-X61)*24*60,0)))</f>
        <v>0</v>
      </c>
      <c r="AF61" s="26">
        <f t="shared" si="2"/>
        <v>0</v>
      </c>
      <c r="AG61" s="27" t="str">
        <f>IF(AC61="","",IF(COUNTIFS($AC$3:AC61,"Quên chấm công",$S$3:S61,S61)&gt;3,"Không chấm công do vi phạm quá 3 lần",IF(COUNTIFS($AC$3:AC61,"Quên chấm công",$S$3:S61,S61)&gt;2,"Trừ toàn bộ chuyên cần tháng do vi phạm lần 3",IF(COUNTIFS($AC$3:AC61,"Quên chấm công",$S$3:S61,S61)&gt;1,"Trừ 1/2 ngày lương",50000))))</f>
        <v/>
      </c>
      <c r="AH61" s="12" t="str">
        <f>IF(AF61=0,"",IF(COUNTIFS($AF$3:AF61,"&gt;0",$S$3:S61,S61)&gt;3,"Trừ toàn bộ chuyên cần tháng",""))</f>
        <v/>
      </c>
      <c r="AI61" s="12"/>
    </row>
    <row r="62" spans="1:35" x14ac:dyDescent="0.25">
      <c r="A62" s="4" t="s">
        <v>141</v>
      </c>
      <c r="B62" s="1" t="s">
        <v>142</v>
      </c>
      <c r="C62" s="1" t="s">
        <v>20</v>
      </c>
      <c r="D62" s="1" t="s">
        <v>136</v>
      </c>
      <c r="E62" s="1" t="s">
        <v>22</v>
      </c>
      <c r="F62" s="1" t="s">
        <v>23</v>
      </c>
      <c r="G62" s="1" t="s">
        <v>12</v>
      </c>
      <c r="H62" s="1" t="s">
        <v>162</v>
      </c>
      <c r="I62" s="1" t="s">
        <v>24</v>
      </c>
      <c r="J62" s="1" t="s">
        <v>25</v>
      </c>
      <c r="K62" s="1" t="s">
        <v>25</v>
      </c>
      <c r="L62" s="1" t="s">
        <v>26</v>
      </c>
      <c r="M62" s="1" t="s">
        <v>25</v>
      </c>
      <c r="N62" s="1" t="s">
        <v>25</v>
      </c>
      <c r="O62" s="1" t="s">
        <v>25</v>
      </c>
      <c r="P62" s="1" t="s">
        <v>25</v>
      </c>
      <c r="Q62" s="1" t="s">
        <v>25</v>
      </c>
      <c r="R62" s="85" t="str">
        <f t="shared" si="0"/>
        <v>1045930</v>
      </c>
      <c r="S62" t="str">
        <f>VLOOKUP(A62,Data_NV!$A:$C,3,0)</f>
        <v xml:space="preserve"> Lê Kim Đãng   </v>
      </c>
      <c r="T62" t="str">
        <f>VLOOKUP(A62,Data_NV!$A:$E,4,0)</f>
        <v>Vận Hành</v>
      </c>
      <c r="U62" s="82">
        <f>DATEVALUE(Table2[[#This Row],[Ngày]])</f>
        <v>45930</v>
      </c>
      <c r="V62" t="str">
        <f>VLOOKUP(A62,Data_NV!$A:$E,5,0)</f>
        <v>Đang làm việc</v>
      </c>
      <c r="W62" s="10">
        <f>VLOOKUP(A62,Data_NV!$A:$I,8,0)</f>
        <v>0.3125</v>
      </c>
      <c r="X62" s="10">
        <f>VLOOKUP(A62,Data_NV!$A:$I,9,0)</f>
        <v>0.6875</v>
      </c>
      <c r="Y62" s="10">
        <f>IFERROR(TIMEVALUE(Table2[[#This Row],[Vào]]),0)</f>
        <v>0.28903935185185187</v>
      </c>
      <c r="Z62" s="10">
        <f>IFERROR(TIMEVALUE(Table2[[#This Row],[Ra]]),0)</f>
        <v>0</v>
      </c>
      <c r="AA62" t="str">
        <f t="shared" si="3"/>
        <v>x</v>
      </c>
      <c r="AB62" s="105">
        <f t="shared" si="1"/>
        <v>0</v>
      </c>
      <c r="AC62" s="12" t="str">
        <f>IF(VLOOKUP(A62,Data_NV!$A:$I,7,0)="Không","",IF(OR(AND(Y62=0,Z62=0),AND(Y62&lt;&gt;0,Z62&lt;&gt;0)),"","Quên chấm công"))</f>
        <v/>
      </c>
      <c r="AD62" s="12">
        <f>IF(VLOOKUP(A62,Data_NV!$A:$I,7,0)="Không",0,IF(AND(Y62=0,Z62=0),0,IF(X62&lt;=Z62,0,ROUNDDOWN((X62-Z62)*24*60,0))))</f>
        <v>0</v>
      </c>
      <c r="AE62" s="12">
        <f>IF(VLOOKUP(A62,Data_NV!$A:$I,6,0)="Không",0,IF(Z62&lt;=X62,0,ROUNDDOWN((Z62-X62)*24*60,0)))</f>
        <v>0</v>
      </c>
      <c r="AF62" s="26">
        <f t="shared" si="2"/>
        <v>0</v>
      </c>
      <c r="AG62" s="27" t="str">
        <f>IF(AC62="","",IF(COUNTIFS($AC$3:AC62,"Quên chấm công",$S$3:S62,S62)&gt;3,"Không chấm công do vi phạm quá 3 lần",IF(COUNTIFS($AC$3:AC62,"Quên chấm công",$S$3:S62,S62)&gt;2,"Trừ toàn bộ chuyên cần tháng do vi phạm lần 3",IF(COUNTIFS($AC$3:AC62,"Quên chấm công",$S$3:S62,S62)&gt;1,"Trừ 1/2 ngày lương",50000))))</f>
        <v/>
      </c>
      <c r="AH62" s="12" t="str">
        <f>IF(AF62=0,"",IF(COUNTIFS($AF$3:AF62,"&gt;0",$S$3:S62,S62)&gt;3,"Trừ toàn bộ chuyên cần tháng",""))</f>
        <v/>
      </c>
      <c r="AI62" s="12"/>
    </row>
    <row r="63" spans="1:35" x14ac:dyDescent="0.25">
      <c r="A63" s="4" t="s">
        <v>163</v>
      </c>
      <c r="B63" s="1" t="s">
        <v>164</v>
      </c>
      <c r="C63" s="1" t="s">
        <v>20</v>
      </c>
      <c r="D63" s="1" t="s">
        <v>21</v>
      </c>
      <c r="E63" s="1" t="s">
        <v>22</v>
      </c>
      <c r="F63" s="1" t="s">
        <v>23</v>
      </c>
      <c r="G63" s="1" t="s">
        <v>12</v>
      </c>
      <c r="H63" s="1" t="s">
        <v>24</v>
      </c>
      <c r="I63" s="1" t="s">
        <v>24</v>
      </c>
      <c r="J63" s="1" t="s">
        <v>25</v>
      </c>
      <c r="K63" s="1" t="s">
        <v>25</v>
      </c>
      <c r="L63" s="1" t="s">
        <v>26</v>
      </c>
      <c r="M63" s="1" t="s">
        <v>25</v>
      </c>
      <c r="N63" s="1" t="s">
        <v>25</v>
      </c>
      <c r="O63" s="1" t="s">
        <v>25</v>
      </c>
      <c r="P63" s="1" t="s">
        <v>25</v>
      </c>
      <c r="Q63" s="1" t="s">
        <v>25</v>
      </c>
      <c r="R63" s="85" t="str">
        <f t="shared" si="0"/>
        <v>1145901</v>
      </c>
      <c r="S63" t="str">
        <f>VLOOKUP(A63,Data_NV!$A:$C,3,0)</f>
        <v xml:space="preserve"> Trần Cao Hoàng Tâm    </v>
      </c>
      <c r="T63" t="str">
        <f>VLOOKUP(A63,Data_NV!$A:$E,4,0)</f>
        <v>Vận Hành</v>
      </c>
      <c r="U63" s="82">
        <f>DATEVALUE(Table2[[#This Row],[Ngày]])</f>
        <v>45901</v>
      </c>
      <c r="V63" t="str">
        <f>VLOOKUP(A63,Data_NV!$A:$E,5,0)</f>
        <v>Đang làm việc</v>
      </c>
      <c r="W63" s="10">
        <f>VLOOKUP(A63,Data_NV!$A:$I,8,0)</f>
        <v>0.3125</v>
      </c>
      <c r="X63" s="10">
        <f>VLOOKUP(A63,Data_NV!$A:$I,9,0)</f>
        <v>0.6875</v>
      </c>
      <c r="Y63" s="10">
        <f>IFERROR(TIMEVALUE(Table2[[#This Row],[Vào]]),0)</f>
        <v>0</v>
      </c>
      <c r="Z63" s="10">
        <f>IFERROR(TIMEVALUE(Table2[[#This Row],[Ra]]),0)</f>
        <v>0</v>
      </c>
      <c r="AA63" s="97" t="s">
        <v>1349</v>
      </c>
      <c r="AB63" s="105">
        <f t="shared" si="1"/>
        <v>0</v>
      </c>
      <c r="AC63" s="12" t="str">
        <f>IF(VLOOKUP(A63,Data_NV!$A:$I,7,0)="Không","",IF(OR(AND(Y63=0,Z63=0),AND(Y63&lt;&gt;0,Z63&lt;&gt;0)),"","Quên chấm công"))</f>
        <v/>
      </c>
      <c r="AD63" s="12">
        <f>IF(VLOOKUP(A63,Data_NV!$A:$I,7,0)="Không",0,IF(AND(Y63=0,Z63=0),0,IF(X63&lt;=Z63,0,ROUNDDOWN((X63-Z63)*24*60,0))))</f>
        <v>0</v>
      </c>
      <c r="AE63" s="12">
        <f>IF(VLOOKUP(A63,Data_NV!$A:$I,6,0)="Không",0,IF(Z63&lt;=X63,0,ROUNDDOWN((Z63-X63)*24*60,0)))</f>
        <v>0</v>
      </c>
      <c r="AF63" s="26">
        <f t="shared" si="2"/>
        <v>0</v>
      </c>
      <c r="AG63" s="27" t="str">
        <f>IF(AC63="","",IF(COUNTIFS($AC$3:AC63,"Quên chấm công",$S$3:S63,S63)&gt;3,"Không chấm công do vi phạm quá 3 lần",IF(COUNTIFS($AC$3:AC63,"Quên chấm công",$S$3:S63,S63)&gt;2,"Trừ toàn bộ chuyên cần tháng do vi phạm lần 3",IF(COUNTIFS($AC$3:AC63,"Quên chấm công",$S$3:S63,S63)&gt;1,"Trừ 1/2 ngày lương",50000))))</f>
        <v/>
      </c>
      <c r="AH63" s="12" t="str">
        <f>IF(AF63=0,"",IF(COUNTIFS($AF$3:AF63,"&gt;0",$S$3:S63,S63)&gt;3,"Trừ toàn bộ chuyên cần tháng",""))</f>
        <v/>
      </c>
      <c r="AI63" s="98" t="s">
        <v>1369</v>
      </c>
    </row>
    <row r="64" spans="1:35" x14ac:dyDescent="0.25">
      <c r="A64" s="4" t="s">
        <v>163</v>
      </c>
      <c r="B64" s="1" t="s">
        <v>164</v>
      </c>
      <c r="C64" s="1" t="s">
        <v>20</v>
      </c>
      <c r="D64" s="1" t="s">
        <v>27</v>
      </c>
      <c r="E64" s="1" t="s">
        <v>22</v>
      </c>
      <c r="F64" s="1" t="s">
        <v>23</v>
      </c>
      <c r="G64" s="1" t="s">
        <v>12</v>
      </c>
      <c r="H64" s="1" t="s">
        <v>24</v>
      </c>
      <c r="I64" s="1" t="s">
        <v>24</v>
      </c>
      <c r="J64" s="1" t="s">
        <v>25</v>
      </c>
      <c r="K64" s="1" t="s">
        <v>25</v>
      </c>
      <c r="L64" s="1" t="s">
        <v>26</v>
      </c>
      <c r="M64" s="1" t="s">
        <v>25</v>
      </c>
      <c r="N64" s="1" t="s">
        <v>25</v>
      </c>
      <c r="O64" s="1" t="s">
        <v>25</v>
      </c>
      <c r="P64" s="1" t="s">
        <v>25</v>
      </c>
      <c r="Q64" s="1" t="s">
        <v>25</v>
      </c>
      <c r="R64" s="85" t="str">
        <f t="shared" si="0"/>
        <v>1145902</v>
      </c>
      <c r="S64" t="str">
        <f>VLOOKUP(A64,Data_NV!$A:$C,3,0)</f>
        <v xml:space="preserve"> Trần Cao Hoàng Tâm    </v>
      </c>
      <c r="T64" t="str">
        <f>VLOOKUP(A64,Data_NV!$A:$E,4,0)</f>
        <v>Vận Hành</v>
      </c>
      <c r="U64" s="82">
        <f>DATEVALUE(Table2[[#This Row],[Ngày]])</f>
        <v>45902</v>
      </c>
      <c r="V64" t="str">
        <f>VLOOKUP(A64,Data_NV!$A:$E,5,0)</f>
        <v>Đang làm việc</v>
      </c>
      <c r="W64" s="10">
        <f>VLOOKUP(A64,Data_NV!$A:$I,8,0)</f>
        <v>0.3125</v>
      </c>
      <c r="X64" s="10">
        <f>VLOOKUP(A64,Data_NV!$A:$I,9,0)</f>
        <v>0.6875</v>
      </c>
      <c r="Y64" s="10">
        <f>IFERROR(TIMEVALUE(Table2[[#This Row],[Vào]]),0)</f>
        <v>0</v>
      </c>
      <c r="Z64" s="10">
        <f>IFERROR(TIMEVALUE(Table2[[#This Row],[Ra]]),0)</f>
        <v>0</v>
      </c>
      <c r="AA64" s="97" t="s">
        <v>1349</v>
      </c>
      <c r="AB64" s="105">
        <f t="shared" si="1"/>
        <v>0</v>
      </c>
      <c r="AC64" s="12" t="str">
        <f>IF(VLOOKUP(A64,Data_NV!$A:$I,7,0)="Không","",IF(OR(AND(Y64=0,Z64=0),AND(Y64&lt;&gt;0,Z64&lt;&gt;0)),"","Quên chấm công"))</f>
        <v/>
      </c>
      <c r="AD64" s="12">
        <f>IF(VLOOKUP(A64,Data_NV!$A:$I,7,0)="Không",0,IF(AND(Y64=0,Z64=0),0,IF(X64&lt;=Z64,0,ROUNDDOWN((X64-Z64)*24*60,0))))</f>
        <v>0</v>
      </c>
      <c r="AE64" s="12">
        <f>IF(VLOOKUP(A64,Data_NV!$A:$I,6,0)="Không",0,IF(Z64&lt;=X64,0,ROUNDDOWN((Z64-X64)*24*60,0)))</f>
        <v>0</v>
      </c>
      <c r="AF64" s="26">
        <f t="shared" si="2"/>
        <v>0</v>
      </c>
      <c r="AG64" s="27" t="str">
        <f>IF(AC64="","",IF(COUNTIFS($AC$3:AC64,"Quên chấm công",$S$3:S64,S64)&gt;3,"Không chấm công do vi phạm quá 3 lần",IF(COUNTIFS($AC$3:AC64,"Quên chấm công",$S$3:S64,S64)&gt;2,"Trừ toàn bộ chuyên cần tháng do vi phạm lần 3",IF(COUNTIFS($AC$3:AC64,"Quên chấm công",$S$3:S64,S64)&gt;1,"Trừ 1/2 ngày lương",50000))))</f>
        <v/>
      </c>
      <c r="AH64" s="12" t="str">
        <f>IF(AF64=0,"",IF(COUNTIFS($AF$3:AF64,"&gt;0",$S$3:S64,S64)&gt;3,"Trừ toàn bộ chuyên cần tháng",""))</f>
        <v/>
      </c>
      <c r="AI64" s="98" t="s">
        <v>1369</v>
      </c>
    </row>
    <row r="65" spans="1:35" x14ac:dyDescent="0.25">
      <c r="A65" s="4" t="s">
        <v>163</v>
      </c>
      <c r="B65" s="1" t="s">
        <v>164</v>
      </c>
      <c r="C65" s="1" t="s">
        <v>20</v>
      </c>
      <c r="D65" s="1" t="s">
        <v>28</v>
      </c>
      <c r="E65" s="1" t="s">
        <v>22</v>
      </c>
      <c r="F65" s="1" t="s">
        <v>23</v>
      </c>
      <c r="G65" s="1" t="s">
        <v>12</v>
      </c>
      <c r="H65" s="1" t="s">
        <v>24</v>
      </c>
      <c r="I65" s="1" t="s">
        <v>24</v>
      </c>
      <c r="J65" s="1" t="s">
        <v>25</v>
      </c>
      <c r="K65" s="1" t="s">
        <v>25</v>
      </c>
      <c r="L65" s="1" t="s">
        <v>26</v>
      </c>
      <c r="M65" s="1" t="s">
        <v>25</v>
      </c>
      <c r="N65" s="1" t="s">
        <v>25</v>
      </c>
      <c r="O65" s="1" t="s">
        <v>25</v>
      </c>
      <c r="P65" s="1" t="s">
        <v>25</v>
      </c>
      <c r="Q65" s="1" t="s">
        <v>25</v>
      </c>
      <c r="R65" s="85" t="str">
        <f t="shared" si="0"/>
        <v>1145903</v>
      </c>
      <c r="S65" t="str">
        <f>VLOOKUP(A65,Data_NV!$A:$C,3,0)</f>
        <v xml:space="preserve"> Trần Cao Hoàng Tâm    </v>
      </c>
      <c r="T65" t="str">
        <f>VLOOKUP(A65,Data_NV!$A:$E,4,0)</f>
        <v>Vận Hành</v>
      </c>
      <c r="U65" s="82">
        <f>DATEVALUE(Table2[[#This Row],[Ngày]])</f>
        <v>45903</v>
      </c>
      <c r="V65" t="str">
        <f>VLOOKUP(A65,Data_NV!$A:$E,5,0)</f>
        <v>Đang làm việc</v>
      </c>
      <c r="W65" s="10">
        <f>VLOOKUP(A65,Data_NV!$A:$I,8,0)</f>
        <v>0.3125</v>
      </c>
      <c r="X65" s="10">
        <f>VLOOKUP(A65,Data_NV!$A:$I,9,0)</f>
        <v>0.6875</v>
      </c>
      <c r="Y65" s="10">
        <f>IFERROR(TIMEVALUE(Table2[[#This Row],[Vào]]),0)</f>
        <v>0</v>
      </c>
      <c r="Z65" s="10">
        <f>IFERROR(TIMEVALUE(Table2[[#This Row],[Ra]]),0)</f>
        <v>0</v>
      </c>
      <c r="AA65" t="s">
        <v>1341</v>
      </c>
      <c r="AB65" s="105">
        <f t="shared" si="1"/>
        <v>0</v>
      </c>
      <c r="AC65" s="12" t="str">
        <f>IF(VLOOKUP(A65,Data_NV!$A:$I,7,0)="Không","",IF(OR(AND(Y65=0,Z65=0),AND(Y65&lt;&gt;0,Z65&lt;&gt;0)),"","Quên chấm công"))</f>
        <v/>
      </c>
      <c r="AD65" s="12">
        <f>IF(VLOOKUP(A65,Data_NV!$A:$I,7,0)="Không",0,IF(AND(Y65=0,Z65=0),0,IF(X65&lt;=Z65,0,ROUNDDOWN((X65-Z65)*24*60,0))))</f>
        <v>0</v>
      </c>
      <c r="AE65" s="12">
        <f>IF(VLOOKUP(A65,Data_NV!$A:$I,6,0)="Không",0,IF(Z65&lt;=X65,0,ROUNDDOWN((Z65-X65)*24*60,0)))</f>
        <v>0</v>
      </c>
      <c r="AF65" s="26">
        <f t="shared" si="2"/>
        <v>0</v>
      </c>
      <c r="AG65" s="27" t="str">
        <f>IF(AC65="","",IF(COUNTIFS($AC$3:AC65,"Quên chấm công",$S$3:S65,S65)&gt;3,"Không chấm công do vi phạm quá 3 lần",IF(COUNTIFS($AC$3:AC65,"Quên chấm công",$S$3:S65,S65)&gt;2,"Trừ toàn bộ chuyên cần tháng do vi phạm lần 3",IF(COUNTIFS($AC$3:AC65,"Quên chấm công",$S$3:S65,S65)&gt;1,"Trừ 1/2 ngày lương",50000))))</f>
        <v/>
      </c>
      <c r="AH65" s="12" t="str">
        <f>IF(AF65=0,"",IF(COUNTIFS($AF$3:AF65,"&gt;0",$S$3:S65,S65)&gt;3,"Trừ toàn bộ chuyên cần tháng",""))</f>
        <v/>
      </c>
      <c r="AI65" s="12" t="s">
        <v>1401</v>
      </c>
    </row>
    <row r="66" spans="1:35" x14ac:dyDescent="0.25">
      <c r="A66" s="4" t="s">
        <v>163</v>
      </c>
      <c r="B66" s="1" t="s">
        <v>164</v>
      </c>
      <c r="C66" s="1" t="s">
        <v>20</v>
      </c>
      <c r="D66" s="1" t="s">
        <v>35</v>
      </c>
      <c r="E66" s="1" t="s">
        <v>22</v>
      </c>
      <c r="F66" s="1" t="s">
        <v>23</v>
      </c>
      <c r="G66" s="1" t="s">
        <v>12</v>
      </c>
      <c r="H66" s="1" t="s">
        <v>165</v>
      </c>
      <c r="I66" s="1" t="s">
        <v>24</v>
      </c>
      <c r="J66" s="1" t="s">
        <v>25</v>
      </c>
      <c r="K66" s="1" t="s">
        <v>25</v>
      </c>
      <c r="L66" s="1" t="s">
        <v>26</v>
      </c>
      <c r="M66" s="1" t="s">
        <v>25</v>
      </c>
      <c r="N66" s="1" t="s">
        <v>25</v>
      </c>
      <c r="O66" s="1" t="s">
        <v>25</v>
      </c>
      <c r="P66" s="1" t="s">
        <v>25</v>
      </c>
      <c r="Q66" s="1" t="s">
        <v>25</v>
      </c>
      <c r="R66" s="85" t="str">
        <f t="shared" si="0"/>
        <v>1145904</v>
      </c>
      <c r="S66" t="str">
        <f>VLOOKUP(A66,Data_NV!$A:$C,3,0)</f>
        <v xml:space="preserve"> Trần Cao Hoàng Tâm    </v>
      </c>
      <c r="T66" t="str">
        <f>VLOOKUP(A66,Data_NV!$A:$E,4,0)</f>
        <v>Vận Hành</v>
      </c>
      <c r="U66" s="82">
        <f>DATEVALUE(Table2[[#This Row],[Ngày]])</f>
        <v>45904</v>
      </c>
      <c r="V66" t="str">
        <f>VLOOKUP(A66,Data_NV!$A:$E,5,0)</f>
        <v>Đang làm việc</v>
      </c>
      <c r="W66" s="10">
        <f>VLOOKUP(A66,Data_NV!$A:$I,8,0)</f>
        <v>0.3125</v>
      </c>
      <c r="X66" s="10">
        <f>VLOOKUP(A66,Data_NV!$A:$I,9,0)</f>
        <v>0.6875</v>
      </c>
      <c r="Y66" s="10">
        <f>IFERROR(TIMEVALUE(Table2[[#This Row],[Vào]]),0)</f>
        <v>0.31233796296296296</v>
      </c>
      <c r="Z66" s="10">
        <f>IFERROR(TIMEVALUE(Table2[[#This Row],[Ra]]),0)</f>
        <v>0</v>
      </c>
      <c r="AA66" t="str">
        <f t="shared" si="3"/>
        <v>x</v>
      </c>
      <c r="AB66" s="105">
        <f t="shared" si="1"/>
        <v>0</v>
      </c>
      <c r="AC66" s="12" t="str">
        <f>IF(VLOOKUP(A66,Data_NV!$A:$I,7,0)="Không","",IF(OR(AND(Y66=0,Z66=0),AND(Y66&lt;&gt;0,Z66&lt;&gt;0)),"","Quên chấm công"))</f>
        <v/>
      </c>
      <c r="AD66" s="12">
        <f>IF(VLOOKUP(A66,Data_NV!$A:$I,7,0)="Không",0,IF(AND(Y66=0,Z66=0),0,IF(X66&lt;=Z66,0,ROUNDDOWN((X66-Z66)*24*60,0))))</f>
        <v>0</v>
      </c>
      <c r="AE66" s="12">
        <f>IF(VLOOKUP(A66,Data_NV!$A:$I,6,0)="Không",0,IF(Z66&lt;=X66,0,ROUNDDOWN((Z66-X66)*24*60,0)))</f>
        <v>0</v>
      </c>
      <c r="AF66" s="26">
        <f t="shared" si="2"/>
        <v>0</v>
      </c>
      <c r="AG66" s="27" t="str">
        <f>IF(AC66="","",IF(COUNTIFS($AC$3:AC66,"Quên chấm công",$S$3:S66,S66)&gt;3,"Không chấm công do vi phạm quá 3 lần",IF(COUNTIFS($AC$3:AC66,"Quên chấm công",$S$3:S66,S66)&gt;2,"Trừ toàn bộ chuyên cần tháng do vi phạm lần 3",IF(COUNTIFS($AC$3:AC66,"Quên chấm công",$S$3:S66,S66)&gt;1,"Trừ 1/2 ngày lương",50000))))</f>
        <v/>
      </c>
      <c r="AH66" s="12" t="str">
        <f>IF(AF66=0,"",IF(COUNTIFS($AF$3:AF66,"&gt;0",$S$3:S66,S66)&gt;3,"Trừ toàn bộ chuyên cần tháng",""))</f>
        <v/>
      </c>
      <c r="AI66" s="12"/>
    </row>
    <row r="67" spans="1:35" x14ac:dyDescent="0.25">
      <c r="A67" s="4" t="s">
        <v>163</v>
      </c>
      <c r="B67" s="1" t="s">
        <v>164</v>
      </c>
      <c r="C67" s="1" t="s">
        <v>20</v>
      </c>
      <c r="D67" s="1" t="s">
        <v>37</v>
      </c>
      <c r="E67" s="1" t="s">
        <v>22</v>
      </c>
      <c r="F67" s="1" t="s">
        <v>23</v>
      </c>
      <c r="G67" s="1" t="s">
        <v>12</v>
      </c>
      <c r="H67" s="1" t="s">
        <v>24</v>
      </c>
      <c r="I67" s="1" t="s">
        <v>24</v>
      </c>
      <c r="J67" s="1" t="s">
        <v>25</v>
      </c>
      <c r="K67" s="1" t="s">
        <v>25</v>
      </c>
      <c r="L67" s="1" t="s">
        <v>26</v>
      </c>
      <c r="M67" s="1" t="s">
        <v>25</v>
      </c>
      <c r="N67" s="1" t="s">
        <v>25</v>
      </c>
      <c r="O67" s="1" t="s">
        <v>25</v>
      </c>
      <c r="P67" s="1" t="s">
        <v>25</v>
      </c>
      <c r="Q67" s="1" t="s">
        <v>25</v>
      </c>
      <c r="R67" s="85" t="str">
        <f t="shared" ref="R67:R130" si="4">A67&amp;U67</f>
        <v>1145905</v>
      </c>
      <c r="S67" t="str">
        <f>VLOOKUP(A67,Data_NV!$A:$C,3,0)</f>
        <v xml:space="preserve"> Trần Cao Hoàng Tâm    </v>
      </c>
      <c r="T67" t="str">
        <f>VLOOKUP(A67,Data_NV!$A:$E,4,0)</f>
        <v>Vận Hành</v>
      </c>
      <c r="U67" s="82">
        <f>DATEVALUE(Table2[[#This Row],[Ngày]])</f>
        <v>45905</v>
      </c>
      <c r="V67" t="str">
        <f>VLOOKUP(A67,Data_NV!$A:$E,5,0)</f>
        <v>Đang làm việc</v>
      </c>
      <c r="W67" s="10">
        <f>VLOOKUP(A67,Data_NV!$A:$I,8,0)</f>
        <v>0.3125</v>
      </c>
      <c r="X67" s="10">
        <f>VLOOKUP(A67,Data_NV!$A:$I,9,0)</f>
        <v>0.6875</v>
      </c>
      <c r="Y67" s="10">
        <f>IFERROR(TIMEVALUE(Table2[[#This Row],[Vào]]),0)</f>
        <v>0</v>
      </c>
      <c r="Z67" s="10">
        <f>IFERROR(TIMEVALUE(Table2[[#This Row],[Ra]]),0)</f>
        <v>0</v>
      </c>
      <c r="AA67" t="s">
        <v>1341</v>
      </c>
      <c r="AB67" s="105">
        <f t="shared" ref="AB67:AB130" si="5">IF(Y67&lt;=W67,0,(Y67-W67)*24*60)</f>
        <v>0</v>
      </c>
      <c r="AC67" s="12" t="str">
        <f>IF(VLOOKUP(A67,Data_NV!$A:$I,7,0)="Không","",IF(OR(AND(Y67=0,Z67=0),AND(Y67&lt;&gt;0,Z67&lt;&gt;0)),"","Quên chấm công"))</f>
        <v/>
      </c>
      <c r="AD67" s="12">
        <f>IF(VLOOKUP(A67,Data_NV!$A:$I,7,0)="Không",0,IF(AND(Y67=0,Z67=0),0,IF(X67&lt;=Z67,0,ROUNDDOWN((X67-Z67)*24*60,0))))</f>
        <v>0</v>
      </c>
      <c r="AE67" s="12">
        <f>IF(VLOOKUP(A67,Data_NV!$A:$I,6,0)="Không",0,IF(Z67&lt;=X67,0,ROUNDDOWN((Z67-X67)*24*60,0)))</f>
        <v>0</v>
      </c>
      <c r="AF67" s="26">
        <f t="shared" ref="AF67:AF130" si="6">IF(AB67&gt;60,"Trừ 1/2 ngày lương",IF(AB67&gt;15,50000,IF(AB67&gt;6,30000,0)))</f>
        <v>0</v>
      </c>
      <c r="AG67" s="27" t="str">
        <f>IF(AC67="","",IF(COUNTIFS($AC$3:AC67,"Quên chấm công",$S$3:S67,S67)&gt;3,"Không chấm công do vi phạm quá 3 lần",IF(COUNTIFS($AC$3:AC67,"Quên chấm công",$S$3:S67,S67)&gt;2,"Trừ toàn bộ chuyên cần tháng do vi phạm lần 3",IF(COUNTIFS($AC$3:AC67,"Quên chấm công",$S$3:S67,S67)&gt;1,"Trừ 1/2 ngày lương",50000))))</f>
        <v/>
      </c>
      <c r="AH67" s="12" t="str">
        <f>IF(AF67=0,"",IF(COUNTIFS($AF$3:AF67,"&gt;0",$S$3:S67,S67)&gt;3,"Trừ toàn bộ chuyên cần tháng",""))</f>
        <v/>
      </c>
      <c r="AI67" s="12" t="s">
        <v>1402</v>
      </c>
    </row>
    <row r="68" spans="1:35" x14ac:dyDescent="0.25">
      <c r="A68" s="4" t="s">
        <v>163</v>
      </c>
      <c r="B68" s="1" t="s">
        <v>164</v>
      </c>
      <c r="C68" s="1" t="s">
        <v>20</v>
      </c>
      <c r="D68" s="1" t="s">
        <v>42</v>
      </c>
      <c r="E68" s="1" t="s">
        <v>22</v>
      </c>
      <c r="F68" s="1" t="s">
        <v>23</v>
      </c>
      <c r="G68" s="1" t="s">
        <v>12</v>
      </c>
      <c r="H68" s="1" t="s">
        <v>24</v>
      </c>
      <c r="I68" s="1" t="s">
        <v>24</v>
      </c>
      <c r="J68" s="1" t="s">
        <v>25</v>
      </c>
      <c r="K68" s="1" t="s">
        <v>25</v>
      </c>
      <c r="L68" s="1" t="s">
        <v>26</v>
      </c>
      <c r="M68" s="1" t="s">
        <v>25</v>
      </c>
      <c r="N68" s="1" t="s">
        <v>25</v>
      </c>
      <c r="O68" s="1" t="s">
        <v>25</v>
      </c>
      <c r="P68" s="1" t="s">
        <v>25</v>
      </c>
      <c r="Q68" s="1" t="s">
        <v>25</v>
      </c>
      <c r="R68" s="85" t="str">
        <f t="shared" si="4"/>
        <v>1145906</v>
      </c>
      <c r="S68" t="str">
        <f>VLOOKUP(A68,Data_NV!$A:$C,3,0)</f>
        <v xml:space="preserve"> Trần Cao Hoàng Tâm    </v>
      </c>
      <c r="T68" t="str">
        <f>VLOOKUP(A68,Data_NV!$A:$E,4,0)</f>
        <v>Vận Hành</v>
      </c>
      <c r="U68" s="82">
        <f>DATEVALUE(Table2[[#This Row],[Ngày]])</f>
        <v>45906</v>
      </c>
      <c r="V68" t="str">
        <f>VLOOKUP(A68,Data_NV!$A:$E,5,0)</f>
        <v>Đang làm việc</v>
      </c>
      <c r="W68" s="10">
        <f>VLOOKUP(A68,Data_NV!$A:$I,8,0)</f>
        <v>0.3125</v>
      </c>
      <c r="X68" s="10">
        <f>VLOOKUP(A68,Data_NV!$A:$I,9,0)</f>
        <v>0.6875</v>
      </c>
      <c r="Y68" s="10">
        <f>IFERROR(TIMEVALUE(Table2[[#This Row],[Vào]]),0)</f>
        <v>0</v>
      </c>
      <c r="Z68" s="10">
        <f>IFERROR(TIMEVALUE(Table2[[#This Row],[Ra]]),0)</f>
        <v>0</v>
      </c>
      <c r="AA68" t="s">
        <v>1341</v>
      </c>
      <c r="AB68" s="105">
        <f t="shared" si="5"/>
        <v>0</v>
      </c>
      <c r="AC68" s="12" t="str">
        <f>IF(VLOOKUP(A68,Data_NV!$A:$I,7,0)="Không","",IF(OR(AND(Y68=0,Z68=0),AND(Y68&lt;&gt;0,Z68&lt;&gt;0)),"","Quên chấm công"))</f>
        <v/>
      </c>
      <c r="AD68" s="12">
        <f>IF(VLOOKUP(A68,Data_NV!$A:$I,7,0)="Không",0,IF(AND(Y68=0,Z68=0),0,IF(X68&lt;=Z68,0,ROUNDDOWN((X68-Z68)*24*60,0))))</f>
        <v>0</v>
      </c>
      <c r="AE68" s="12">
        <f>IF(VLOOKUP(A68,Data_NV!$A:$I,6,0)="Không",0,IF(Z68&lt;=X68,0,ROUNDDOWN((Z68-X68)*24*60,0)))</f>
        <v>0</v>
      </c>
      <c r="AF68" s="26">
        <f t="shared" si="6"/>
        <v>0</v>
      </c>
      <c r="AG68" s="27" t="str">
        <f>IF(AC68="","",IF(COUNTIFS($AC$3:AC68,"Quên chấm công",$S$3:S68,S68)&gt;3,"Không chấm công do vi phạm quá 3 lần",IF(COUNTIFS($AC$3:AC68,"Quên chấm công",$S$3:S68,S68)&gt;2,"Trừ toàn bộ chuyên cần tháng do vi phạm lần 3",IF(COUNTIFS($AC$3:AC68,"Quên chấm công",$S$3:S68,S68)&gt;1,"Trừ 1/2 ngày lương",50000))))</f>
        <v/>
      </c>
      <c r="AH68" s="12" t="str">
        <f>IF(AF68=0,"",IF(COUNTIFS($AF$3:AF68,"&gt;0",$S$3:S68,S68)&gt;3,"Trừ toàn bộ chuyên cần tháng",""))</f>
        <v/>
      </c>
      <c r="AI68" s="12" t="s">
        <v>1402</v>
      </c>
    </row>
    <row r="69" spans="1:35" x14ac:dyDescent="0.25">
      <c r="A69" s="4" t="s">
        <v>163</v>
      </c>
      <c r="B69" s="1" t="s">
        <v>164</v>
      </c>
      <c r="C69" s="1" t="s">
        <v>20</v>
      </c>
      <c r="D69" s="1" t="s">
        <v>47</v>
      </c>
      <c r="E69" s="1" t="s">
        <v>22</v>
      </c>
      <c r="F69" s="1" t="s">
        <v>23</v>
      </c>
      <c r="G69" s="1" t="s">
        <v>12</v>
      </c>
      <c r="H69" s="1" t="s">
        <v>24</v>
      </c>
      <c r="I69" s="1" t="s">
        <v>24</v>
      </c>
      <c r="J69" s="1" t="s">
        <v>25</v>
      </c>
      <c r="K69" s="1" t="s">
        <v>25</v>
      </c>
      <c r="L69" s="1" t="s">
        <v>26</v>
      </c>
      <c r="M69" s="1" t="s">
        <v>25</v>
      </c>
      <c r="N69" s="1" t="s">
        <v>25</v>
      </c>
      <c r="O69" s="1" t="s">
        <v>25</v>
      </c>
      <c r="P69" s="1" t="s">
        <v>25</v>
      </c>
      <c r="Q69" s="1" t="s">
        <v>25</v>
      </c>
      <c r="R69" s="85" t="str">
        <f t="shared" si="4"/>
        <v>1145907</v>
      </c>
      <c r="S69" t="str">
        <f>VLOOKUP(A69,Data_NV!$A:$C,3,0)</f>
        <v xml:space="preserve"> Trần Cao Hoàng Tâm    </v>
      </c>
      <c r="T69" t="str">
        <f>VLOOKUP(A69,Data_NV!$A:$E,4,0)</f>
        <v>Vận Hành</v>
      </c>
      <c r="U69" s="82">
        <f>DATEVALUE(Table2[[#This Row],[Ngày]])</f>
        <v>45907</v>
      </c>
      <c r="V69" t="str">
        <f>VLOOKUP(A69,Data_NV!$A:$E,5,0)</f>
        <v>Đang làm việc</v>
      </c>
      <c r="W69" s="10">
        <f>VLOOKUP(A69,Data_NV!$A:$I,8,0)</f>
        <v>0.3125</v>
      </c>
      <c r="X69" s="10">
        <f>VLOOKUP(A69,Data_NV!$A:$I,9,0)</f>
        <v>0.6875</v>
      </c>
      <c r="Y69" s="10">
        <f>IFERROR(TIMEVALUE(Table2[[#This Row],[Vào]]),0)</f>
        <v>0</v>
      </c>
      <c r="Z69" s="10">
        <f>IFERROR(TIMEVALUE(Table2[[#This Row],[Ra]]),0)</f>
        <v>0</v>
      </c>
      <c r="AA69" t="str">
        <f t="shared" ref="AA69:AA130" si="7">IF(TEXT($U69,"ddd")="CN","Chủ nhật",IF(OR(AND(Y69=0,Z69=0),AG69="Không chấm công do vi phạm quá 3 lần"),"",IF(OR(AG69="Trừ 1/2 ngày lương",AF69="Trừ 1/2 ngày lương",AB69&gt;=60),"1/2","x")))</f>
        <v>Chủ nhật</v>
      </c>
      <c r="AB69" s="105">
        <f t="shared" si="5"/>
        <v>0</v>
      </c>
      <c r="AC69" s="12" t="str">
        <f>IF(VLOOKUP(A69,Data_NV!$A:$I,7,0)="Không","",IF(OR(AND(Y69=0,Z69=0),AND(Y69&lt;&gt;0,Z69&lt;&gt;0)),"","Quên chấm công"))</f>
        <v/>
      </c>
      <c r="AD69" s="12">
        <f>IF(VLOOKUP(A69,Data_NV!$A:$I,7,0)="Không",0,IF(AND(Y69=0,Z69=0),0,IF(X69&lt;=Z69,0,ROUNDDOWN((X69-Z69)*24*60,0))))</f>
        <v>0</v>
      </c>
      <c r="AE69" s="12">
        <f>IF(VLOOKUP(A69,Data_NV!$A:$I,6,0)="Không",0,IF(Z69&lt;=X69,0,ROUNDDOWN((Z69-X69)*24*60,0)))</f>
        <v>0</v>
      </c>
      <c r="AF69" s="26">
        <f t="shared" si="6"/>
        <v>0</v>
      </c>
      <c r="AG69" s="27" t="str">
        <f>IF(AC69="","",IF(COUNTIFS($AC$3:AC69,"Quên chấm công",$S$3:S69,S69)&gt;3,"Không chấm công do vi phạm quá 3 lần",IF(COUNTIFS($AC$3:AC69,"Quên chấm công",$S$3:S69,S69)&gt;2,"Trừ toàn bộ chuyên cần tháng do vi phạm lần 3",IF(COUNTIFS($AC$3:AC69,"Quên chấm công",$S$3:S69,S69)&gt;1,"Trừ 1/2 ngày lương",50000))))</f>
        <v/>
      </c>
      <c r="AH69" s="12" t="str">
        <f>IF(AF69=0,"",IF(COUNTIFS($AF$3:AF69,"&gt;0",$S$3:S69,S69)&gt;3,"Trừ toàn bộ chuyên cần tháng",""))</f>
        <v/>
      </c>
      <c r="AI69" s="12"/>
    </row>
    <row r="70" spans="1:35" x14ac:dyDescent="0.25">
      <c r="A70" s="4" t="s">
        <v>163</v>
      </c>
      <c r="B70" s="1" t="s">
        <v>164</v>
      </c>
      <c r="C70" s="1" t="s">
        <v>20</v>
      </c>
      <c r="D70" s="1" t="s">
        <v>48</v>
      </c>
      <c r="E70" s="1" t="s">
        <v>22</v>
      </c>
      <c r="F70" s="1" t="s">
        <v>23</v>
      </c>
      <c r="G70" s="1" t="s">
        <v>12</v>
      </c>
      <c r="H70" s="1" t="s">
        <v>24</v>
      </c>
      <c r="I70" s="1" t="s">
        <v>24</v>
      </c>
      <c r="J70" s="1" t="s">
        <v>25</v>
      </c>
      <c r="K70" s="1" t="s">
        <v>25</v>
      </c>
      <c r="L70" s="1" t="s">
        <v>26</v>
      </c>
      <c r="M70" s="1" t="s">
        <v>25</v>
      </c>
      <c r="N70" s="1" t="s">
        <v>25</v>
      </c>
      <c r="O70" s="1" t="s">
        <v>25</v>
      </c>
      <c r="P70" s="1" t="s">
        <v>25</v>
      </c>
      <c r="Q70" s="1" t="s">
        <v>25</v>
      </c>
      <c r="R70" s="85" t="str">
        <f t="shared" si="4"/>
        <v>1145908</v>
      </c>
      <c r="S70" t="str">
        <f>VLOOKUP(A70,Data_NV!$A:$C,3,0)</f>
        <v xml:space="preserve"> Trần Cao Hoàng Tâm    </v>
      </c>
      <c r="T70" t="str">
        <f>VLOOKUP(A70,Data_NV!$A:$E,4,0)</f>
        <v>Vận Hành</v>
      </c>
      <c r="U70" s="82">
        <f>DATEVALUE(Table2[[#This Row],[Ngày]])</f>
        <v>45908</v>
      </c>
      <c r="V70" t="str">
        <f>VLOOKUP(A70,Data_NV!$A:$E,5,0)</f>
        <v>Đang làm việc</v>
      </c>
      <c r="W70" s="10">
        <f>VLOOKUP(A70,Data_NV!$A:$I,8,0)</f>
        <v>0.3125</v>
      </c>
      <c r="X70" s="10">
        <f>VLOOKUP(A70,Data_NV!$A:$I,9,0)</f>
        <v>0.6875</v>
      </c>
      <c r="Y70" s="10">
        <f>IFERROR(TIMEVALUE(Table2[[#This Row],[Vào]]),0)</f>
        <v>0</v>
      </c>
      <c r="Z70" s="10">
        <f>IFERROR(TIMEVALUE(Table2[[#This Row],[Ra]]),0)</f>
        <v>0</v>
      </c>
      <c r="AA70" t="s">
        <v>1373</v>
      </c>
      <c r="AB70" s="105">
        <f t="shared" si="5"/>
        <v>0</v>
      </c>
      <c r="AC70" s="12" t="str">
        <f>IF(VLOOKUP(A70,Data_NV!$A:$I,7,0)="Không","",IF(OR(AND(Y70=0,Z70=0),AND(Y70&lt;&gt;0,Z70&lt;&gt;0)),"","Quên chấm công"))</f>
        <v/>
      </c>
      <c r="AD70" s="12">
        <f>IF(VLOOKUP(A70,Data_NV!$A:$I,7,0)="Không",0,IF(AND(Y70=0,Z70=0),0,IF(X70&lt;=Z70,0,ROUNDDOWN((X70-Z70)*24*60,0))))</f>
        <v>0</v>
      </c>
      <c r="AE70" s="12">
        <f>IF(VLOOKUP(A70,Data_NV!$A:$I,6,0)="Không",0,IF(Z70&lt;=X70,0,ROUNDDOWN((Z70-X70)*24*60,0)))</f>
        <v>0</v>
      </c>
      <c r="AF70" s="26">
        <f t="shared" si="6"/>
        <v>0</v>
      </c>
      <c r="AG70" s="27" t="str">
        <f>IF(AC70="","",IF(COUNTIFS($AC$3:AC70,"Quên chấm công",$S$3:S70,S70)&gt;3,"Không chấm công do vi phạm quá 3 lần",IF(COUNTIFS($AC$3:AC70,"Quên chấm công",$S$3:S70,S70)&gt;2,"Trừ toàn bộ chuyên cần tháng do vi phạm lần 3",IF(COUNTIFS($AC$3:AC70,"Quên chấm công",$S$3:S70,S70)&gt;1,"Trừ 1/2 ngày lương",50000))))</f>
        <v/>
      </c>
      <c r="AH70" s="12" t="str">
        <f>IF(AF70=0,"",IF(COUNTIFS($AF$3:AF70,"&gt;0",$S$3:S70,S70)&gt;3,"Trừ toàn bộ chuyên cần tháng",""))</f>
        <v/>
      </c>
      <c r="AI70" s="12" t="s">
        <v>1371</v>
      </c>
    </row>
    <row r="71" spans="1:35" x14ac:dyDescent="0.25">
      <c r="A71" s="4" t="s">
        <v>163</v>
      </c>
      <c r="B71" s="1" t="s">
        <v>164</v>
      </c>
      <c r="C71" s="1" t="s">
        <v>20</v>
      </c>
      <c r="D71" s="1" t="s">
        <v>53</v>
      </c>
      <c r="E71" s="1" t="s">
        <v>22</v>
      </c>
      <c r="F71" s="1" t="s">
        <v>23</v>
      </c>
      <c r="G71" s="1" t="s">
        <v>12</v>
      </c>
      <c r="H71" s="1" t="s">
        <v>24</v>
      </c>
      <c r="I71" s="1" t="s">
        <v>24</v>
      </c>
      <c r="J71" s="1" t="s">
        <v>25</v>
      </c>
      <c r="K71" s="1" t="s">
        <v>25</v>
      </c>
      <c r="L71" s="1" t="s">
        <v>26</v>
      </c>
      <c r="M71" s="1" t="s">
        <v>25</v>
      </c>
      <c r="N71" s="1" t="s">
        <v>25</v>
      </c>
      <c r="O71" s="1" t="s">
        <v>25</v>
      </c>
      <c r="P71" s="1" t="s">
        <v>25</v>
      </c>
      <c r="Q71" s="1" t="s">
        <v>25</v>
      </c>
      <c r="R71" s="85" t="str">
        <f t="shared" si="4"/>
        <v>1145909</v>
      </c>
      <c r="S71" t="str">
        <f>VLOOKUP(A71,Data_NV!$A:$C,3,0)</f>
        <v xml:space="preserve"> Trần Cao Hoàng Tâm    </v>
      </c>
      <c r="T71" t="str">
        <f>VLOOKUP(A71,Data_NV!$A:$E,4,0)</f>
        <v>Vận Hành</v>
      </c>
      <c r="U71" s="82">
        <f>DATEVALUE(Table2[[#This Row],[Ngày]])</f>
        <v>45909</v>
      </c>
      <c r="V71" t="str">
        <f>VLOOKUP(A71,Data_NV!$A:$E,5,0)</f>
        <v>Đang làm việc</v>
      </c>
      <c r="W71" s="10">
        <f>VLOOKUP(A71,Data_NV!$A:$I,8,0)</f>
        <v>0.3125</v>
      </c>
      <c r="X71" s="10">
        <f>VLOOKUP(A71,Data_NV!$A:$I,9,0)</f>
        <v>0.6875</v>
      </c>
      <c r="Y71" s="10">
        <f>IFERROR(TIMEVALUE(Table2[[#This Row],[Vào]]),0)</f>
        <v>0</v>
      </c>
      <c r="Z71" s="10">
        <f>IFERROR(TIMEVALUE(Table2[[#This Row],[Ra]]),0)</f>
        <v>0</v>
      </c>
      <c r="AA71" t="s">
        <v>1341</v>
      </c>
      <c r="AB71" s="105">
        <f t="shared" si="5"/>
        <v>0</v>
      </c>
      <c r="AC71" s="12" t="str">
        <f>IF(VLOOKUP(A71,Data_NV!$A:$I,7,0)="Không","",IF(OR(AND(Y71=0,Z71=0),AND(Y71&lt;&gt;0,Z71&lt;&gt;0)),"","Quên chấm công"))</f>
        <v/>
      </c>
      <c r="AD71" s="12">
        <f>IF(VLOOKUP(A71,Data_NV!$A:$I,7,0)="Không",0,IF(AND(Y71=0,Z71=0),0,IF(X71&lt;=Z71,0,ROUNDDOWN((X71-Z71)*24*60,0))))</f>
        <v>0</v>
      </c>
      <c r="AE71" s="12">
        <f>IF(VLOOKUP(A71,Data_NV!$A:$I,6,0)="Không",0,IF(Z71&lt;=X71,0,ROUNDDOWN((Z71-X71)*24*60,0)))</f>
        <v>0</v>
      </c>
      <c r="AF71" s="26">
        <f t="shared" si="6"/>
        <v>0</v>
      </c>
      <c r="AG71" s="27" t="str">
        <f>IF(AC71="","",IF(COUNTIFS($AC$3:AC71,"Quên chấm công",$S$3:S71,S71)&gt;3,"Không chấm công do vi phạm quá 3 lần",IF(COUNTIFS($AC$3:AC71,"Quên chấm công",$S$3:S71,S71)&gt;2,"Trừ toàn bộ chuyên cần tháng do vi phạm lần 3",IF(COUNTIFS($AC$3:AC71,"Quên chấm công",$S$3:S71,S71)&gt;1,"Trừ 1/2 ngày lương",50000))))</f>
        <v/>
      </c>
      <c r="AH71" s="12" t="str">
        <f>IF(AF71=0,"",IF(COUNTIFS($AF$3:AF71,"&gt;0",$S$3:S71,S71)&gt;3,"Trừ toàn bộ chuyên cần tháng",""))</f>
        <v/>
      </c>
      <c r="AI71" s="12" t="s">
        <v>1403</v>
      </c>
    </row>
    <row r="72" spans="1:35" x14ac:dyDescent="0.25">
      <c r="A72" s="4" t="s">
        <v>163</v>
      </c>
      <c r="B72" s="1" t="s">
        <v>164</v>
      </c>
      <c r="C72" s="1" t="s">
        <v>20</v>
      </c>
      <c r="D72" s="1" t="s">
        <v>58</v>
      </c>
      <c r="E72" s="1" t="s">
        <v>22</v>
      </c>
      <c r="F72" s="1" t="s">
        <v>23</v>
      </c>
      <c r="G72" s="1" t="s">
        <v>12</v>
      </c>
      <c r="H72" s="1" t="s">
        <v>24</v>
      </c>
      <c r="I72" s="1" t="s">
        <v>24</v>
      </c>
      <c r="J72" s="1" t="s">
        <v>25</v>
      </c>
      <c r="K72" s="1" t="s">
        <v>25</v>
      </c>
      <c r="L72" s="1" t="s">
        <v>26</v>
      </c>
      <c r="M72" s="1" t="s">
        <v>25</v>
      </c>
      <c r="N72" s="1" t="s">
        <v>25</v>
      </c>
      <c r="O72" s="1" t="s">
        <v>25</v>
      </c>
      <c r="P72" s="1" t="s">
        <v>25</v>
      </c>
      <c r="Q72" s="1" t="s">
        <v>25</v>
      </c>
      <c r="R72" s="85" t="str">
        <f t="shared" si="4"/>
        <v>1145910</v>
      </c>
      <c r="S72" t="str">
        <f>VLOOKUP(A72,Data_NV!$A:$C,3,0)</f>
        <v xml:space="preserve"> Trần Cao Hoàng Tâm    </v>
      </c>
      <c r="T72" t="str">
        <f>VLOOKUP(A72,Data_NV!$A:$E,4,0)</f>
        <v>Vận Hành</v>
      </c>
      <c r="U72" s="82">
        <f>DATEVALUE(Table2[[#This Row],[Ngày]])</f>
        <v>45910</v>
      </c>
      <c r="V72" t="str">
        <f>VLOOKUP(A72,Data_NV!$A:$E,5,0)</f>
        <v>Đang làm việc</v>
      </c>
      <c r="W72" s="10">
        <f>VLOOKUP(A72,Data_NV!$A:$I,8,0)</f>
        <v>0.3125</v>
      </c>
      <c r="X72" s="10">
        <f>VLOOKUP(A72,Data_NV!$A:$I,9,0)</f>
        <v>0.6875</v>
      </c>
      <c r="Y72" s="10">
        <f>IFERROR(TIMEVALUE(Table2[[#This Row],[Vào]]),0)</f>
        <v>0</v>
      </c>
      <c r="Z72" s="10">
        <f>IFERROR(TIMEVALUE(Table2[[#This Row],[Ra]]),0)</f>
        <v>0</v>
      </c>
      <c r="AA72" t="s">
        <v>1341</v>
      </c>
      <c r="AB72" s="105">
        <f t="shared" si="5"/>
        <v>0</v>
      </c>
      <c r="AC72" s="12" t="str">
        <f>IF(VLOOKUP(A72,Data_NV!$A:$I,7,0)="Không","",IF(OR(AND(Y72=0,Z72=0),AND(Y72&lt;&gt;0,Z72&lt;&gt;0)),"","Quên chấm công"))</f>
        <v/>
      </c>
      <c r="AD72" s="12">
        <f>IF(VLOOKUP(A72,Data_NV!$A:$I,7,0)="Không",0,IF(AND(Y72=0,Z72=0),0,IF(X72&lt;=Z72,0,ROUNDDOWN((X72-Z72)*24*60,0))))</f>
        <v>0</v>
      </c>
      <c r="AE72" s="12">
        <f>IF(VLOOKUP(A72,Data_NV!$A:$I,6,0)="Không",0,IF(Z72&lt;=X72,0,ROUNDDOWN((Z72-X72)*24*60,0)))</f>
        <v>0</v>
      </c>
      <c r="AF72" s="26">
        <f t="shared" si="6"/>
        <v>0</v>
      </c>
      <c r="AG72" s="27" t="str">
        <f>IF(AC72="","",IF(COUNTIFS($AC$3:AC72,"Quên chấm công",$S$3:S72,S72)&gt;3,"Không chấm công do vi phạm quá 3 lần",IF(COUNTIFS($AC$3:AC72,"Quên chấm công",$S$3:S72,S72)&gt;2,"Trừ toàn bộ chuyên cần tháng do vi phạm lần 3",IF(COUNTIFS($AC$3:AC72,"Quên chấm công",$S$3:S72,S72)&gt;1,"Trừ 1/2 ngày lương",50000))))</f>
        <v/>
      </c>
      <c r="AH72" s="12" t="str">
        <f>IF(AF72=0,"",IF(COUNTIFS($AF$3:AF72,"&gt;0",$S$3:S72,S72)&gt;3,"Trừ toàn bộ chuyên cần tháng",""))</f>
        <v/>
      </c>
      <c r="AI72" s="12" t="s">
        <v>1403</v>
      </c>
    </row>
    <row r="73" spans="1:35" x14ac:dyDescent="0.25">
      <c r="A73" s="4" t="s">
        <v>163</v>
      </c>
      <c r="B73" s="1" t="s">
        <v>164</v>
      </c>
      <c r="C73" s="1" t="s">
        <v>20</v>
      </c>
      <c r="D73" s="1" t="s">
        <v>63</v>
      </c>
      <c r="E73" s="1" t="s">
        <v>22</v>
      </c>
      <c r="F73" s="1" t="s">
        <v>23</v>
      </c>
      <c r="G73" s="1" t="s">
        <v>12</v>
      </c>
      <c r="H73" s="1" t="s">
        <v>166</v>
      </c>
      <c r="I73" s="1" t="s">
        <v>24</v>
      </c>
      <c r="J73" s="1" t="s">
        <v>25</v>
      </c>
      <c r="K73" s="1" t="s">
        <v>25</v>
      </c>
      <c r="L73" s="1" t="s">
        <v>26</v>
      </c>
      <c r="M73" s="1" t="s">
        <v>25</v>
      </c>
      <c r="N73" s="1" t="s">
        <v>25</v>
      </c>
      <c r="O73" s="1" t="s">
        <v>25</v>
      </c>
      <c r="P73" s="1" t="s">
        <v>25</v>
      </c>
      <c r="Q73" s="1" t="s">
        <v>25</v>
      </c>
      <c r="R73" s="85" t="str">
        <f t="shared" si="4"/>
        <v>1145911</v>
      </c>
      <c r="S73" t="str">
        <f>VLOOKUP(A73,Data_NV!$A:$C,3,0)</f>
        <v xml:space="preserve"> Trần Cao Hoàng Tâm    </v>
      </c>
      <c r="T73" t="str">
        <f>VLOOKUP(A73,Data_NV!$A:$E,4,0)</f>
        <v>Vận Hành</v>
      </c>
      <c r="U73" s="82">
        <f>DATEVALUE(Table2[[#This Row],[Ngày]])</f>
        <v>45911</v>
      </c>
      <c r="V73" t="str">
        <f>VLOOKUP(A73,Data_NV!$A:$E,5,0)</f>
        <v>Đang làm việc</v>
      </c>
      <c r="W73" s="10">
        <f>VLOOKUP(A73,Data_NV!$A:$I,8,0)</f>
        <v>0.3125</v>
      </c>
      <c r="X73" s="10">
        <f>VLOOKUP(A73,Data_NV!$A:$I,9,0)</f>
        <v>0.6875</v>
      </c>
      <c r="Y73" s="10">
        <f>IFERROR(TIMEVALUE(Table2[[#This Row],[Vào]]),0)</f>
        <v>0.31525462962962963</v>
      </c>
      <c r="Z73" s="10">
        <f>IFERROR(TIMEVALUE(Table2[[#This Row],[Ra]]),0)</f>
        <v>0</v>
      </c>
      <c r="AA73" t="str">
        <f t="shared" si="7"/>
        <v>x</v>
      </c>
      <c r="AB73" s="105">
        <f t="shared" si="5"/>
        <v>3.9666666666666739</v>
      </c>
      <c r="AC73" s="12" t="str">
        <f>IF(VLOOKUP(A73,Data_NV!$A:$I,7,0)="Không","",IF(OR(AND(Y73=0,Z73=0),AND(Y73&lt;&gt;0,Z73&lt;&gt;0)),"","Quên chấm công"))</f>
        <v/>
      </c>
      <c r="AD73" s="12">
        <f>IF(VLOOKUP(A73,Data_NV!$A:$I,7,0)="Không",0,IF(AND(Y73=0,Z73=0),0,IF(X73&lt;=Z73,0,ROUNDDOWN((X73-Z73)*24*60,0))))</f>
        <v>0</v>
      </c>
      <c r="AE73" s="12">
        <f>IF(VLOOKUP(A73,Data_NV!$A:$I,6,0)="Không",0,IF(Z73&lt;=X73,0,ROUNDDOWN((Z73-X73)*24*60,0)))</f>
        <v>0</v>
      </c>
      <c r="AF73" s="26">
        <f t="shared" si="6"/>
        <v>0</v>
      </c>
      <c r="AG73" s="27" t="str">
        <f>IF(AC73="","",IF(COUNTIFS($AC$3:AC73,"Quên chấm công",$S$3:S73,S73)&gt;3,"Không chấm công do vi phạm quá 3 lần",IF(COUNTIFS($AC$3:AC73,"Quên chấm công",$S$3:S73,S73)&gt;2,"Trừ toàn bộ chuyên cần tháng do vi phạm lần 3",IF(COUNTIFS($AC$3:AC73,"Quên chấm công",$S$3:S73,S73)&gt;1,"Trừ 1/2 ngày lương",50000))))</f>
        <v/>
      </c>
      <c r="AH73" s="12" t="str">
        <f>IF(AF73=0,"",IF(COUNTIFS($AF$3:AF73,"&gt;0",$S$3:S73,S73)&gt;3,"Trừ toàn bộ chuyên cần tháng",""))</f>
        <v/>
      </c>
      <c r="AI73" s="12"/>
    </row>
    <row r="74" spans="1:35" x14ac:dyDescent="0.25">
      <c r="A74" s="4" t="s">
        <v>163</v>
      </c>
      <c r="B74" s="1" t="s">
        <v>164</v>
      </c>
      <c r="C74" s="1" t="s">
        <v>20</v>
      </c>
      <c r="D74" s="1" t="s">
        <v>67</v>
      </c>
      <c r="E74" s="1" t="s">
        <v>22</v>
      </c>
      <c r="F74" s="1" t="s">
        <v>23</v>
      </c>
      <c r="G74" s="1" t="s">
        <v>12</v>
      </c>
      <c r="H74" s="1" t="s">
        <v>24</v>
      </c>
      <c r="I74" s="1" t="s">
        <v>24</v>
      </c>
      <c r="J74" s="1" t="s">
        <v>25</v>
      </c>
      <c r="K74" s="1" t="s">
        <v>25</v>
      </c>
      <c r="L74" s="1" t="s">
        <v>26</v>
      </c>
      <c r="M74" s="1" t="s">
        <v>25</v>
      </c>
      <c r="N74" s="1" t="s">
        <v>25</v>
      </c>
      <c r="O74" s="1" t="s">
        <v>25</v>
      </c>
      <c r="P74" s="1" t="s">
        <v>25</v>
      </c>
      <c r="Q74" s="1" t="s">
        <v>25</v>
      </c>
      <c r="R74" s="85" t="str">
        <f t="shared" si="4"/>
        <v>1145912</v>
      </c>
      <c r="S74" t="str">
        <f>VLOOKUP(A74,Data_NV!$A:$C,3,0)</f>
        <v xml:space="preserve"> Trần Cao Hoàng Tâm    </v>
      </c>
      <c r="T74" t="str">
        <f>VLOOKUP(A74,Data_NV!$A:$E,4,0)</f>
        <v>Vận Hành</v>
      </c>
      <c r="U74" s="82">
        <f>DATEVALUE(Table2[[#This Row],[Ngày]])</f>
        <v>45912</v>
      </c>
      <c r="V74" t="str">
        <f>VLOOKUP(A74,Data_NV!$A:$E,5,0)</f>
        <v>Đang làm việc</v>
      </c>
      <c r="W74" s="10">
        <f>VLOOKUP(A74,Data_NV!$A:$I,8,0)</f>
        <v>0.3125</v>
      </c>
      <c r="X74" s="10">
        <f>VLOOKUP(A74,Data_NV!$A:$I,9,0)</f>
        <v>0.6875</v>
      </c>
      <c r="Y74" s="10">
        <f>IFERROR(TIMEVALUE(Table2[[#This Row],[Vào]]),0)</f>
        <v>0</v>
      </c>
      <c r="Z74" s="10">
        <f>IFERROR(TIMEVALUE(Table2[[#This Row],[Ra]]),0)</f>
        <v>0</v>
      </c>
      <c r="AA74" t="s">
        <v>1341</v>
      </c>
      <c r="AB74" s="105">
        <f t="shared" si="5"/>
        <v>0</v>
      </c>
      <c r="AC74" s="12" t="str">
        <f>IF(VLOOKUP(A74,Data_NV!$A:$I,7,0)="Không","",IF(OR(AND(Y74=0,Z74=0),AND(Y74&lt;&gt;0,Z74&lt;&gt;0)),"","Quên chấm công"))</f>
        <v/>
      </c>
      <c r="AD74" s="12">
        <f>IF(VLOOKUP(A74,Data_NV!$A:$I,7,0)="Không",0,IF(AND(Y74=0,Z74=0),0,IF(X74&lt;=Z74,0,ROUNDDOWN((X74-Z74)*24*60,0))))</f>
        <v>0</v>
      </c>
      <c r="AE74" s="12">
        <f>IF(VLOOKUP(A74,Data_NV!$A:$I,6,0)="Không",0,IF(Z74&lt;=X74,0,ROUNDDOWN((Z74-X74)*24*60,0)))</f>
        <v>0</v>
      </c>
      <c r="AF74" s="26">
        <f t="shared" si="6"/>
        <v>0</v>
      </c>
      <c r="AG74" s="27" t="str">
        <f>IF(AC74="","",IF(COUNTIFS($AC$3:AC74,"Quên chấm công",$S$3:S74,S74)&gt;3,"Không chấm công do vi phạm quá 3 lần",IF(COUNTIFS($AC$3:AC74,"Quên chấm công",$S$3:S74,S74)&gt;2,"Trừ toàn bộ chuyên cần tháng do vi phạm lần 3",IF(COUNTIFS($AC$3:AC74,"Quên chấm công",$S$3:S74,S74)&gt;1,"Trừ 1/2 ngày lương",50000))))</f>
        <v/>
      </c>
      <c r="AH74" s="12" t="str">
        <f>IF(AF74=0,"",IF(COUNTIFS($AF$3:AF74,"&gt;0",$S$3:S74,S74)&gt;3,"Trừ toàn bộ chuyên cần tháng",""))</f>
        <v/>
      </c>
      <c r="AI74" s="12" t="s">
        <v>1401</v>
      </c>
    </row>
    <row r="75" spans="1:35" x14ac:dyDescent="0.25">
      <c r="A75" s="4" t="s">
        <v>163</v>
      </c>
      <c r="B75" s="1" t="s">
        <v>164</v>
      </c>
      <c r="C75" s="1" t="s">
        <v>20</v>
      </c>
      <c r="D75" s="1" t="s">
        <v>69</v>
      </c>
      <c r="E75" s="1" t="s">
        <v>22</v>
      </c>
      <c r="F75" s="1" t="s">
        <v>23</v>
      </c>
      <c r="G75" s="1" t="s">
        <v>12</v>
      </c>
      <c r="H75" s="1" t="s">
        <v>167</v>
      </c>
      <c r="I75" s="1" t="s">
        <v>24</v>
      </c>
      <c r="J75" s="1" t="s">
        <v>25</v>
      </c>
      <c r="K75" s="1" t="s">
        <v>25</v>
      </c>
      <c r="L75" s="1" t="s">
        <v>26</v>
      </c>
      <c r="M75" s="1" t="s">
        <v>25</v>
      </c>
      <c r="N75" s="1" t="s">
        <v>25</v>
      </c>
      <c r="O75" s="1" t="s">
        <v>25</v>
      </c>
      <c r="P75" s="1" t="s">
        <v>25</v>
      </c>
      <c r="Q75" s="1" t="s">
        <v>25</v>
      </c>
      <c r="R75" s="85" t="str">
        <f t="shared" si="4"/>
        <v>1145913</v>
      </c>
      <c r="S75" t="str">
        <f>VLOOKUP(A75,Data_NV!$A:$C,3,0)</f>
        <v xml:space="preserve"> Trần Cao Hoàng Tâm    </v>
      </c>
      <c r="T75" t="str">
        <f>VLOOKUP(A75,Data_NV!$A:$E,4,0)</f>
        <v>Vận Hành</v>
      </c>
      <c r="U75" s="82">
        <f>DATEVALUE(Table2[[#This Row],[Ngày]])</f>
        <v>45913</v>
      </c>
      <c r="V75" t="str">
        <f>VLOOKUP(A75,Data_NV!$A:$E,5,0)</f>
        <v>Đang làm việc</v>
      </c>
      <c r="W75" s="10">
        <f>VLOOKUP(A75,Data_NV!$A:$I,8,0)</f>
        <v>0.3125</v>
      </c>
      <c r="X75" s="10">
        <f>VLOOKUP(A75,Data_NV!$A:$I,9,0)</f>
        <v>0.6875</v>
      </c>
      <c r="Y75" s="10">
        <f>IFERROR(TIMEVALUE(Table2[[#This Row],[Vào]]),0)</f>
        <v>0.31209490740740742</v>
      </c>
      <c r="Z75" s="10">
        <f>IFERROR(TIMEVALUE(Table2[[#This Row],[Ra]]),0)</f>
        <v>0</v>
      </c>
      <c r="AA75" t="str">
        <f t="shared" si="7"/>
        <v>x</v>
      </c>
      <c r="AB75" s="105">
        <f t="shared" si="5"/>
        <v>0</v>
      </c>
      <c r="AC75" s="12" t="str">
        <f>IF(VLOOKUP(A75,Data_NV!$A:$I,7,0)="Không","",IF(OR(AND(Y75=0,Z75=0),AND(Y75&lt;&gt;0,Z75&lt;&gt;0)),"","Quên chấm công"))</f>
        <v/>
      </c>
      <c r="AD75" s="12">
        <f>IF(VLOOKUP(A75,Data_NV!$A:$I,7,0)="Không",0,IF(AND(Y75=0,Z75=0),0,IF(X75&lt;=Z75,0,ROUNDDOWN((X75-Z75)*24*60,0))))</f>
        <v>0</v>
      </c>
      <c r="AE75" s="12">
        <f>IF(VLOOKUP(A75,Data_NV!$A:$I,6,0)="Không",0,IF(Z75&lt;=X75,0,ROUNDDOWN((Z75-X75)*24*60,0)))</f>
        <v>0</v>
      </c>
      <c r="AF75" s="26">
        <f t="shared" si="6"/>
        <v>0</v>
      </c>
      <c r="AG75" s="27" t="str">
        <f>IF(AC75="","",IF(COUNTIFS($AC$3:AC75,"Quên chấm công",$S$3:S75,S75)&gt;3,"Không chấm công do vi phạm quá 3 lần",IF(COUNTIFS($AC$3:AC75,"Quên chấm công",$S$3:S75,S75)&gt;2,"Trừ toàn bộ chuyên cần tháng do vi phạm lần 3",IF(COUNTIFS($AC$3:AC75,"Quên chấm công",$S$3:S75,S75)&gt;1,"Trừ 1/2 ngày lương",50000))))</f>
        <v/>
      </c>
      <c r="AH75" s="12" t="str">
        <f>IF(AF75=0,"",IF(COUNTIFS($AF$3:AF75,"&gt;0",$S$3:S75,S75)&gt;3,"Trừ toàn bộ chuyên cần tháng",""))</f>
        <v/>
      </c>
      <c r="AI75" s="12"/>
    </row>
    <row r="76" spans="1:35" x14ac:dyDescent="0.25">
      <c r="A76" s="4" t="s">
        <v>163</v>
      </c>
      <c r="B76" s="1" t="s">
        <v>164</v>
      </c>
      <c r="C76" s="1" t="s">
        <v>20</v>
      </c>
      <c r="D76" s="1" t="s">
        <v>74</v>
      </c>
      <c r="E76" s="1" t="s">
        <v>22</v>
      </c>
      <c r="F76" s="1" t="s">
        <v>23</v>
      </c>
      <c r="G76" s="1" t="s">
        <v>12</v>
      </c>
      <c r="H76" s="1" t="s">
        <v>24</v>
      </c>
      <c r="I76" s="1" t="s">
        <v>24</v>
      </c>
      <c r="J76" s="1" t="s">
        <v>25</v>
      </c>
      <c r="K76" s="1" t="s">
        <v>25</v>
      </c>
      <c r="L76" s="1" t="s">
        <v>26</v>
      </c>
      <c r="M76" s="1" t="s">
        <v>25</v>
      </c>
      <c r="N76" s="1" t="s">
        <v>25</v>
      </c>
      <c r="O76" s="1" t="s">
        <v>25</v>
      </c>
      <c r="P76" s="1" t="s">
        <v>25</v>
      </c>
      <c r="Q76" s="1" t="s">
        <v>25</v>
      </c>
      <c r="R76" s="85" t="str">
        <f t="shared" si="4"/>
        <v>1145914</v>
      </c>
      <c r="S76" t="str">
        <f>VLOOKUP(A76,Data_NV!$A:$C,3,0)</f>
        <v xml:space="preserve"> Trần Cao Hoàng Tâm    </v>
      </c>
      <c r="T76" t="str">
        <f>VLOOKUP(A76,Data_NV!$A:$E,4,0)</f>
        <v>Vận Hành</v>
      </c>
      <c r="U76" s="82">
        <f>DATEVALUE(Table2[[#This Row],[Ngày]])</f>
        <v>45914</v>
      </c>
      <c r="V76" t="str">
        <f>VLOOKUP(A76,Data_NV!$A:$E,5,0)</f>
        <v>Đang làm việc</v>
      </c>
      <c r="W76" s="10">
        <f>VLOOKUP(A76,Data_NV!$A:$I,8,0)</f>
        <v>0.3125</v>
      </c>
      <c r="X76" s="10">
        <f>VLOOKUP(A76,Data_NV!$A:$I,9,0)</f>
        <v>0.6875</v>
      </c>
      <c r="Y76" s="10">
        <f>IFERROR(TIMEVALUE(Table2[[#This Row],[Vào]]),0)</f>
        <v>0</v>
      </c>
      <c r="Z76" s="10">
        <f>IFERROR(TIMEVALUE(Table2[[#This Row],[Ra]]),0)</f>
        <v>0</v>
      </c>
      <c r="AA76" t="str">
        <f t="shared" si="7"/>
        <v>Chủ nhật</v>
      </c>
      <c r="AB76" s="105">
        <f t="shared" si="5"/>
        <v>0</v>
      </c>
      <c r="AC76" s="12" t="str">
        <f>IF(VLOOKUP(A76,Data_NV!$A:$I,7,0)="Không","",IF(OR(AND(Y76=0,Z76=0),AND(Y76&lt;&gt;0,Z76&lt;&gt;0)),"","Quên chấm công"))</f>
        <v/>
      </c>
      <c r="AD76" s="12">
        <f>IF(VLOOKUP(A76,Data_NV!$A:$I,7,0)="Không",0,IF(AND(Y76=0,Z76=0),0,IF(X76&lt;=Z76,0,ROUNDDOWN((X76-Z76)*24*60,0))))</f>
        <v>0</v>
      </c>
      <c r="AE76" s="12">
        <f>IF(VLOOKUP(A76,Data_NV!$A:$I,6,0)="Không",0,IF(Z76&lt;=X76,0,ROUNDDOWN((Z76-X76)*24*60,0)))</f>
        <v>0</v>
      </c>
      <c r="AF76" s="26">
        <f t="shared" si="6"/>
        <v>0</v>
      </c>
      <c r="AG76" s="27" t="str">
        <f>IF(AC76="","",IF(COUNTIFS($AC$3:AC76,"Quên chấm công",$S$3:S76,S76)&gt;3,"Không chấm công do vi phạm quá 3 lần",IF(COUNTIFS($AC$3:AC76,"Quên chấm công",$S$3:S76,S76)&gt;2,"Trừ toàn bộ chuyên cần tháng do vi phạm lần 3",IF(COUNTIFS($AC$3:AC76,"Quên chấm công",$S$3:S76,S76)&gt;1,"Trừ 1/2 ngày lương",50000))))</f>
        <v/>
      </c>
      <c r="AH76" s="12" t="str">
        <f>IF(AF76=0,"",IF(COUNTIFS($AF$3:AF76,"&gt;0",$S$3:S76,S76)&gt;3,"Trừ toàn bộ chuyên cần tháng",""))</f>
        <v/>
      </c>
      <c r="AI76" s="12"/>
    </row>
    <row r="77" spans="1:35" x14ac:dyDescent="0.25">
      <c r="A77" s="4" t="s">
        <v>163</v>
      </c>
      <c r="B77" s="1" t="s">
        <v>164</v>
      </c>
      <c r="C77" s="1" t="s">
        <v>20</v>
      </c>
      <c r="D77" s="1" t="s">
        <v>75</v>
      </c>
      <c r="E77" s="1" t="s">
        <v>22</v>
      </c>
      <c r="F77" s="1" t="s">
        <v>23</v>
      </c>
      <c r="G77" s="1" t="s">
        <v>12</v>
      </c>
      <c r="H77" s="1" t="s">
        <v>168</v>
      </c>
      <c r="I77" s="1" t="s">
        <v>24</v>
      </c>
      <c r="J77" s="1" t="s">
        <v>25</v>
      </c>
      <c r="K77" s="1" t="s">
        <v>25</v>
      </c>
      <c r="L77" s="1" t="s">
        <v>26</v>
      </c>
      <c r="M77" s="1" t="s">
        <v>25</v>
      </c>
      <c r="N77" s="1" t="s">
        <v>25</v>
      </c>
      <c r="O77" s="1" t="s">
        <v>25</v>
      </c>
      <c r="P77" s="1" t="s">
        <v>25</v>
      </c>
      <c r="Q77" s="1" t="s">
        <v>25</v>
      </c>
      <c r="R77" s="85" t="str">
        <f t="shared" si="4"/>
        <v>1145915</v>
      </c>
      <c r="S77" t="str">
        <f>VLOOKUP(A77,Data_NV!$A:$C,3,0)</f>
        <v xml:space="preserve"> Trần Cao Hoàng Tâm    </v>
      </c>
      <c r="T77" t="str">
        <f>VLOOKUP(A77,Data_NV!$A:$E,4,0)</f>
        <v>Vận Hành</v>
      </c>
      <c r="U77" s="82">
        <f>DATEVALUE(Table2[[#This Row],[Ngày]])</f>
        <v>45915</v>
      </c>
      <c r="V77" t="str">
        <f>VLOOKUP(A77,Data_NV!$A:$E,5,0)</f>
        <v>Đang làm việc</v>
      </c>
      <c r="W77" s="10">
        <f>VLOOKUP(A77,Data_NV!$A:$I,8,0)</f>
        <v>0.3125</v>
      </c>
      <c r="X77" s="10">
        <f>VLOOKUP(A77,Data_NV!$A:$I,9,0)</f>
        <v>0.6875</v>
      </c>
      <c r="Y77" s="10">
        <f>IFERROR(TIMEVALUE(Table2[[#This Row],[Vào]]),0)</f>
        <v>0.31473379629629628</v>
      </c>
      <c r="Z77" s="10">
        <f>IFERROR(TIMEVALUE(Table2[[#This Row],[Ra]]),0)</f>
        <v>0</v>
      </c>
      <c r="AA77" t="str">
        <f t="shared" si="7"/>
        <v>x</v>
      </c>
      <c r="AB77" s="105">
        <f t="shared" si="5"/>
        <v>3.2166666666666366</v>
      </c>
      <c r="AC77" s="12" t="str">
        <f>IF(VLOOKUP(A77,Data_NV!$A:$I,7,0)="Không","",IF(OR(AND(Y77=0,Z77=0),AND(Y77&lt;&gt;0,Z77&lt;&gt;0)),"","Quên chấm công"))</f>
        <v/>
      </c>
      <c r="AD77" s="12">
        <f>IF(VLOOKUP(A77,Data_NV!$A:$I,7,0)="Không",0,IF(AND(Y77=0,Z77=0),0,IF(X77&lt;=Z77,0,ROUNDDOWN((X77-Z77)*24*60,0))))</f>
        <v>0</v>
      </c>
      <c r="AE77" s="12">
        <f>IF(VLOOKUP(A77,Data_NV!$A:$I,6,0)="Không",0,IF(Z77&lt;=X77,0,ROUNDDOWN((Z77-X77)*24*60,0)))</f>
        <v>0</v>
      </c>
      <c r="AF77" s="26">
        <f t="shared" si="6"/>
        <v>0</v>
      </c>
      <c r="AG77" s="27" t="str">
        <f>IF(AC77="","",IF(COUNTIFS($AC$3:AC77,"Quên chấm công",$S$3:S77,S77)&gt;3,"Không chấm công do vi phạm quá 3 lần",IF(COUNTIFS($AC$3:AC77,"Quên chấm công",$S$3:S77,S77)&gt;2,"Trừ toàn bộ chuyên cần tháng do vi phạm lần 3",IF(COUNTIFS($AC$3:AC77,"Quên chấm công",$S$3:S77,S77)&gt;1,"Trừ 1/2 ngày lương",50000))))</f>
        <v/>
      </c>
      <c r="AH77" s="12" t="str">
        <f>IF(AF77=0,"",IF(COUNTIFS($AF$3:AF77,"&gt;0",$S$3:S77,S77)&gt;3,"Trừ toàn bộ chuyên cần tháng",""))</f>
        <v/>
      </c>
      <c r="AI77" s="12"/>
    </row>
    <row r="78" spans="1:35" x14ac:dyDescent="0.25">
      <c r="A78" s="4" t="s">
        <v>163</v>
      </c>
      <c r="B78" s="1" t="s">
        <v>164</v>
      </c>
      <c r="C78" s="1" t="s">
        <v>20</v>
      </c>
      <c r="D78" s="1" t="s">
        <v>80</v>
      </c>
      <c r="E78" s="1" t="s">
        <v>22</v>
      </c>
      <c r="F78" s="1" t="s">
        <v>23</v>
      </c>
      <c r="G78" s="1" t="s">
        <v>12</v>
      </c>
      <c r="H78" s="1" t="s">
        <v>24</v>
      </c>
      <c r="I78" s="1" t="s">
        <v>24</v>
      </c>
      <c r="J78" s="1" t="s">
        <v>25</v>
      </c>
      <c r="K78" s="1" t="s">
        <v>25</v>
      </c>
      <c r="L78" s="1" t="s">
        <v>26</v>
      </c>
      <c r="M78" s="1" t="s">
        <v>25</v>
      </c>
      <c r="N78" s="1" t="s">
        <v>25</v>
      </c>
      <c r="O78" s="1" t="s">
        <v>25</v>
      </c>
      <c r="P78" s="1" t="s">
        <v>25</v>
      </c>
      <c r="Q78" s="1" t="s">
        <v>25</v>
      </c>
      <c r="R78" s="85" t="str">
        <f t="shared" si="4"/>
        <v>1145916</v>
      </c>
      <c r="S78" t="str">
        <f>VLOOKUP(A78,Data_NV!$A:$C,3,0)</f>
        <v xml:space="preserve"> Trần Cao Hoàng Tâm    </v>
      </c>
      <c r="T78" t="str">
        <f>VLOOKUP(A78,Data_NV!$A:$E,4,0)</f>
        <v>Vận Hành</v>
      </c>
      <c r="U78" s="82">
        <f>DATEVALUE(Table2[[#This Row],[Ngày]])</f>
        <v>45916</v>
      </c>
      <c r="V78" t="str">
        <f>VLOOKUP(A78,Data_NV!$A:$E,5,0)</f>
        <v>Đang làm việc</v>
      </c>
      <c r="W78" s="10">
        <f>VLOOKUP(A78,Data_NV!$A:$I,8,0)</f>
        <v>0.3125</v>
      </c>
      <c r="X78" s="10">
        <f>VLOOKUP(A78,Data_NV!$A:$I,9,0)</f>
        <v>0.6875</v>
      </c>
      <c r="Y78" s="10">
        <f>IFERROR(TIMEVALUE(Table2[[#This Row],[Vào]]),0)</f>
        <v>0</v>
      </c>
      <c r="Z78" s="10">
        <f>IFERROR(TIMEVALUE(Table2[[#This Row],[Ra]]),0)</f>
        <v>0</v>
      </c>
      <c r="AA78" t="s">
        <v>1341</v>
      </c>
      <c r="AB78" s="105">
        <f t="shared" si="5"/>
        <v>0</v>
      </c>
      <c r="AC78" s="12" t="str">
        <f>IF(VLOOKUP(A78,Data_NV!$A:$I,7,0)="Không","",IF(OR(AND(Y78=0,Z78=0),AND(Y78&lt;&gt;0,Z78&lt;&gt;0)),"","Quên chấm công"))</f>
        <v/>
      </c>
      <c r="AD78" s="12">
        <f>IF(VLOOKUP(A78,Data_NV!$A:$I,7,0)="Không",0,IF(AND(Y78=0,Z78=0),0,IF(X78&lt;=Z78,0,ROUNDDOWN((X78-Z78)*24*60,0))))</f>
        <v>0</v>
      </c>
      <c r="AE78" s="12">
        <f>IF(VLOOKUP(A78,Data_NV!$A:$I,6,0)="Không",0,IF(Z78&lt;=X78,0,ROUNDDOWN((Z78-X78)*24*60,0)))</f>
        <v>0</v>
      </c>
      <c r="AF78" s="26">
        <f t="shared" si="6"/>
        <v>0</v>
      </c>
      <c r="AG78" s="27" t="str">
        <f>IF(AC78="","",IF(COUNTIFS($AC$3:AC78,"Quên chấm công",$S$3:S78,S78)&gt;3,"Không chấm công do vi phạm quá 3 lần",IF(COUNTIFS($AC$3:AC78,"Quên chấm công",$S$3:S78,S78)&gt;2,"Trừ toàn bộ chuyên cần tháng do vi phạm lần 3",IF(COUNTIFS($AC$3:AC78,"Quên chấm công",$S$3:S78,S78)&gt;1,"Trừ 1/2 ngày lương",50000))))</f>
        <v/>
      </c>
      <c r="AH78" s="12" t="str">
        <f>IF(AF78=0,"",IF(COUNTIFS($AF$3:AF78,"&gt;0",$S$3:S78,S78)&gt;3,"Trừ toàn bộ chuyên cần tháng",""))</f>
        <v/>
      </c>
      <c r="AI78" s="12" t="s">
        <v>1403</v>
      </c>
    </row>
    <row r="79" spans="1:35" x14ac:dyDescent="0.25">
      <c r="A79" s="4" t="s">
        <v>163</v>
      </c>
      <c r="B79" s="1" t="s">
        <v>164</v>
      </c>
      <c r="C79" s="1" t="s">
        <v>20</v>
      </c>
      <c r="D79" s="1" t="s">
        <v>85</v>
      </c>
      <c r="E79" s="1" t="s">
        <v>22</v>
      </c>
      <c r="F79" s="1" t="s">
        <v>23</v>
      </c>
      <c r="G79" s="1" t="s">
        <v>12</v>
      </c>
      <c r="H79" s="1" t="s">
        <v>24</v>
      </c>
      <c r="I79" s="1" t="s">
        <v>24</v>
      </c>
      <c r="J79" s="1" t="s">
        <v>25</v>
      </c>
      <c r="K79" s="1" t="s">
        <v>25</v>
      </c>
      <c r="L79" s="1" t="s">
        <v>26</v>
      </c>
      <c r="M79" s="1" t="s">
        <v>25</v>
      </c>
      <c r="N79" s="1" t="s">
        <v>25</v>
      </c>
      <c r="O79" s="1" t="s">
        <v>25</v>
      </c>
      <c r="P79" s="1" t="s">
        <v>25</v>
      </c>
      <c r="Q79" s="1" t="s">
        <v>25</v>
      </c>
      <c r="R79" s="85" t="str">
        <f t="shared" si="4"/>
        <v>1145917</v>
      </c>
      <c r="S79" t="str">
        <f>VLOOKUP(A79,Data_NV!$A:$C,3,0)</f>
        <v xml:space="preserve"> Trần Cao Hoàng Tâm    </v>
      </c>
      <c r="T79" t="str">
        <f>VLOOKUP(A79,Data_NV!$A:$E,4,0)</f>
        <v>Vận Hành</v>
      </c>
      <c r="U79" s="82">
        <f>DATEVALUE(Table2[[#This Row],[Ngày]])</f>
        <v>45917</v>
      </c>
      <c r="V79" t="str">
        <f>VLOOKUP(A79,Data_NV!$A:$E,5,0)</f>
        <v>Đang làm việc</v>
      </c>
      <c r="W79" s="10">
        <f>VLOOKUP(A79,Data_NV!$A:$I,8,0)</f>
        <v>0.3125</v>
      </c>
      <c r="X79" s="10">
        <f>VLOOKUP(A79,Data_NV!$A:$I,9,0)</f>
        <v>0.6875</v>
      </c>
      <c r="Y79" s="10">
        <f>IFERROR(TIMEVALUE(Table2[[#This Row],[Vào]]),0)</f>
        <v>0</v>
      </c>
      <c r="Z79" s="10">
        <f>IFERROR(TIMEVALUE(Table2[[#This Row],[Ra]]),0)</f>
        <v>0</v>
      </c>
      <c r="AA79" t="s">
        <v>1341</v>
      </c>
      <c r="AB79" s="105">
        <f t="shared" si="5"/>
        <v>0</v>
      </c>
      <c r="AC79" s="12" t="str">
        <f>IF(VLOOKUP(A79,Data_NV!$A:$I,7,0)="Không","",IF(OR(AND(Y79=0,Z79=0),AND(Y79&lt;&gt;0,Z79&lt;&gt;0)),"","Quên chấm công"))</f>
        <v/>
      </c>
      <c r="AD79" s="12">
        <f>IF(VLOOKUP(A79,Data_NV!$A:$I,7,0)="Không",0,IF(AND(Y79=0,Z79=0),0,IF(X79&lt;=Z79,0,ROUNDDOWN((X79-Z79)*24*60,0))))</f>
        <v>0</v>
      </c>
      <c r="AE79" s="12">
        <f>IF(VLOOKUP(A79,Data_NV!$A:$I,6,0)="Không",0,IF(Z79&lt;=X79,0,ROUNDDOWN((Z79-X79)*24*60,0)))</f>
        <v>0</v>
      </c>
      <c r="AF79" s="26">
        <f t="shared" si="6"/>
        <v>0</v>
      </c>
      <c r="AG79" s="27" t="str">
        <f>IF(AC79="","",IF(COUNTIFS($AC$3:AC79,"Quên chấm công",$S$3:S79,S79)&gt;3,"Không chấm công do vi phạm quá 3 lần",IF(COUNTIFS($AC$3:AC79,"Quên chấm công",$S$3:S79,S79)&gt;2,"Trừ toàn bộ chuyên cần tháng do vi phạm lần 3",IF(COUNTIFS($AC$3:AC79,"Quên chấm công",$S$3:S79,S79)&gt;1,"Trừ 1/2 ngày lương",50000))))</f>
        <v/>
      </c>
      <c r="AH79" s="12" t="str">
        <f>IF(AF79=0,"",IF(COUNTIFS($AF$3:AF79,"&gt;0",$S$3:S79,S79)&gt;3,"Trừ toàn bộ chuyên cần tháng",""))</f>
        <v/>
      </c>
      <c r="AI79" s="12" t="s">
        <v>1401</v>
      </c>
    </row>
    <row r="80" spans="1:35" x14ac:dyDescent="0.25">
      <c r="A80" s="4" t="s">
        <v>163</v>
      </c>
      <c r="B80" s="1" t="s">
        <v>164</v>
      </c>
      <c r="C80" s="1" t="s">
        <v>20</v>
      </c>
      <c r="D80" s="1" t="s">
        <v>90</v>
      </c>
      <c r="E80" s="1" t="s">
        <v>22</v>
      </c>
      <c r="F80" s="1" t="s">
        <v>23</v>
      </c>
      <c r="G80" s="1" t="s">
        <v>12</v>
      </c>
      <c r="H80" s="1" t="s">
        <v>169</v>
      </c>
      <c r="I80" s="1" t="s">
        <v>24</v>
      </c>
      <c r="J80" s="1" t="s">
        <v>66</v>
      </c>
      <c r="K80" s="1" t="s">
        <v>25</v>
      </c>
      <c r="L80" s="1" t="s">
        <v>26</v>
      </c>
      <c r="M80" s="1" t="s">
        <v>25</v>
      </c>
      <c r="N80" s="1" t="s">
        <v>25</v>
      </c>
      <c r="O80" s="1" t="s">
        <v>25</v>
      </c>
      <c r="P80" s="1" t="s">
        <v>25</v>
      </c>
      <c r="Q80" s="1" t="s">
        <v>25</v>
      </c>
      <c r="R80" s="85" t="str">
        <f t="shared" si="4"/>
        <v>1145918</v>
      </c>
      <c r="S80" t="str">
        <f>VLOOKUP(A80,Data_NV!$A:$C,3,0)</f>
        <v xml:space="preserve"> Trần Cao Hoàng Tâm    </v>
      </c>
      <c r="T80" t="str">
        <f>VLOOKUP(A80,Data_NV!$A:$E,4,0)</f>
        <v>Vận Hành</v>
      </c>
      <c r="U80" s="82">
        <f>DATEVALUE(Table2[[#This Row],[Ngày]])</f>
        <v>45918</v>
      </c>
      <c r="V80" t="str">
        <f>VLOOKUP(A80,Data_NV!$A:$E,5,0)</f>
        <v>Đang làm việc</v>
      </c>
      <c r="W80" s="10">
        <f>VLOOKUP(A80,Data_NV!$A:$I,8,0)</f>
        <v>0.3125</v>
      </c>
      <c r="X80" s="10">
        <f>VLOOKUP(A80,Data_NV!$A:$I,9,0)</f>
        <v>0.6875</v>
      </c>
      <c r="Y80" s="10">
        <f>IFERROR(TIMEVALUE(Table2[[#This Row],[Vào]]),0)</f>
        <v>0.36275462962962962</v>
      </c>
      <c r="Z80" s="10">
        <f>IFERROR(TIMEVALUE(Table2[[#This Row],[Ra]]),0)</f>
        <v>0</v>
      </c>
      <c r="AA80" t="str">
        <f t="shared" si="7"/>
        <v>1/2</v>
      </c>
      <c r="AB80" s="105">
        <f t="shared" si="5"/>
        <v>72.36666666666666</v>
      </c>
      <c r="AC80" s="12" t="str">
        <f>IF(VLOOKUP(A80,Data_NV!$A:$I,7,0)="Không","",IF(OR(AND(Y80=0,Z80=0),AND(Y80&lt;&gt;0,Z80&lt;&gt;0)),"","Quên chấm công"))</f>
        <v/>
      </c>
      <c r="AD80" s="12">
        <f>IF(VLOOKUP(A80,Data_NV!$A:$I,7,0)="Không",0,IF(AND(Y80=0,Z80=0),0,IF(X80&lt;=Z80,0,ROUNDDOWN((X80-Z80)*24*60,0))))</f>
        <v>0</v>
      </c>
      <c r="AE80" s="12">
        <f>IF(VLOOKUP(A80,Data_NV!$A:$I,6,0)="Không",0,IF(Z80&lt;=X80,0,ROUNDDOWN((Z80-X80)*24*60,0)))</f>
        <v>0</v>
      </c>
      <c r="AF80" s="26" t="str">
        <f t="shared" si="6"/>
        <v>Trừ 1/2 ngày lương</v>
      </c>
      <c r="AG80" s="27" t="str">
        <f>IF(AC80="","",IF(COUNTIFS($AC$3:AC80,"Quên chấm công",$S$3:S80,S80)&gt;3,"Không chấm công do vi phạm quá 3 lần",IF(COUNTIFS($AC$3:AC80,"Quên chấm công",$S$3:S80,S80)&gt;2,"Trừ toàn bộ chuyên cần tháng do vi phạm lần 3",IF(COUNTIFS($AC$3:AC80,"Quên chấm công",$S$3:S80,S80)&gt;1,"Trừ 1/2 ngày lương",50000))))</f>
        <v/>
      </c>
      <c r="AH80" s="12" t="str">
        <f>IF(AF80=0,"",IF(COUNTIFS($AF$3:AF80,"&gt;0",$S$3:S80,S80)&gt;3,"Trừ toàn bộ chuyên cần tháng",""))</f>
        <v/>
      </c>
      <c r="AI80" s="12"/>
    </row>
    <row r="81" spans="1:35" x14ac:dyDescent="0.25">
      <c r="A81" s="4" t="s">
        <v>163</v>
      </c>
      <c r="B81" s="1" t="s">
        <v>164</v>
      </c>
      <c r="C81" s="1" t="s">
        <v>20</v>
      </c>
      <c r="D81" s="1" t="s">
        <v>95</v>
      </c>
      <c r="E81" s="1" t="s">
        <v>22</v>
      </c>
      <c r="F81" s="1" t="s">
        <v>23</v>
      </c>
      <c r="G81" s="1" t="s">
        <v>12</v>
      </c>
      <c r="H81" s="1" t="s">
        <v>24</v>
      </c>
      <c r="I81" s="1" t="s">
        <v>24</v>
      </c>
      <c r="J81" s="1" t="s">
        <v>25</v>
      </c>
      <c r="K81" s="1" t="s">
        <v>25</v>
      </c>
      <c r="L81" s="1" t="s">
        <v>26</v>
      </c>
      <c r="M81" s="1" t="s">
        <v>25</v>
      </c>
      <c r="N81" s="1" t="s">
        <v>25</v>
      </c>
      <c r="O81" s="1" t="s">
        <v>25</v>
      </c>
      <c r="P81" s="1" t="s">
        <v>25</v>
      </c>
      <c r="Q81" s="1" t="s">
        <v>25</v>
      </c>
      <c r="R81" s="85" t="str">
        <f t="shared" si="4"/>
        <v>1145919</v>
      </c>
      <c r="S81" t="str">
        <f>VLOOKUP(A81,Data_NV!$A:$C,3,0)</f>
        <v xml:space="preserve"> Trần Cao Hoàng Tâm    </v>
      </c>
      <c r="T81" t="str">
        <f>VLOOKUP(A81,Data_NV!$A:$E,4,0)</f>
        <v>Vận Hành</v>
      </c>
      <c r="U81" s="82">
        <f>DATEVALUE(Table2[[#This Row],[Ngày]])</f>
        <v>45919</v>
      </c>
      <c r="V81" t="str">
        <f>VLOOKUP(A81,Data_NV!$A:$E,5,0)</f>
        <v>Đang làm việc</v>
      </c>
      <c r="W81" s="10">
        <f>VLOOKUP(A81,Data_NV!$A:$I,8,0)</f>
        <v>0.3125</v>
      </c>
      <c r="X81" s="10">
        <f>VLOOKUP(A81,Data_NV!$A:$I,9,0)</f>
        <v>0.6875</v>
      </c>
      <c r="Y81" s="10">
        <f>IFERROR(TIMEVALUE(Table2[[#This Row],[Vào]]),0)</f>
        <v>0</v>
      </c>
      <c r="Z81" s="10">
        <f>IFERROR(TIMEVALUE(Table2[[#This Row],[Ra]]),0)</f>
        <v>0</v>
      </c>
      <c r="AA81" t="s">
        <v>1341</v>
      </c>
      <c r="AB81" s="105">
        <f t="shared" si="5"/>
        <v>0</v>
      </c>
      <c r="AC81" s="12" t="str">
        <f>IF(VLOOKUP(A81,Data_NV!$A:$I,7,0)="Không","",IF(OR(AND(Y81=0,Z81=0),AND(Y81&lt;&gt;0,Z81&lt;&gt;0)),"","Quên chấm công"))</f>
        <v/>
      </c>
      <c r="AD81" s="12">
        <f>IF(VLOOKUP(A81,Data_NV!$A:$I,7,0)="Không",0,IF(AND(Y81=0,Z81=0),0,IF(X81&lt;=Z81,0,ROUNDDOWN((X81-Z81)*24*60,0))))</f>
        <v>0</v>
      </c>
      <c r="AE81" s="12">
        <f>IF(VLOOKUP(A81,Data_NV!$A:$I,6,0)="Không",0,IF(Z81&lt;=X81,0,ROUNDDOWN((Z81-X81)*24*60,0)))</f>
        <v>0</v>
      </c>
      <c r="AF81" s="26">
        <f t="shared" si="6"/>
        <v>0</v>
      </c>
      <c r="AG81" s="27" t="str">
        <f>IF(AC81="","",IF(COUNTIFS($AC$3:AC81,"Quên chấm công",$S$3:S81,S81)&gt;3,"Không chấm công do vi phạm quá 3 lần",IF(COUNTIFS($AC$3:AC81,"Quên chấm công",$S$3:S81,S81)&gt;2,"Trừ toàn bộ chuyên cần tháng do vi phạm lần 3",IF(COUNTIFS($AC$3:AC81,"Quên chấm công",$S$3:S81,S81)&gt;1,"Trừ 1/2 ngày lương",50000))))</f>
        <v/>
      </c>
      <c r="AH81" s="12" t="str">
        <f>IF(AF81=0,"",IF(COUNTIFS($AF$3:AF81,"&gt;0",$S$3:S81,S81)&gt;3,"Trừ toàn bộ chuyên cần tháng",""))</f>
        <v/>
      </c>
      <c r="AI81" s="12" t="s">
        <v>1402</v>
      </c>
    </row>
    <row r="82" spans="1:35" x14ac:dyDescent="0.25">
      <c r="A82" s="4" t="s">
        <v>163</v>
      </c>
      <c r="B82" s="1" t="s">
        <v>164</v>
      </c>
      <c r="C82" s="1" t="s">
        <v>20</v>
      </c>
      <c r="D82" s="1" t="s">
        <v>100</v>
      </c>
      <c r="E82" s="1" t="s">
        <v>22</v>
      </c>
      <c r="F82" s="1" t="s">
        <v>23</v>
      </c>
      <c r="G82" s="1" t="s">
        <v>12</v>
      </c>
      <c r="H82" s="1" t="s">
        <v>24</v>
      </c>
      <c r="I82" s="1" t="s">
        <v>24</v>
      </c>
      <c r="J82" s="1" t="s">
        <v>25</v>
      </c>
      <c r="K82" s="1" t="s">
        <v>25</v>
      </c>
      <c r="L82" s="1" t="s">
        <v>26</v>
      </c>
      <c r="M82" s="1" t="s">
        <v>25</v>
      </c>
      <c r="N82" s="1" t="s">
        <v>25</v>
      </c>
      <c r="O82" s="1" t="s">
        <v>25</v>
      </c>
      <c r="P82" s="1" t="s">
        <v>25</v>
      </c>
      <c r="Q82" s="1" t="s">
        <v>25</v>
      </c>
      <c r="R82" s="85" t="str">
        <f t="shared" si="4"/>
        <v>1145920</v>
      </c>
      <c r="S82" t="str">
        <f>VLOOKUP(A82,Data_NV!$A:$C,3,0)</f>
        <v xml:space="preserve"> Trần Cao Hoàng Tâm    </v>
      </c>
      <c r="T82" t="str">
        <f>VLOOKUP(A82,Data_NV!$A:$E,4,0)</f>
        <v>Vận Hành</v>
      </c>
      <c r="U82" s="82">
        <f>DATEVALUE(Table2[[#This Row],[Ngày]])</f>
        <v>45920</v>
      </c>
      <c r="V82" t="str">
        <f>VLOOKUP(A82,Data_NV!$A:$E,5,0)</f>
        <v>Đang làm việc</v>
      </c>
      <c r="W82" s="10">
        <f>VLOOKUP(A82,Data_NV!$A:$I,8,0)</f>
        <v>0.3125</v>
      </c>
      <c r="X82" s="10">
        <f>VLOOKUP(A82,Data_NV!$A:$I,9,0)</f>
        <v>0.6875</v>
      </c>
      <c r="Y82" s="10">
        <f>IFERROR(TIMEVALUE(Table2[[#This Row],[Vào]]),0)</f>
        <v>0</v>
      </c>
      <c r="Z82" s="10">
        <f>IFERROR(TIMEVALUE(Table2[[#This Row],[Ra]]),0)</f>
        <v>0</v>
      </c>
      <c r="AA82" t="s">
        <v>1341</v>
      </c>
      <c r="AB82" s="105">
        <f t="shared" si="5"/>
        <v>0</v>
      </c>
      <c r="AC82" s="12" t="str">
        <f>IF(VLOOKUP(A82,Data_NV!$A:$I,7,0)="Không","",IF(OR(AND(Y82=0,Z82=0),AND(Y82&lt;&gt;0,Z82&lt;&gt;0)),"","Quên chấm công"))</f>
        <v/>
      </c>
      <c r="AD82" s="12">
        <f>IF(VLOOKUP(A82,Data_NV!$A:$I,7,0)="Không",0,IF(AND(Y82=0,Z82=0),0,IF(X82&lt;=Z82,0,ROUNDDOWN((X82-Z82)*24*60,0))))</f>
        <v>0</v>
      </c>
      <c r="AE82" s="12">
        <f>IF(VLOOKUP(A82,Data_NV!$A:$I,6,0)="Không",0,IF(Z82&lt;=X82,0,ROUNDDOWN((Z82-X82)*24*60,0)))</f>
        <v>0</v>
      </c>
      <c r="AF82" s="26">
        <f t="shared" si="6"/>
        <v>0</v>
      </c>
      <c r="AG82" s="27" t="str">
        <f>IF(AC82="","",IF(COUNTIFS($AC$3:AC82,"Quên chấm công",$S$3:S82,S82)&gt;3,"Không chấm công do vi phạm quá 3 lần",IF(COUNTIFS($AC$3:AC82,"Quên chấm công",$S$3:S82,S82)&gt;2,"Trừ toàn bộ chuyên cần tháng do vi phạm lần 3",IF(COUNTIFS($AC$3:AC82,"Quên chấm công",$S$3:S82,S82)&gt;1,"Trừ 1/2 ngày lương",50000))))</f>
        <v/>
      </c>
      <c r="AH82" s="12" t="str">
        <f>IF(AF82=0,"",IF(COUNTIFS($AF$3:AF82,"&gt;0",$S$3:S82,S82)&gt;3,"Trừ toàn bộ chuyên cần tháng",""))</f>
        <v/>
      </c>
      <c r="AI82" s="12" t="s">
        <v>1401</v>
      </c>
    </row>
    <row r="83" spans="1:35" x14ac:dyDescent="0.25">
      <c r="A83" s="4" t="s">
        <v>163</v>
      </c>
      <c r="B83" s="1" t="s">
        <v>164</v>
      </c>
      <c r="C83" s="1" t="s">
        <v>20</v>
      </c>
      <c r="D83" s="1" t="s">
        <v>105</v>
      </c>
      <c r="E83" s="1" t="s">
        <v>22</v>
      </c>
      <c r="F83" s="1" t="s">
        <v>23</v>
      </c>
      <c r="G83" s="1" t="s">
        <v>12</v>
      </c>
      <c r="H83" s="1" t="s">
        <v>24</v>
      </c>
      <c r="I83" s="1" t="s">
        <v>24</v>
      </c>
      <c r="J83" s="1" t="s">
        <v>25</v>
      </c>
      <c r="K83" s="1" t="s">
        <v>25</v>
      </c>
      <c r="L83" s="1" t="s">
        <v>26</v>
      </c>
      <c r="M83" s="1" t="s">
        <v>25</v>
      </c>
      <c r="N83" s="1" t="s">
        <v>25</v>
      </c>
      <c r="O83" s="1" t="s">
        <v>25</v>
      </c>
      <c r="P83" s="1" t="s">
        <v>25</v>
      </c>
      <c r="Q83" s="1" t="s">
        <v>25</v>
      </c>
      <c r="R83" s="85" t="str">
        <f t="shared" si="4"/>
        <v>1145921</v>
      </c>
      <c r="S83" t="str">
        <f>VLOOKUP(A83,Data_NV!$A:$C,3,0)</f>
        <v xml:space="preserve"> Trần Cao Hoàng Tâm    </v>
      </c>
      <c r="T83" t="str">
        <f>VLOOKUP(A83,Data_NV!$A:$E,4,0)</f>
        <v>Vận Hành</v>
      </c>
      <c r="U83" s="82">
        <f>DATEVALUE(Table2[[#This Row],[Ngày]])</f>
        <v>45921</v>
      </c>
      <c r="V83" t="str">
        <f>VLOOKUP(A83,Data_NV!$A:$E,5,0)</f>
        <v>Đang làm việc</v>
      </c>
      <c r="W83" s="10">
        <f>VLOOKUP(A83,Data_NV!$A:$I,8,0)</f>
        <v>0.3125</v>
      </c>
      <c r="X83" s="10">
        <f>VLOOKUP(A83,Data_NV!$A:$I,9,0)</f>
        <v>0.6875</v>
      </c>
      <c r="Y83" s="10">
        <f>IFERROR(TIMEVALUE(Table2[[#This Row],[Vào]]),0)</f>
        <v>0</v>
      </c>
      <c r="Z83" s="10">
        <f>IFERROR(TIMEVALUE(Table2[[#This Row],[Ra]]),0)</f>
        <v>0</v>
      </c>
      <c r="AA83" t="str">
        <f t="shared" si="7"/>
        <v>Chủ nhật</v>
      </c>
      <c r="AB83" s="105">
        <f t="shared" si="5"/>
        <v>0</v>
      </c>
      <c r="AC83" s="12" t="str">
        <f>IF(VLOOKUP(A83,Data_NV!$A:$I,7,0)="Không","",IF(OR(AND(Y83=0,Z83=0),AND(Y83&lt;&gt;0,Z83&lt;&gt;0)),"","Quên chấm công"))</f>
        <v/>
      </c>
      <c r="AD83" s="12">
        <f>IF(VLOOKUP(A83,Data_NV!$A:$I,7,0)="Không",0,IF(AND(Y83=0,Z83=0),0,IF(X83&lt;=Z83,0,ROUNDDOWN((X83-Z83)*24*60,0))))</f>
        <v>0</v>
      </c>
      <c r="AE83" s="12">
        <f>IF(VLOOKUP(A83,Data_NV!$A:$I,6,0)="Không",0,IF(Z83&lt;=X83,0,ROUNDDOWN((Z83-X83)*24*60,0)))</f>
        <v>0</v>
      </c>
      <c r="AF83" s="26">
        <f t="shared" si="6"/>
        <v>0</v>
      </c>
      <c r="AG83" s="27" t="str">
        <f>IF(AC83="","",IF(COUNTIFS($AC$3:AC83,"Quên chấm công",$S$3:S83,S83)&gt;3,"Không chấm công do vi phạm quá 3 lần",IF(COUNTIFS($AC$3:AC83,"Quên chấm công",$S$3:S83,S83)&gt;2,"Trừ toàn bộ chuyên cần tháng do vi phạm lần 3",IF(COUNTIFS($AC$3:AC83,"Quên chấm công",$S$3:S83,S83)&gt;1,"Trừ 1/2 ngày lương",50000))))</f>
        <v/>
      </c>
      <c r="AH83" s="12" t="str">
        <f>IF(AF83=0,"",IF(COUNTIFS($AF$3:AF83,"&gt;0",$S$3:S83,S83)&gt;3,"Trừ toàn bộ chuyên cần tháng",""))</f>
        <v/>
      </c>
      <c r="AI83" s="12"/>
    </row>
    <row r="84" spans="1:35" x14ac:dyDescent="0.25">
      <c r="A84" s="4" t="s">
        <v>163</v>
      </c>
      <c r="B84" s="1" t="s">
        <v>164</v>
      </c>
      <c r="C84" s="1" t="s">
        <v>20</v>
      </c>
      <c r="D84" s="1" t="s">
        <v>106</v>
      </c>
      <c r="E84" s="1" t="s">
        <v>22</v>
      </c>
      <c r="F84" s="1" t="s">
        <v>23</v>
      </c>
      <c r="G84" s="1" t="s">
        <v>12</v>
      </c>
      <c r="H84" s="1" t="s">
        <v>24</v>
      </c>
      <c r="I84" s="1" t="s">
        <v>24</v>
      </c>
      <c r="J84" s="1" t="s">
        <v>25</v>
      </c>
      <c r="K84" s="1" t="s">
        <v>25</v>
      </c>
      <c r="L84" s="1" t="s">
        <v>26</v>
      </c>
      <c r="M84" s="1" t="s">
        <v>25</v>
      </c>
      <c r="N84" s="1" t="s">
        <v>25</v>
      </c>
      <c r="O84" s="1" t="s">
        <v>25</v>
      </c>
      <c r="P84" s="1" t="s">
        <v>25</v>
      </c>
      <c r="Q84" s="1" t="s">
        <v>25</v>
      </c>
      <c r="R84" s="85" t="str">
        <f t="shared" si="4"/>
        <v>1145922</v>
      </c>
      <c r="S84" t="str">
        <f>VLOOKUP(A84,Data_NV!$A:$C,3,0)</f>
        <v xml:space="preserve"> Trần Cao Hoàng Tâm    </v>
      </c>
      <c r="T84" t="str">
        <f>VLOOKUP(A84,Data_NV!$A:$E,4,0)</f>
        <v>Vận Hành</v>
      </c>
      <c r="U84" s="82">
        <f>DATEVALUE(Table2[[#This Row],[Ngày]])</f>
        <v>45922</v>
      </c>
      <c r="V84" t="str">
        <f>VLOOKUP(A84,Data_NV!$A:$E,5,0)</f>
        <v>Đang làm việc</v>
      </c>
      <c r="W84" s="10">
        <f>VLOOKUP(A84,Data_NV!$A:$I,8,0)</f>
        <v>0.3125</v>
      </c>
      <c r="X84" s="10">
        <f>VLOOKUP(A84,Data_NV!$A:$I,9,0)</f>
        <v>0.6875</v>
      </c>
      <c r="Y84" s="10">
        <f>IFERROR(TIMEVALUE(Table2[[#This Row],[Vào]]),0)</f>
        <v>0</v>
      </c>
      <c r="Z84" s="10">
        <f>IFERROR(TIMEVALUE(Table2[[#This Row],[Ra]]),0)</f>
        <v>0</v>
      </c>
      <c r="AA84" t="s">
        <v>1341</v>
      </c>
      <c r="AB84" s="105">
        <f t="shared" si="5"/>
        <v>0</v>
      </c>
      <c r="AC84" s="12" t="str">
        <f>IF(VLOOKUP(A84,Data_NV!$A:$I,7,0)="Không","",IF(OR(AND(Y84=0,Z84=0),AND(Y84&lt;&gt;0,Z84&lt;&gt;0)),"","Quên chấm công"))</f>
        <v/>
      </c>
      <c r="AD84" s="12">
        <f>IF(VLOOKUP(A84,Data_NV!$A:$I,7,0)="Không",0,IF(AND(Y84=0,Z84=0),0,IF(X84&lt;=Z84,0,ROUNDDOWN((X84-Z84)*24*60,0))))</f>
        <v>0</v>
      </c>
      <c r="AE84" s="12">
        <f>IF(VLOOKUP(A84,Data_NV!$A:$I,6,0)="Không",0,IF(Z84&lt;=X84,0,ROUNDDOWN((Z84-X84)*24*60,0)))</f>
        <v>0</v>
      </c>
      <c r="AF84" s="26">
        <f t="shared" si="6"/>
        <v>0</v>
      </c>
      <c r="AG84" s="27" t="str">
        <f>IF(AC84="","",IF(COUNTIFS($AC$3:AC84,"Quên chấm công",$S$3:S84,S84)&gt;3,"Không chấm công do vi phạm quá 3 lần",IF(COUNTIFS($AC$3:AC84,"Quên chấm công",$S$3:S84,S84)&gt;2,"Trừ toàn bộ chuyên cần tháng do vi phạm lần 3",IF(COUNTIFS($AC$3:AC84,"Quên chấm công",$S$3:S84,S84)&gt;1,"Trừ 1/2 ngày lương",50000))))</f>
        <v/>
      </c>
      <c r="AH84" s="12" t="str">
        <f>IF(AF84=0,"",IF(COUNTIFS($AF$3:AF84,"&gt;0",$S$3:S84,S84)&gt;3,"Trừ toàn bộ chuyên cần tháng",""))</f>
        <v/>
      </c>
      <c r="AI84" s="12" t="s">
        <v>1404</v>
      </c>
    </row>
    <row r="85" spans="1:35" x14ac:dyDescent="0.25">
      <c r="A85" s="4" t="s">
        <v>163</v>
      </c>
      <c r="B85" s="1" t="s">
        <v>164</v>
      </c>
      <c r="C85" s="1" t="s">
        <v>20</v>
      </c>
      <c r="D85" s="1" t="s">
        <v>111</v>
      </c>
      <c r="E85" s="1" t="s">
        <v>22</v>
      </c>
      <c r="F85" s="1" t="s">
        <v>23</v>
      </c>
      <c r="G85" s="1" t="s">
        <v>12</v>
      </c>
      <c r="H85" s="1" t="s">
        <v>24</v>
      </c>
      <c r="I85" s="1" t="s">
        <v>24</v>
      </c>
      <c r="J85" s="1" t="s">
        <v>25</v>
      </c>
      <c r="K85" s="1" t="s">
        <v>25</v>
      </c>
      <c r="L85" s="1" t="s">
        <v>26</v>
      </c>
      <c r="M85" s="1" t="s">
        <v>25</v>
      </c>
      <c r="N85" s="1" t="s">
        <v>25</v>
      </c>
      <c r="O85" s="1" t="s">
        <v>25</v>
      </c>
      <c r="P85" s="1" t="s">
        <v>25</v>
      </c>
      <c r="Q85" s="1" t="s">
        <v>25</v>
      </c>
      <c r="R85" s="85" t="str">
        <f t="shared" si="4"/>
        <v>1145923</v>
      </c>
      <c r="S85" t="str">
        <f>VLOOKUP(A85,Data_NV!$A:$C,3,0)</f>
        <v xml:space="preserve"> Trần Cao Hoàng Tâm    </v>
      </c>
      <c r="T85" t="str">
        <f>VLOOKUP(A85,Data_NV!$A:$E,4,0)</f>
        <v>Vận Hành</v>
      </c>
      <c r="U85" s="82">
        <f>DATEVALUE(Table2[[#This Row],[Ngày]])</f>
        <v>45923</v>
      </c>
      <c r="V85" t="str">
        <f>VLOOKUP(A85,Data_NV!$A:$E,5,0)</f>
        <v>Đang làm việc</v>
      </c>
      <c r="W85" s="10">
        <f>VLOOKUP(A85,Data_NV!$A:$I,8,0)</f>
        <v>0.3125</v>
      </c>
      <c r="X85" s="10">
        <f>VLOOKUP(A85,Data_NV!$A:$I,9,0)</f>
        <v>0.6875</v>
      </c>
      <c r="Y85" s="10">
        <f>IFERROR(TIMEVALUE(Table2[[#This Row],[Vào]]),0)</f>
        <v>0</v>
      </c>
      <c r="Z85" s="10">
        <f>IFERROR(TIMEVALUE(Table2[[#This Row],[Ra]]),0)</f>
        <v>0</v>
      </c>
      <c r="AA85" t="s">
        <v>1341</v>
      </c>
      <c r="AB85" s="105">
        <f t="shared" si="5"/>
        <v>0</v>
      </c>
      <c r="AC85" s="12" t="str">
        <f>IF(VLOOKUP(A85,Data_NV!$A:$I,7,0)="Không","",IF(OR(AND(Y85=0,Z85=0),AND(Y85&lt;&gt;0,Z85&lt;&gt;0)),"","Quên chấm công"))</f>
        <v/>
      </c>
      <c r="AD85" s="12">
        <f>IF(VLOOKUP(A85,Data_NV!$A:$I,7,0)="Không",0,IF(AND(Y85=0,Z85=0),0,IF(X85&lt;=Z85,0,ROUNDDOWN((X85-Z85)*24*60,0))))</f>
        <v>0</v>
      </c>
      <c r="AE85" s="12">
        <f>IF(VLOOKUP(A85,Data_NV!$A:$I,6,0)="Không",0,IF(Z85&lt;=X85,0,ROUNDDOWN((Z85-X85)*24*60,0)))</f>
        <v>0</v>
      </c>
      <c r="AF85" s="26">
        <f t="shared" si="6"/>
        <v>0</v>
      </c>
      <c r="AG85" s="27" t="str">
        <f>IF(AC85="","",IF(COUNTIFS($AC$3:AC85,"Quên chấm công",$S$3:S85,S85)&gt;3,"Không chấm công do vi phạm quá 3 lần",IF(COUNTIFS($AC$3:AC85,"Quên chấm công",$S$3:S85,S85)&gt;2,"Trừ toàn bộ chuyên cần tháng do vi phạm lần 3",IF(COUNTIFS($AC$3:AC85,"Quên chấm công",$S$3:S85,S85)&gt;1,"Trừ 1/2 ngày lương",50000))))</f>
        <v/>
      </c>
      <c r="AH85" s="12" t="str">
        <f>IF(AF85=0,"",IF(COUNTIFS($AF$3:AF85,"&gt;0",$S$3:S85,S85)&gt;3,"Trừ toàn bộ chuyên cần tháng",""))</f>
        <v/>
      </c>
      <c r="AI85" s="12" t="s">
        <v>1404</v>
      </c>
    </row>
    <row r="86" spans="1:35" x14ac:dyDescent="0.25">
      <c r="A86" s="4" t="s">
        <v>163</v>
      </c>
      <c r="B86" s="1" t="s">
        <v>164</v>
      </c>
      <c r="C86" s="1" t="s">
        <v>20</v>
      </c>
      <c r="D86" s="1" t="s">
        <v>116</v>
      </c>
      <c r="E86" s="1" t="s">
        <v>22</v>
      </c>
      <c r="F86" s="1" t="s">
        <v>23</v>
      </c>
      <c r="G86" s="1" t="s">
        <v>12</v>
      </c>
      <c r="H86" s="1" t="s">
        <v>170</v>
      </c>
      <c r="I86" s="1" t="s">
        <v>24</v>
      </c>
      <c r="J86" s="1" t="s">
        <v>25</v>
      </c>
      <c r="K86" s="1" t="s">
        <v>25</v>
      </c>
      <c r="L86" s="1" t="s">
        <v>26</v>
      </c>
      <c r="M86" s="1" t="s">
        <v>25</v>
      </c>
      <c r="N86" s="1" t="s">
        <v>25</v>
      </c>
      <c r="O86" s="1" t="s">
        <v>25</v>
      </c>
      <c r="P86" s="1" t="s">
        <v>25</v>
      </c>
      <c r="Q86" s="1" t="s">
        <v>25</v>
      </c>
      <c r="R86" s="85" t="str">
        <f t="shared" si="4"/>
        <v>1145924</v>
      </c>
      <c r="S86" t="str">
        <f>VLOOKUP(A86,Data_NV!$A:$C,3,0)</f>
        <v xml:space="preserve"> Trần Cao Hoàng Tâm    </v>
      </c>
      <c r="T86" t="str">
        <f>VLOOKUP(A86,Data_NV!$A:$E,4,0)</f>
        <v>Vận Hành</v>
      </c>
      <c r="U86" s="82">
        <f>DATEVALUE(Table2[[#This Row],[Ngày]])</f>
        <v>45924</v>
      </c>
      <c r="V86" t="str">
        <f>VLOOKUP(A86,Data_NV!$A:$E,5,0)</f>
        <v>Đang làm việc</v>
      </c>
      <c r="W86" s="10">
        <f>VLOOKUP(A86,Data_NV!$A:$I,8,0)</f>
        <v>0.3125</v>
      </c>
      <c r="X86" s="10">
        <f>VLOOKUP(A86,Data_NV!$A:$I,9,0)</f>
        <v>0.6875</v>
      </c>
      <c r="Y86" s="10">
        <f>IFERROR(TIMEVALUE(Table2[[#This Row],[Vào]]),0)</f>
        <v>0.31740740740740742</v>
      </c>
      <c r="Z86" s="10">
        <f>IFERROR(TIMEVALUE(Table2[[#This Row],[Ra]]),0)</f>
        <v>0</v>
      </c>
      <c r="AA86" t="str">
        <f t="shared" si="7"/>
        <v>x</v>
      </c>
      <c r="AB86" s="105">
        <f t="shared" si="5"/>
        <v>7.0666666666666789</v>
      </c>
      <c r="AC86" s="12" t="str">
        <f>IF(VLOOKUP(A86,Data_NV!$A:$I,7,0)="Không","",IF(OR(AND(Y86=0,Z86=0),AND(Y86&lt;&gt;0,Z86&lt;&gt;0)),"","Quên chấm công"))</f>
        <v/>
      </c>
      <c r="AD86" s="12">
        <f>IF(VLOOKUP(A86,Data_NV!$A:$I,7,0)="Không",0,IF(AND(Y86=0,Z86=0),0,IF(X86&lt;=Z86,0,ROUNDDOWN((X86-Z86)*24*60,0))))</f>
        <v>0</v>
      </c>
      <c r="AE86" s="12">
        <f>IF(VLOOKUP(A86,Data_NV!$A:$I,6,0)="Không",0,IF(Z86&lt;=X86,0,ROUNDDOWN((Z86-X86)*24*60,0)))</f>
        <v>0</v>
      </c>
      <c r="AF86" s="26">
        <f t="shared" si="6"/>
        <v>30000</v>
      </c>
      <c r="AG86" s="27" t="str">
        <f>IF(AC86="","",IF(COUNTIFS($AC$3:AC86,"Quên chấm công",$S$3:S86,S86)&gt;3,"Không chấm công do vi phạm quá 3 lần",IF(COUNTIFS($AC$3:AC86,"Quên chấm công",$S$3:S86,S86)&gt;2,"Trừ toàn bộ chuyên cần tháng do vi phạm lần 3",IF(COUNTIFS($AC$3:AC86,"Quên chấm công",$S$3:S86,S86)&gt;1,"Trừ 1/2 ngày lương",50000))))</f>
        <v/>
      </c>
      <c r="AH86" s="12" t="str">
        <f>IF(AF86=0,"",IF(COUNTIFS($AF$3:AF86,"&gt;0",$S$3:S86,S86)&gt;3,"Trừ toàn bộ chuyên cần tháng",""))</f>
        <v/>
      </c>
      <c r="AI86" s="12"/>
    </row>
    <row r="87" spans="1:35" x14ac:dyDescent="0.25">
      <c r="A87" s="4" t="s">
        <v>163</v>
      </c>
      <c r="B87" s="1" t="s">
        <v>164</v>
      </c>
      <c r="C87" s="1" t="s">
        <v>20</v>
      </c>
      <c r="D87" s="1" t="s">
        <v>121</v>
      </c>
      <c r="E87" s="1" t="s">
        <v>22</v>
      </c>
      <c r="F87" s="1" t="s">
        <v>23</v>
      </c>
      <c r="G87" s="1" t="s">
        <v>12</v>
      </c>
      <c r="H87" s="1" t="s">
        <v>171</v>
      </c>
      <c r="I87" s="1" t="s">
        <v>24</v>
      </c>
      <c r="J87" s="1" t="s">
        <v>25</v>
      </c>
      <c r="K87" s="1" t="s">
        <v>25</v>
      </c>
      <c r="L87" s="1" t="s">
        <v>26</v>
      </c>
      <c r="M87" s="1" t="s">
        <v>25</v>
      </c>
      <c r="N87" s="1" t="s">
        <v>25</v>
      </c>
      <c r="O87" s="1" t="s">
        <v>25</v>
      </c>
      <c r="P87" s="1" t="s">
        <v>25</v>
      </c>
      <c r="Q87" s="1" t="s">
        <v>25</v>
      </c>
      <c r="R87" s="85" t="str">
        <f t="shared" si="4"/>
        <v>1145925</v>
      </c>
      <c r="S87" t="str">
        <f>VLOOKUP(A87,Data_NV!$A:$C,3,0)</f>
        <v xml:space="preserve"> Trần Cao Hoàng Tâm    </v>
      </c>
      <c r="T87" t="str">
        <f>VLOOKUP(A87,Data_NV!$A:$E,4,0)</f>
        <v>Vận Hành</v>
      </c>
      <c r="U87" s="82">
        <f>DATEVALUE(Table2[[#This Row],[Ngày]])</f>
        <v>45925</v>
      </c>
      <c r="V87" t="str">
        <f>VLOOKUP(A87,Data_NV!$A:$E,5,0)</f>
        <v>Đang làm việc</v>
      </c>
      <c r="W87" s="10">
        <f>VLOOKUP(A87,Data_NV!$A:$I,8,0)</f>
        <v>0.3125</v>
      </c>
      <c r="X87" s="10">
        <f>VLOOKUP(A87,Data_NV!$A:$I,9,0)</f>
        <v>0.6875</v>
      </c>
      <c r="Y87" s="10">
        <f>IFERROR(TIMEVALUE(Table2[[#This Row],[Vào]]),0)</f>
        <v>0.31400462962962961</v>
      </c>
      <c r="Z87" s="10">
        <f>IFERROR(TIMEVALUE(Table2[[#This Row],[Ra]]),0)</f>
        <v>0</v>
      </c>
      <c r="AA87" t="str">
        <f t="shared" si="7"/>
        <v>x</v>
      </c>
      <c r="AB87" s="105">
        <f t="shared" si="5"/>
        <v>2.1666666666666323</v>
      </c>
      <c r="AC87" s="12" t="str">
        <f>IF(VLOOKUP(A87,Data_NV!$A:$I,7,0)="Không","",IF(OR(AND(Y87=0,Z87=0),AND(Y87&lt;&gt;0,Z87&lt;&gt;0)),"","Quên chấm công"))</f>
        <v/>
      </c>
      <c r="AD87" s="12">
        <f>IF(VLOOKUP(A87,Data_NV!$A:$I,7,0)="Không",0,IF(AND(Y87=0,Z87=0),0,IF(X87&lt;=Z87,0,ROUNDDOWN((X87-Z87)*24*60,0))))</f>
        <v>0</v>
      </c>
      <c r="AE87" s="12">
        <f>IF(VLOOKUP(A87,Data_NV!$A:$I,6,0)="Không",0,IF(Z87&lt;=X87,0,ROUNDDOWN((Z87-X87)*24*60,0)))</f>
        <v>0</v>
      </c>
      <c r="AF87" s="26">
        <f t="shared" si="6"/>
        <v>0</v>
      </c>
      <c r="AG87" s="27" t="str">
        <f>IF(AC87="","",IF(COUNTIFS($AC$3:AC87,"Quên chấm công",$S$3:S87,S87)&gt;3,"Không chấm công do vi phạm quá 3 lần",IF(COUNTIFS($AC$3:AC87,"Quên chấm công",$S$3:S87,S87)&gt;2,"Trừ toàn bộ chuyên cần tháng do vi phạm lần 3",IF(COUNTIFS($AC$3:AC87,"Quên chấm công",$S$3:S87,S87)&gt;1,"Trừ 1/2 ngày lương",50000))))</f>
        <v/>
      </c>
      <c r="AH87" s="12" t="str">
        <f>IF(AF87=0,"",IF(COUNTIFS($AF$3:AF87,"&gt;0",$S$3:S87,S87)&gt;3,"Trừ toàn bộ chuyên cần tháng",""))</f>
        <v/>
      </c>
      <c r="AI87" s="12"/>
    </row>
    <row r="88" spans="1:35" x14ac:dyDescent="0.25">
      <c r="A88" s="4" t="s">
        <v>163</v>
      </c>
      <c r="B88" s="1" t="s">
        <v>164</v>
      </c>
      <c r="C88" s="1" t="s">
        <v>20</v>
      </c>
      <c r="D88" s="1" t="s">
        <v>123</v>
      </c>
      <c r="E88" s="1" t="s">
        <v>22</v>
      </c>
      <c r="F88" s="1" t="s">
        <v>23</v>
      </c>
      <c r="G88" s="1" t="s">
        <v>12</v>
      </c>
      <c r="H88" s="1" t="s">
        <v>24</v>
      </c>
      <c r="I88" s="1" t="s">
        <v>24</v>
      </c>
      <c r="J88" s="1" t="s">
        <v>25</v>
      </c>
      <c r="K88" s="1" t="s">
        <v>25</v>
      </c>
      <c r="L88" s="1" t="s">
        <v>26</v>
      </c>
      <c r="M88" s="1" t="s">
        <v>25</v>
      </c>
      <c r="N88" s="1" t="s">
        <v>25</v>
      </c>
      <c r="O88" s="1" t="s">
        <v>25</v>
      </c>
      <c r="P88" s="1" t="s">
        <v>25</v>
      </c>
      <c r="Q88" s="1" t="s">
        <v>25</v>
      </c>
      <c r="R88" s="85" t="str">
        <f t="shared" si="4"/>
        <v>1145926</v>
      </c>
      <c r="S88" t="str">
        <f>VLOOKUP(A88,Data_NV!$A:$C,3,0)</f>
        <v xml:space="preserve"> Trần Cao Hoàng Tâm    </v>
      </c>
      <c r="T88" t="str">
        <f>VLOOKUP(A88,Data_NV!$A:$E,4,0)</f>
        <v>Vận Hành</v>
      </c>
      <c r="U88" s="82">
        <f>DATEVALUE(Table2[[#This Row],[Ngày]])</f>
        <v>45926</v>
      </c>
      <c r="V88" t="str">
        <f>VLOOKUP(A88,Data_NV!$A:$E,5,0)</f>
        <v>Đang làm việc</v>
      </c>
      <c r="W88" s="10">
        <f>VLOOKUP(A88,Data_NV!$A:$I,8,0)</f>
        <v>0.3125</v>
      </c>
      <c r="X88" s="10">
        <f>VLOOKUP(A88,Data_NV!$A:$I,9,0)</f>
        <v>0.6875</v>
      </c>
      <c r="Y88" s="10">
        <f>IFERROR(TIMEVALUE(Table2[[#This Row],[Vào]]),0)</f>
        <v>0</v>
      </c>
      <c r="Z88" s="10">
        <f>IFERROR(TIMEVALUE(Table2[[#This Row],[Ra]]),0)</f>
        <v>0</v>
      </c>
      <c r="AA88" t="s">
        <v>1341</v>
      </c>
      <c r="AB88" s="105">
        <f t="shared" si="5"/>
        <v>0</v>
      </c>
      <c r="AC88" s="12" t="str">
        <f>IF(VLOOKUP(A88,Data_NV!$A:$I,7,0)="Không","",IF(OR(AND(Y88=0,Z88=0),AND(Y88&lt;&gt;0,Z88&lt;&gt;0)),"","Quên chấm công"))</f>
        <v/>
      </c>
      <c r="AD88" s="12">
        <f>IF(VLOOKUP(A88,Data_NV!$A:$I,7,0)="Không",0,IF(AND(Y88=0,Z88=0),0,IF(X88&lt;=Z88,0,ROUNDDOWN((X88-Z88)*24*60,0))))</f>
        <v>0</v>
      </c>
      <c r="AE88" s="12">
        <f>IF(VLOOKUP(A88,Data_NV!$A:$I,6,0)="Không",0,IF(Z88&lt;=X88,0,ROUNDDOWN((Z88-X88)*24*60,0)))</f>
        <v>0</v>
      </c>
      <c r="AF88" s="26">
        <f t="shared" si="6"/>
        <v>0</v>
      </c>
      <c r="AG88" s="27" t="str">
        <f>IF(AC88="","",IF(COUNTIFS($AC$3:AC88,"Quên chấm công",$S$3:S88,S88)&gt;3,"Không chấm công do vi phạm quá 3 lần",IF(COUNTIFS($AC$3:AC88,"Quên chấm công",$S$3:S88,S88)&gt;2,"Trừ toàn bộ chuyên cần tháng do vi phạm lần 3",IF(COUNTIFS($AC$3:AC88,"Quên chấm công",$S$3:S88,S88)&gt;1,"Trừ 1/2 ngày lương",50000))))</f>
        <v/>
      </c>
      <c r="AH88" s="12" t="str">
        <f>IF(AF88=0,"",IF(COUNTIFS($AF$3:AF88,"&gt;0",$S$3:S88,S88)&gt;3,"Trừ toàn bộ chuyên cần tháng",""))</f>
        <v/>
      </c>
      <c r="AI88" s="12" t="s">
        <v>1402</v>
      </c>
    </row>
    <row r="89" spans="1:35" x14ac:dyDescent="0.25">
      <c r="A89" s="4" t="s">
        <v>163</v>
      </c>
      <c r="B89" s="1" t="s">
        <v>164</v>
      </c>
      <c r="C89" s="1" t="s">
        <v>20</v>
      </c>
      <c r="D89" s="1" t="s">
        <v>125</v>
      </c>
      <c r="E89" s="1" t="s">
        <v>22</v>
      </c>
      <c r="F89" s="1" t="s">
        <v>23</v>
      </c>
      <c r="G89" s="1" t="s">
        <v>12</v>
      </c>
      <c r="H89" s="1" t="s">
        <v>24</v>
      </c>
      <c r="I89" s="1" t="s">
        <v>24</v>
      </c>
      <c r="J89" s="1" t="s">
        <v>25</v>
      </c>
      <c r="K89" s="1" t="s">
        <v>25</v>
      </c>
      <c r="L89" s="1" t="s">
        <v>26</v>
      </c>
      <c r="M89" s="1" t="s">
        <v>25</v>
      </c>
      <c r="N89" s="1" t="s">
        <v>25</v>
      </c>
      <c r="O89" s="1" t="s">
        <v>25</v>
      </c>
      <c r="P89" s="1" t="s">
        <v>25</v>
      </c>
      <c r="Q89" s="1" t="s">
        <v>25</v>
      </c>
      <c r="R89" s="85" t="str">
        <f t="shared" si="4"/>
        <v>1145927</v>
      </c>
      <c r="S89" t="str">
        <f>VLOOKUP(A89,Data_NV!$A:$C,3,0)</f>
        <v xml:space="preserve"> Trần Cao Hoàng Tâm    </v>
      </c>
      <c r="T89" t="str">
        <f>VLOOKUP(A89,Data_NV!$A:$E,4,0)</f>
        <v>Vận Hành</v>
      </c>
      <c r="U89" s="82">
        <f>DATEVALUE(Table2[[#This Row],[Ngày]])</f>
        <v>45927</v>
      </c>
      <c r="V89" t="str">
        <f>VLOOKUP(A89,Data_NV!$A:$E,5,0)</f>
        <v>Đang làm việc</v>
      </c>
      <c r="W89" s="10">
        <f>VLOOKUP(A89,Data_NV!$A:$I,8,0)</f>
        <v>0.3125</v>
      </c>
      <c r="X89" s="10">
        <f>VLOOKUP(A89,Data_NV!$A:$I,9,0)</f>
        <v>0.6875</v>
      </c>
      <c r="Y89" s="10">
        <f>IFERROR(TIMEVALUE(Table2[[#This Row],[Vào]]),0)</f>
        <v>0</v>
      </c>
      <c r="Z89" s="10">
        <f>IFERROR(TIMEVALUE(Table2[[#This Row],[Ra]]),0)</f>
        <v>0</v>
      </c>
      <c r="AA89" t="s">
        <v>1341</v>
      </c>
      <c r="AB89" s="105">
        <f t="shared" si="5"/>
        <v>0</v>
      </c>
      <c r="AC89" s="12" t="str">
        <f>IF(VLOOKUP(A89,Data_NV!$A:$I,7,0)="Không","",IF(OR(AND(Y89=0,Z89=0),AND(Y89&lt;&gt;0,Z89&lt;&gt;0)),"","Quên chấm công"))</f>
        <v/>
      </c>
      <c r="AD89" s="12">
        <f>IF(VLOOKUP(A89,Data_NV!$A:$I,7,0)="Không",0,IF(AND(Y89=0,Z89=0),0,IF(X89&lt;=Z89,0,ROUNDDOWN((X89-Z89)*24*60,0))))</f>
        <v>0</v>
      </c>
      <c r="AE89" s="12">
        <f>IF(VLOOKUP(A89,Data_NV!$A:$I,6,0)="Không",0,IF(Z89&lt;=X89,0,ROUNDDOWN((Z89-X89)*24*60,0)))</f>
        <v>0</v>
      </c>
      <c r="AF89" s="26">
        <f t="shared" si="6"/>
        <v>0</v>
      </c>
      <c r="AG89" s="27" t="str">
        <f>IF(AC89="","",IF(COUNTIFS($AC$3:AC89,"Quên chấm công",$S$3:S89,S89)&gt;3,"Không chấm công do vi phạm quá 3 lần",IF(COUNTIFS($AC$3:AC89,"Quên chấm công",$S$3:S89,S89)&gt;2,"Trừ toàn bộ chuyên cần tháng do vi phạm lần 3",IF(COUNTIFS($AC$3:AC89,"Quên chấm công",$S$3:S89,S89)&gt;1,"Trừ 1/2 ngày lương",50000))))</f>
        <v/>
      </c>
      <c r="AH89" s="12" t="str">
        <f>IF(AF89=0,"",IF(COUNTIFS($AF$3:AF89,"&gt;0",$S$3:S89,S89)&gt;3,"Trừ toàn bộ chuyên cần tháng",""))</f>
        <v/>
      </c>
      <c r="AI89" s="12" t="s">
        <v>1402</v>
      </c>
    </row>
    <row r="90" spans="1:35" x14ac:dyDescent="0.25">
      <c r="A90" s="4" t="s">
        <v>163</v>
      </c>
      <c r="B90" s="1" t="s">
        <v>164</v>
      </c>
      <c r="C90" s="1" t="s">
        <v>20</v>
      </c>
      <c r="D90" s="1" t="s">
        <v>130</v>
      </c>
      <c r="E90" s="1" t="s">
        <v>22</v>
      </c>
      <c r="F90" s="1" t="s">
        <v>23</v>
      </c>
      <c r="G90" s="1" t="s">
        <v>12</v>
      </c>
      <c r="H90" s="1" t="s">
        <v>24</v>
      </c>
      <c r="I90" s="1" t="s">
        <v>24</v>
      </c>
      <c r="J90" s="1" t="s">
        <v>25</v>
      </c>
      <c r="K90" s="1" t="s">
        <v>25</v>
      </c>
      <c r="L90" s="1" t="s">
        <v>26</v>
      </c>
      <c r="M90" s="1" t="s">
        <v>25</v>
      </c>
      <c r="N90" s="1" t="s">
        <v>25</v>
      </c>
      <c r="O90" s="1" t="s">
        <v>25</v>
      </c>
      <c r="P90" s="1" t="s">
        <v>25</v>
      </c>
      <c r="Q90" s="1" t="s">
        <v>25</v>
      </c>
      <c r="R90" s="85" t="str">
        <f t="shared" si="4"/>
        <v>1145928</v>
      </c>
      <c r="S90" t="str">
        <f>VLOOKUP(A90,Data_NV!$A:$C,3,0)</f>
        <v xml:space="preserve"> Trần Cao Hoàng Tâm    </v>
      </c>
      <c r="T90" t="str">
        <f>VLOOKUP(A90,Data_NV!$A:$E,4,0)</f>
        <v>Vận Hành</v>
      </c>
      <c r="U90" s="82">
        <f>DATEVALUE(Table2[[#This Row],[Ngày]])</f>
        <v>45928</v>
      </c>
      <c r="V90" t="str">
        <f>VLOOKUP(A90,Data_NV!$A:$E,5,0)</f>
        <v>Đang làm việc</v>
      </c>
      <c r="W90" s="10">
        <f>VLOOKUP(A90,Data_NV!$A:$I,8,0)</f>
        <v>0.3125</v>
      </c>
      <c r="X90" s="10">
        <f>VLOOKUP(A90,Data_NV!$A:$I,9,0)</f>
        <v>0.6875</v>
      </c>
      <c r="Y90" s="10">
        <f>IFERROR(TIMEVALUE(Table2[[#This Row],[Vào]]),0)</f>
        <v>0</v>
      </c>
      <c r="Z90" s="10">
        <f>IFERROR(TIMEVALUE(Table2[[#This Row],[Ra]]),0)</f>
        <v>0</v>
      </c>
      <c r="AA90" t="str">
        <f t="shared" si="7"/>
        <v>Chủ nhật</v>
      </c>
      <c r="AB90" s="105">
        <f t="shared" si="5"/>
        <v>0</v>
      </c>
      <c r="AC90" s="12" t="str">
        <f>IF(VLOOKUP(A90,Data_NV!$A:$I,7,0)="Không","",IF(OR(AND(Y90=0,Z90=0),AND(Y90&lt;&gt;0,Z90&lt;&gt;0)),"","Quên chấm công"))</f>
        <v/>
      </c>
      <c r="AD90" s="12">
        <f>IF(VLOOKUP(A90,Data_NV!$A:$I,7,0)="Không",0,IF(AND(Y90=0,Z90=0),0,IF(X90&lt;=Z90,0,ROUNDDOWN((X90-Z90)*24*60,0))))</f>
        <v>0</v>
      </c>
      <c r="AE90" s="12">
        <f>IF(VLOOKUP(A90,Data_NV!$A:$I,6,0)="Không",0,IF(Z90&lt;=X90,0,ROUNDDOWN((Z90-X90)*24*60,0)))</f>
        <v>0</v>
      </c>
      <c r="AF90" s="26">
        <f t="shared" si="6"/>
        <v>0</v>
      </c>
      <c r="AG90" s="27" t="str">
        <f>IF(AC90="","",IF(COUNTIFS($AC$3:AC90,"Quên chấm công",$S$3:S90,S90)&gt;3,"Không chấm công do vi phạm quá 3 lần",IF(COUNTIFS($AC$3:AC90,"Quên chấm công",$S$3:S90,S90)&gt;2,"Trừ toàn bộ chuyên cần tháng do vi phạm lần 3",IF(COUNTIFS($AC$3:AC90,"Quên chấm công",$S$3:S90,S90)&gt;1,"Trừ 1/2 ngày lương",50000))))</f>
        <v/>
      </c>
      <c r="AH90" s="12" t="str">
        <f>IF(AF90=0,"",IF(COUNTIFS($AF$3:AF90,"&gt;0",$S$3:S90,S90)&gt;3,"Trừ toàn bộ chuyên cần tháng",""))</f>
        <v/>
      </c>
      <c r="AI90" s="12"/>
    </row>
    <row r="91" spans="1:35" x14ac:dyDescent="0.25">
      <c r="A91" s="4" t="s">
        <v>163</v>
      </c>
      <c r="B91" s="1" t="s">
        <v>164</v>
      </c>
      <c r="C91" s="1" t="s">
        <v>20</v>
      </c>
      <c r="D91" s="1" t="s">
        <v>131</v>
      </c>
      <c r="E91" s="1" t="s">
        <v>22</v>
      </c>
      <c r="F91" s="1" t="s">
        <v>23</v>
      </c>
      <c r="G91" s="1" t="s">
        <v>12</v>
      </c>
      <c r="H91" s="1" t="s">
        <v>24</v>
      </c>
      <c r="I91" s="1" t="s">
        <v>24</v>
      </c>
      <c r="J91" s="1" t="s">
        <v>25</v>
      </c>
      <c r="K91" s="1" t="s">
        <v>25</v>
      </c>
      <c r="L91" s="1" t="s">
        <v>26</v>
      </c>
      <c r="M91" s="1" t="s">
        <v>25</v>
      </c>
      <c r="N91" s="1" t="s">
        <v>25</v>
      </c>
      <c r="O91" s="1" t="s">
        <v>25</v>
      </c>
      <c r="P91" s="1" t="s">
        <v>25</v>
      </c>
      <c r="Q91" s="1" t="s">
        <v>25</v>
      </c>
      <c r="R91" s="85" t="str">
        <f t="shared" si="4"/>
        <v>1145929</v>
      </c>
      <c r="S91" t="str">
        <f>VLOOKUP(A91,Data_NV!$A:$C,3,0)</f>
        <v xml:space="preserve"> Trần Cao Hoàng Tâm    </v>
      </c>
      <c r="T91" t="str">
        <f>VLOOKUP(A91,Data_NV!$A:$E,4,0)</f>
        <v>Vận Hành</v>
      </c>
      <c r="U91" s="82">
        <f>DATEVALUE(Table2[[#This Row],[Ngày]])</f>
        <v>45929</v>
      </c>
      <c r="V91" t="str">
        <f>VLOOKUP(A91,Data_NV!$A:$E,5,0)</f>
        <v>Đang làm việc</v>
      </c>
      <c r="W91" s="10">
        <f>VLOOKUP(A91,Data_NV!$A:$I,8,0)</f>
        <v>0.3125</v>
      </c>
      <c r="X91" s="10">
        <f>VLOOKUP(A91,Data_NV!$A:$I,9,0)</f>
        <v>0.6875</v>
      </c>
      <c r="Y91" s="10">
        <f>IFERROR(TIMEVALUE(Table2[[#This Row],[Vào]]),0)</f>
        <v>0</v>
      </c>
      <c r="Z91" s="10">
        <f>IFERROR(TIMEVALUE(Table2[[#This Row],[Ra]]),0)</f>
        <v>0</v>
      </c>
      <c r="AA91" t="s">
        <v>1341</v>
      </c>
      <c r="AB91" s="105">
        <f t="shared" si="5"/>
        <v>0</v>
      </c>
      <c r="AC91" s="12" t="str">
        <f>IF(VLOOKUP(A91,Data_NV!$A:$I,7,0)="Không","",IF(OR(AND(Y91=0,Z91=0),AND(Y91&lt;&gt;0,Z91&lt;&gt;0)),"","Quên chấm công"))</f>
        <v/>
      </c>
      <c r="AD91" s="12">
        <f>IF(VLOOKUP(A91,Data_NV!$A:$I,7,0)="Không",0,IF(AND(Y91=0,Z91=0),0,IF(X91&lt;=Z91,0,ROUNDDOWN((X91-Z91)*24*60,0))))</f>
        <v>0</v>
      </c>
      <c r="AE91" s="12">
        <f>IF(VLOOKUP(A91,Data_NV!$A:$I,6,0)="Không",0,IF(Z91&lt;=X91,0,ROUNDDOWN((Z91-X91)*24*60,0)))</f>
        <v>0</v>
      </c>
      <c r="AF91" s="26">
        <f t="shared" si="6"/>
        <v>0</v>
      </c>
      <c r="AG91" s="27" t="str">
        <f>IF(AC91="","",IF(COUNTIFS($AC$3:AC91,"Quên chấm công",$S$3:S91,S91)&gt;3,"Không chấm công do vi phạm quá 3 lần",IF(COUNTIFS($AC$3:AC91,"Quên chấm công",$S$3:S91,S91)&gt;2,"Trừ toàn bộ chuyên cần tháng do vi phạm lần 3",IF(COUNTIFS($AC$3:AC91,"Quên chấm công",$S$3:S91,S91)&gt;1,"Trừ 1/2 ngày lương",50000))))</f>
        <v/>
      </c>
      <c r="AH91" s="12" t="str">
        <f>IF(AF91=0,"",IF(COUNTIFS($AF$3:AF91,"&gt;0",$S$3:S91,S91)&gt;3,"Trừ toàn bộ chuyên cần tháng",""))</f>
        <v/>
      </c>
      <c r="AI91" s="12" t="s">
        <v>1404</v>
      </c>
    </row>
    <row r="92" spans="1:35" x14ac:dyDescent="0.25">
      <c r="A92" s="4" t="s">
        <v>163</v>
      </c>
      <c r="B92" s="1" t="s">
        <v>164</v>
      </c>
      <c r="C92" s="1" t="s">
        <v>20</v>
      </c>
      <c r="D92" s="1" t="s">
        <v>136</v>
      </c>
      <c r="E92" s="1" t="s">
        <v>22</v>
      </c>
      <c r="F92" s="1" t="s">
        <v>23</v>
      </c>
      <c r="G92" s="1" t="s">
        <v>12</v>
      </c>
      <c r="H92" s="1" t="s">
        <v>24</v>
      </c>
      <c r="I92" s="1" t="s">
        <v>24</v>
      </c>
      <c r="J92" s="1" t="s">
        <v>25</v>
      </c>
      <c r="K92" s="1" t="s">
        <v>25</v>
      </c>
      <c r="L92" s="1" t="s">
        <v>26</v>
      </c>
      <c r="M92" s="1" t="s">
        <v>25</v>
      </c>
      <c r="N92" s="1" t="s">
        <v>25</v>
      </c>
      <c r="O92" s="1" t="s">
        <v>25</v>
      </c>
      <c r="P92" s="1" t="s">
        <v>25</v>
      </c>
      <c r="Q92" s="1" t="s">
        <v>25</v>
      </c>
      <c r="R92" s="85" t="str">
        <f t="shared" si="4"/>
        <v>1145930</v>
      </c>
      <c r="S92" t="str">
        <f>VLOOKUP(A92,Data_NV!$A:$C,3,0)</f>
        <v xml:space="preserve"> Trần Cao Hoàng Tâm    </v>
      </c>
      <c r="T92" t="str">
        <f>VLOOKUP(A92,Data_NV!$A:$E,4,0)</f>
        <v>Vận Hành</v>
      </c>
      <c r="U92" s="82">
        <f>DATEVALUE(Table2[[#This Row],[Ngày]])</f>
        <v>45930</v>
      </c>
      <c r="V92" t="str">
        <f>VLOOKUP(A92,Data_NV!$A:$E,5,0)</f>
        <v>Đang làm việc</v>
      </c>
      <c r="W92" s="10">
        <f>VLOOKUP(A92,Data_NV!$A:$I,8,0)</f>
        <v>0.3125</v>
      </c>
      <c r="X92" s="10">
        <f>VLOOKUP(A92,Data_NV!$A:$I,9,0)</f>
        <v>0.6875</v>
      </c>
      <c r="Y92" s="10">
        <f>IFERROR(TIMEVALUE(Table2[[#This Row],[Vào]]),0)</f>
        <v>0</v>
      </c>
      <c r="Z92" s="10">
        <f>IFERROR(TIMEVALUE(Table2[[#This Row],[Ra]]),0)</f>
        <v>0</v>
      </c>
      <c r="AA92" t="s">
        <v>1341</v>
      </c>
      <c r="AB92" s="105">
        <f t="shared" si="5"/>
        <v>0</v>
      </c>
      <c r="AC92" s="12" t="str">
        <f>IF(VLOOKUP(A92,Data_NV!$A:$I,7,0)="Không","",IF(OR(AND(Y92=0,Z92=0),AND(Y92&lt;&gt;0,Z92&lt;&gt;0)),"","Quên chấm công"))</f>
        <v/>
      </c>
      <c r="AD92" s="12">
        <f>IF(VLOOKUP(A92,Data_NV!$A:$I,7,0)="Không",0,IF(AND(Y92=0,Z92=0),0,IF(X92&lt;=Z92,0,ROUNDDOWN((X92-Z92)*24*60,0))))</f>
        <v>0</v>
      </c>
      <c r="AE92" s="12">
        <f>IF(VLOOKUP(A92,Data_NV!$A:$I,6,0)="Không",0,IF(Z92&lt;=X92,0,ROUNDDOWN((Z92-X92)*24*60,0)))</f>
        <v>0</v>
      </c>
      <c r="AF92" s="26">
        <f t="shared" si="6"/>
        <v>0</v>
      </c>
      <c r="AG92" s="27" t="str">
        <f>IF(AC92="","",IF(COUNTIFS($AC$3:AC92,"Quên chấm công",$S$3:S92,S92)&gt;3,"Không chấm công do vi phạm quá 3 lần",IF(COUNTIFS($AC$3:AC92,"Quên chấm công",$S$3:S92,S92)&gt;2,"Trừ toàn bộ chuyên cần tháng do vi phạm lần 3",IF(COUNTIFS($AC$3:AC92,"Quên chấm công",$S$3:S92,S92)&gt;1,"Trừ 1/2 ngày lương",50000))))</f>
        <v/>
      </c>
      <c r="AH92" s="12" t="str">
        <f>IF(AF92=0,"",IF(COUNTIFS($AF$3:AF92,"&gt;0",$S$3:S92,S92)&gt;3,"Trừ toàn bộ chuyên cần tháng",""))</f>
        <v/>
      </c>
      <c r="AI92" s="12" t="s">
        <v>1401</v>
      </c>
    </row>
    <row r="93" spans="1:35" x14ac:dyDescent="0.25">
      <c r="A93" s="4" t="s">
        <v>172</v>
      </c>
      <c r="B93" s="1" t="s">
        <v>173</v>
      </c>
      <c r="C93" s="1" t="s">
        <v>20</v>
      </c>
      <c r="D93" s="1" t="s">
        <v>21</v>
      </c>
      <c r="E93" s="1" t="s">
        <v>22</v>
      </c>
      <c r="F93" s="1" t="s">
        <v>23</v>
      </c>
      <c r="G93" s="1" t="s">
        <v>12</v>
      </c>
      <c r="H93" s="1" t="s">
        <v>24</v>
      </c>
      <c r="I93" s="1" t="s">
        <v>24</v>
      </c>
      <c r="J93" s="1" t="s">
        <v>25</v>
      </c>
      <c r="K93" s="1" t="s">
        <v>25</v>
      </c>
      <c r="L93" s="1" t="s">
        <v>26</v>
      </c>
      <c r="M93" s="1" t="s">
        <v>25</v>
      </c>
      <c r="N93" s="1" t="s">
        <v>25</v>
      </c>
      <c r="O93" s="1" t="s">
        <v>25</v>
      </c>
      <c r="P93" s="1" t="s">
        <v>25</v>
      </c>
      <c r="Q93" s="1" t="s">
        <v>25</v>
      </c>
      <c r="R93" s="85" t="str">
        <f t="shared" si="4"/>
        <v>1245901</v>
      </c>
      <c r="S93" t="str">
        <f>VLOOKUP(A93,Data_NV!$A:$C,3,0)</f>
        <v xml:space="preserve"> Hoàng Đức Thanh    </v>
      </c>
      <c r="T93" t="str">
        <f>VLOOKUP(A93,Data_NV!$A:$E,4,0)</f>
        <v>Vận Hành</v>
      </c>
      <c r="U93" s="82">
        <f>DATEVALUE(Table2[[#This Row],[Ngày]])</f>
        <v>45901</v>
      </c>
      <c r="V93" t="str">
        <f>VLOOKUP(A93,Data_NV!$A:$E,5,0)</f>
        <v>Đang làm việc</v>
      </c>
      <c r="W93" s="10">
        <f>VLOOKUP(A93,Data_NV!$A:$I,8,0)</f>
        <v>0.3125</v>
      </c>
      <c r="X93" s="10">
        <f>VLOOKUP(A93,Data_NV!$A:$I,9,0)</f>
        <v>0.6875</v>
      </c>
      <c r="Y93" s="10">
        <f>IFERROR(TIMEVALUE(Table2[[#This Row],[Vào]]),0)</f>
        <v>0</v>
      </c>
      <c r="Z93" s="10">
        <f>IFERROR(TIMEVALUE(Table2[[#This Row],[Ra]]),0)</f>
        <v>0</v>
      </c>
      <c r="AA93" s="97" t="s">
        <v>1349</v>
      </c>
      <c r="AB93" s="105">
        <f t="shared" si="5"/>
        <v>0</v>
      </c>
      <c r="AC93" s="12" t="str">
        <f>IF(VLOOKUP(A93,Data_NV!$A:$I,7,0)="Không","",IF(OR(AND(Y93=0,Z93=0),AND(Y93&lt;&gt;0,Z93&lt;&gt;0)),"","Quên chấm công"))</f>
        <v/>
      </c>
      <c r="AD93" s="12">
        <f>IF(VLOOKUP(A93,Data_NV!$A:$I,7,0)="Không",0,IF(AND(Y93=0,Z93=0),0,IF(X93&lt;=Z93,0,ROUNDDOWN((X93-Z93)*24*60,0))))</f>
        <v>0</v>
      </c>
      <c r="AE93" s="12">
        <f>IF(VLOOKUP(A93,Data_NV!$A:$I,6,0)="Không",0,IF(Z93&lt;=X93,0,ROUNDDOWN((Z93-X93)*24*60,0)))</f>
        <v>0</v>
      </c>
      <c r="AF93" s="26">
        <f t="shared" si="6"/>
        <v>0</v>
      </c>
      <c r="AG93" s="27" t="str">
        <f>IF(AC93="","",IF(COUNTIFS($AC$3:AC93,"Quên chấm công",$S$3:S93,S93)&gt;3,"Không chấm công do vi phạm quá 3 lần",IF(COUNTIFS($AC$3:AC93,"Quên chấm công",$S$3:S93,S93)&gt;2,"Trừ toàn bộ chuyên cần tháng do vi phạm lần 3",IF(COUNTIFS($AC$3:AC93,"Quên chấm công",$S$3:S93,S93)&gt;1,"Trừ 1/2 ngày lương",50000))))</f>
        <v/>
      </c>
      <c r="AH93" s="12" t="str">
        <f>IF(AF93=0,"",IF(COUNTIFS($AF$3:AF93,"&gt;0",$S$3:S93,S93)&gt;3,"Trừ toàn bộ chuyên cần tháng",""))</f>
        <v/>
      </c>
      <c r="AI93" s="98" t="s">
        <v>1369</v>
      </c>
    </row>
    <row r="94" spans="1:35" x14ac:dyDescent="0.25">
      <c r="A94" s="4" t="s">
        <v>172</v>
      </c>
      <c r="B94" s="1" t="s">
        <v>173</v>
      </c>
      <c r="C94" s="1" t="s">
        <v>20</v>
      </c>
      <c r="D94" s="1" t="s">
        <v>27</v>
      </c>
      <c r="E94" s="1" t="s">
        <v>22</v>
      </c>
      <c r="F94" s="1" t="s">
        <v>23</v>
      </c>
      <c r="G94" s="1" t="s">
        <v>12</v>
      </c>
      <c r="H94" s="1" t="s">
        <v>24</v>
      </c>
      <c r="I94" s="1" t="s">
        <v>24</v>
      </c>
      <c r="J94" s="1" t="s">
        <v>25</v>
      </c>
      <c r="K94" s="1" t="s">
        <v>25</v>
      </c>
      <c r="L94" s="1" t="s">
        <v>26</v>
      </c>
      <c r="M94" s="1" t="s">
        <v>25</v>
      </c>
      <c r="N94" s="1" t="s">
        <v>25</v>
      </c>
      <c r="O94" s="1" t="s">
        <v>25</v>
      </c>
      <c r="P94" s="1" t="s">
        <v>25</v>
      </c>
      <c r="Q94" s="1" t="s">
        <v>25</v>
      </c>
      <c r="R94" s="85" t="str">
        <f t="shared" si="4"/>
        <v>1245902</v>
      </c>
      <c r="S94" t="str">
        <f>VLOOKUP(A94,Data_NV!$A:$C,3,0)</f>
        <v xml:space="preserve"> Hoàng Đức Thanh    </v>
      </c>
      <c r="T94" t="str">
        <f>VLOOKUP(A94,Data_NV!$A:$E,4,0)</f>
        <v>Vận Hành</v>
      </c>
      <c r="U94" s="82">
        <f>DATEVALUE(Table2[[#This Row],[Ngày]])</f>
        <v>45902</v>
      </c>
      <c r="V94" t="str">
        <f>VLOOKUP(A94,Data_NV!$A:$E,5,0)</f>
        <v>Đang làm việc</v>
      </c>
      <c r="W94" s="10">
        <f>VLOOKUP(A94,Data_NV!$A:$I,8,0)</f>
        <v>0.3125</v>
      </c>
      <c r="X94" s="10">
        <f>VLOOKUP(A94,Data_NV!$A:$I,9,0)</f>
        <v>0.6875</v>
      </c>
      <c r="Y94" s="10">
        <f>IFERROR(TIMEVALUE(Table2[[#This Row],[Vào]]),0)</f>
        <v>0</v>
      </c>
      <c r="Z94" s="10">
        <f>IFERROR(TIMEVALUE(Table2[[#This Row],[Ra]]),0)</f>
        <v>0</v>
      </c>
      <c r="AA94" s="97" t="s">
        <v>1349</v>
      </c>
      <c r="AB94" s="105">
        <f t="shared" si="5"/>
        <v>0</v>
      </c>
      <c r="AC94" s="12" t="str">
        <f>IF(VLOOKUP(A94,Data_NV!$A:$I,7,0)="Không","",IF(OR(AND(Y94=0,Z94=0),AND(Y94&lt;&gt;0,Z94&lt;&gt;0)),"","Quên chấm công"))</f>
        <v/>
      </c>
      <c r="AD94" s="12">
        <f>IF(VLOOKUP(A94,Data_NV!$A:$I,7,0)="Không",0,IF(AND(Y94=0,Z94=0),0,IF(X94&lt;=Z94,0,ROUNDDOWN((X94-Z94)*24*60,0))))</f>
        <v>0</v>
      </c>
      <c r="AE94" s="12">
        <f>IF(VLOOKUP(A94,Data_NV!$A:$I,6,0)="Không",0,IF(Z94&lt;=X94,0,ROUNDDOWN((Z94-X94)*24*60,0)))</f>
        <v>0</v>
      </c>
      <c r="AF94" s="26">
        <f t="shared" si="6"/>
        <v>0</v>
      </c>
      <c r="AG94" s="27" t="str">
        <f>IF(AC94="","",IF(COUNTIFS($AC$3:AC94,"Quên chấm công",$S$3:S94,S94)&gt;3,"Không chấm công do vi phạm quá 3 lần",IF(COUNTIFS($AC$3:AC94,"Quên chấm công",$S$3:S94,S94)&gt;2,"Trừ toàn bộ chuyên cần tháng do vi phạm lần 3",IF(COUNTIFS($AC$3:AC94,"Quên chấm công",$S$3:S94,S94)&gt;1,"Trừ 1/2 ngày lương",50000))))</f>
        <v/>
      </c>
      <c r="AH94" s="12" t="str">
        <f>IF(AF94=0,"",IF(COUNTIFS($AF$3:AF94,"&gt;0",$S$3:S94,S94)&gt;3,"Trừ toàn bộ chuyên cần tháng",""))</f>
        <v/>
      </c>
      <c r="AI94" s="98" t="s">
        <v>1369</v>
      </c>
    </row>
    <row r="95" spans="1:35" x14ac:dyDescent="0.25">
      <c r="A95" s="4" t="s">
        <v>172</v>
      </c>
      <c r="B95" s="1" t="s">
        <v>173</v>
      </c>
      <c r="C95" s="1" t="s">
        <v>20</v>
      </c>
      <c r="D95" s="1" t="s">
        <v>28</v>
      </c>
      <c r="E95" s="1" t="s">
        <v>22</v>
      </c>
      <c r="F95" s="1" t="s">
        <v>23</v>
      </c>
      <c r="G95" s="1" t="s">
        <v>12</v>
      </c>
      <c r="H95" s="1" t="s">
        <v>174</v>
      </c>
      <c r="I95" s="1" t="s">
        <v>24</v>
      </c>
      <c r="J95" s="1" t="s">
        <v>25</v>
      </c>
      <c r="K95" s="1" t="s">
        <v>25</v>
      </c>
      <c r="L95" s="1" t="s">
        <v>26</v>
      </c>
      <c r="M95" s="1" t="s">
        <v>25</v>
      </c>
      <c r="N95" s="1" t="s">
        <v>25</v>
      </c>
      <c r="O95" s="1" t="s">
        <v>25</v>
      </c>
      <c r="P95" s="1" t="s">
        <v>25</v>
      </c>
      <c r="Q95" s="1" t="s">
        <v>25</v>
      </c>
      <c r="R95" s="85" t="str">
        <f t="shared" si="4"/>
        <v>1245903</v>
      </c>
      <c r="S95" t="str">
        <f>VLOOKUP(A95,Data_NV!$A:$C,3,0)</f>
        <v xml:space="preserve"> Hoàng Đức Thanh    </v>
      </c>
      <c r="T95" t="str">
        <f>VLOOKUP(A95,Data_NV!$A:$E,4,0)</f>
        <v>Vận Hành</v>
      </c>
      <c r="U95" s="82">
        <f>DATEVALUE(Table2[[#This Row],[Ngày]])</f>
        <v>45903</v>
      </c>
      <c r="V95" t="str">
        <f>VLOOKUP(A95,Data_NV!$A:$E,5,0)</f>
        <v>Đang làm việc</v>
      </c>
      <c r="W95" s="10">
        <f>VLOOKUP(A95,Data_NV!$A:$I,8,0)</f>
        <v>0.3125</v>
      </c>
      <c r="X95" s="10">
        <f>VLOOKUP(A95,Data_NV!$A:$I,9,0)</f>
        <v>0.6875</v>
      </c>
      <c r="Y95" s="10">
        <f>IFERROR(TIMEVALUE(Table2[[#This Row],[Vào]]),0)</f>
        <v>0.30262731481481481</v>
      </c>
      <c r="Z95" s="10">
        <f>IFERROR(TIMEVALUE(Table2[[#This Row],[Ra]]),0)</f>
        <v>0</v>
      </c>
      <c r="AA95" t="str">
        <f t="shared" si="7"/>
        <v>x</v>
      </c>
      <c r="AB95" s="105">
        <f t="shared" si="5"/>
        <v>0</v>
      </c>
      <c r="AC95" s="12" t="str">
        <f>IF(VLOOKUP(A95,Data_NV!$A:$I,7,0)="Không","",IF(OR(AND(Y95=0,Z95=0),AND(Y95&lt;&gt;0,Z95&lt;&gt;0)),"","Quên chấm công"))</f>
        <v/>
      </c>
      <c r="AD95" s="12">
        <f>IF(VLOOKUP(A95,Data_NV!$A:$I,7,0)="Không",0,IF(AND(Y95=0,Z95=0),0,IF(X95&lt;=Z95,0,ROUNDDOWN((X95-Z95)*24*60,0))))</f>
        <v>0</v>
      </c>
      <c r="AE95" s="12">
        <f>IF(VLOOKUP(A95,Data_NV!$A:$I,6,0)="Không",0,IF(Z95&lt;=X95,0,ROUNDDOWN((Z95-X95)*24*60,0)))</f>
        <v>0</v>
      </c>
      <c r="AF95" s="26">
        <f t="shared" si="6"/>
        <v>0</v>
      </c>
      <c r="AG95" s="27" t="str">
        <f>IF(AC95="","",IF(COUNTIFS($AC$3:AC95,"Quên chấm công",$S$3:S95,S95)&gt;3,"Không chấm công do vi phạm quá 3 lần",IF(COUNTIFS($AC$3:AC95,"Quên chấm công",$S$3:S95,S95)&gt;2,"Trừ toàn bộ chuyên cần tháng do vi phạm lần 3",IF(COUNTIFS($AC$3:AC95,"Quên chấm công",$S$3:S95,S95)&gt;1,"Trừ 1/2 ngày lương",50000))))</f>
        <v/>
      </c>
      <c r="AH95" s="12" t="str">
        <f>IF(AF95=0,"",IF(COUNTIFS($AF$3:AF95,"&gt;0",$S$3:S95,S95)&gt;3,"Trừ toàn bộ chuyên cần tháng",""))</f>
        <v/>
      </c>
      <c r="AI95" s="12"/>
    </row>
    <row r="96" spans="1:35" x14ac:dyDescent="0.25">
      <c r="A96" s="4" t="s">
        <v>172</v>
      </c>
      <c r="B96" s="1" t="s">
        <v>173</v>
      </c>
      <c r="C96" s="1" t="s">
        <v>20</v>
      </c>
      <c r="D96" s="1" t="s">
        <v>35</v>
      </c>
      <c r="E96" s="1" t="s">
        <v>22</v>
      </c>
      <c r="F96" s="1" t="s">
        <v>23</v>
      </c>
      <c r="G96" s="1" t="s">
        <v>12</v>
      </c>
      <c r="H96" s="1" t="s">
        <v>175</v>
      </c>
      <c r="I96" s="1" t="s">
        <v>24</v>
      </c>
      <c r="J96" s="1" t="s">
        <v>25</v>
      </c>
      <c r="K96" s="1" t="s">
        <v>25</v>
      </c>
      <c r="L96" s="1" t="s">
        <v>26</v>
      </c>
      <c r="M96" s="1" t="s">
        <v>25</v>
      </c>
      <c r="N96" s="1" t="s">
        <v>25</v>
      </c>
      <c r="O96" s="1" t="s">
        <v>25</v>
      </c>
      <c r="P96" s="1" t="s">
        <v>25</v>
      </c>
      <c r="Q96" s="1" t="s">
        <v>25</v>
      </c>
      <c r="R96" s="85" t="str">
        <f t="shared" si="4"/>
        <v>1245904</v>
      </c>
      <c r="S96" t="str">
        <f>VLOOKUP(A96,Data_NV!$A:$C,3,0)</f>
        <v xml:space="preserve"> Hoàng Đức Thanh    </v>
      </c>
      <c r="T96" t="str">
        <f>VLOOKUP(A96,Data_NV!$A:$E,4,0)</f>
        <v>Vận Hành</v>
      </c>
      <c r="U96" s="82">
        <f>DATEVALUE(Table2[[#This Row],[Ngày]])</f>
        <v>45904</v>
      </c>
      <c r="V96" t="str">
        <f>VLOOKUP(A96,Data_NV!$A:$E,5,0)</f>
        <v>Đang làm việc</v>
      </c>
      <c r="W96" s="10">
        <f>VLOOKUP(A96,Data_NV!$A:$I,8,0)</f>
        <v>0.3125</v>
      </c>
      <c r="X96" s="10">
        <f>VLOOKUP(A96,Data_NV!$A:$I,9,0)</f>
        <v>0.6875</v>
      </c>
      <c r="Y96" s="10">
        <f>IFERROR(TIMEVALUE(Table2[[#This Row],[Vào]]),0)</f>
        <v>0.30761574074074072</v>
      </c>
      <c r="Z96" s="10">
        <f>IFERROR(TIMEVALUE(Table2[[#This Row],[Ra]]),0)</f>
        <v>0</v>
      </c>
      <c r="AA96" t="str">
        <f t="shared" si="7"/>
        <v>x</v>
      </c>
      <c r="AB96" s="105">
        <f t="shared" si="5"/>
        <v>0</v>
      </c>
      <c r="AC96" s="12" t="str">
        <f>IF(VLOOKUP(A96,Data_NV!$A:$I,7,0)="Không","",IF(OR(AND(Y96=0,Z96=0),AND(Y96&lt;&gt;0,Z96&lt;&gt;0)),"","Quên chấm công"))</f>
        <v/>
      </c>
      <c r="AD96" s="12">
        <f>IF(VLOOKUP(A96,Data_NV!$A:$I,7,0)="Không",0,IF(AND(Y96=0,Z96=0),0,IF(X96&lt;=Z96,0,ROUNDDOWN((X96-Z96)*24*60,0))))</f>
        <v>0</v>
      </c>
      <c r="AE96" s="12">
        <f>IF(VLOOKUP(A96,Data_NV!$A:$I,6,0)="Không",0,IF(Z96&lt;=X96,0,ROUNDDOWN((Z96-X96)*24*60,0)))</f>
        <v>0</v>
      </c>
      <c r="AF96" s="26">
        <f t="shared" si="6"/>
        <v>0</v>
      </c>
      <c r="AG96" s="27" t="str">
        <f>IF(AC96="","",IF(COUNTIFS($AC$3:AC96,"Quên chấm công",$S$3:S96,S96)&gt;3,"Không chấm công do vi phạm quá 3 lần",IF(COUNTIFS($AC$3:AC96,"Quên chấm công",$S$3:S96,S96)&gt;2,"Trừ toàn bộ chuyên cần tháng do vi phạm lần 3",IF(COUNTIFS($AC$3:AC96,"Quên chấm công",$S$3:S96,S96)&gt;1,"Trừ 1/2 ngày lương",50000))))</f>
        <v/>
      </c>
      <c r="AH96" s="12" t="str">
        <f>IF(AF96=0,"",IF(COUNTIFS($AF$3:AF96,"&gt;0",$S$3:S96,S96)&gt;3,"Trừ toàn bộ chuyên cần tháng",""))</f>
        <v/>
      </c>
      <c r="AI96" s="12"/>
    </row>
    <row r="97" spans="1:35" x14ac:dyDescent="0.25">
      <c r="A97" s="4" t="s">
        <v>172</v>
      </c>
      <c r="B97" s="1" t="s">
        <v>173</v>
      </c>
      <c r="C97" s="1" t="s">
        <v>20</v>
      </c>
      <c r="D97" s="1" t="s">
        <v>37</v>
      </c>
      <c r="E97" s="1" t="s">
        <v>22</v>
      </c>
      <c r="F97" s="1" t="s">
        <v>23</v>
      </c>
      <c r="G97" s="1" t="s">
        <v>12</v>
      </c>
      <c r="H97" s="1" t="s">
        <v>176</v>
      </c>
      <c r="I97" s="1" t="s">
        <v>24</v>
      </c>
      <c r="J97" s="1" t="s">
        <v>25</v>
      </c>
      <c r="K97" s="1" t="s">
        <v>177</v>
      </c>
      <c r="L97" s="1" t="s">
        <v>178</v>
      </c>
      <c r="M97" s="1" t="s">
        <v>177</v>
      </c>
      <c r="N97" s="1" t="s">
        <v>25</v>
      </c>
      <c r="O97" s="1" t="s">
        <v>25</v>
      </c>
      <c r="P97" s="1" t="s">
        <v>25</v>
      </c>
      <c r="Q97" s="1" t="s">
        <v>25</v>
      </c>
      <c r="R97" s="85" t="str">
        <f t="shared" si="4"/>
        <v>1245905</v>
      </c>
      <c r="S97" t="str">
        <f>VLOOKUP(A97,Data_NV!$A:$C,3,0)</f>
        <v xml:space="preserve"> Hoàng Đức Thanh    </v>
      </c>
      <c r="T97" t="str">
        <f>VLOOKUP(A97,Data_NV!$A:$E,4,0)</f>
        <v>Vận Hành</v>
      </c>
      <c r="U97" s="82">
        <f>DATEVALUE(Table2[[#This Row],[Ngày]])</f>
        <v>45905</v>
      </c>
      <c r="V97" t="str">
        <f>VLOOKUP(A97,Data_NV!$A:$E,5,0)</f>
        <v>Đang làm việc</v>
      </c>
      <c r="W97" s="10">
        <f>VLOOKUP(A97,Data_NV!$A:$I,8,0)</f>
        <v>0.3125</v>
      </c>
      <c r="X97" s="10">
        <f>VLOOKUP(A97,Data_NV!$A:$I,9,0)</f>
        <v>0.6875</v>
      </c>
      <c r="Y97" s="10">
        <f>IFERROR(TIMEVALUE(Table2[[#This Row],[Vào]]),0)</f>
        <v>0.3087152777777778</v>
      </c>
      <c r="Z97" s="10">
        <f>IFERROR(TIMEVALUE(Table2[[#This Row],[Ra]]),0)</f>
        <v>0</v>
      </c>
      <c r="AA97" t="str">
        <f t="shared" si="7"/>
        <v>x</v>
      </c>
      <c r="AB97" s="105">
        <f t="shared" si="5"/>
        <v>0</v>
      </c>
      <c r="AC97" s="12" t="str">
        <f>IF(VLOOKUP(A97,Data_NV!$A:$I,7,0)="Không","",IF(OR(AND(Y97=0,Z97=0),AND(Y97&lt;&gt;0,Z97&lt;&gt;0)),"","Quên chấm công"))</f>
        <v/>
      </c>
      <c r="AD97" s="12">
        <f>IF(VLOOKUP(A97,Data_NV!$A:$I,7,0)="Không",0,IF(AND(Y97=0,Z97=0),0,IF(X97&lt;=Z97,0,ROUNDDOWN((X97-Z97)*24*60,0))))</f>
        <v>0</v>
      </c>
      <c r="AE97" s="12">
        <f>IF(VLOOKUP(A97,Data_NV!$A:$I,6,0)="Không",0,IF(Z97&lt;=X97,0,ROUNDDOWN((Z97-X97)*24*60,0)))</f>
        <v>0</v>
      </c>
      <c r="AF97" s="26">
        <f t="shared" si="6"/>
        <v>0</v>
      </c>
      <c r="AG97" s="27" t="str">
        <f>IF(AC97="","",IF(COUNTIFS($AC$3:AC97,"Quên chấm công",$S$3:S97,S97)&gt;3,"Không chấm công do vi phạm quá 3 lần",IF(COUNTIFS($AC$3:AC97,"Quên chấm công",$S$3:S97,S97)&gt;2,"Trừ toàn bộ chuyên cần tháng do vi phạm lần 3",IF(COUNTIFS($AC$3:AC97,"Quên chấm công",$S$3:S97,S97)&gt;1,"Trừ 1/2 ngày lương",50000))))</f>
        <v/>
      </c>
      <c r="AH97" s="12" t="str">
        <f>IF(AF97=0,"",IF(COUNTIFS($AF$3:AF97,"&gt;0",$S$3:S97,S97)&gt;3,"Trừ toàn bộ chuyên cần tháng",""))</f>
        <v/>
      </c>
      <c r="AI97" s="12"/>
    </row>
    <row r="98" spans="1:35" x14ac:dyDescent="0.25">
      <c r="A98" s="4" t="s">
        <v>172</v>
      </c>
      <c r="B98" s="1" t="s">
        <v>173</v>
      </c>
      <c r="C98" s="1" t="s">
        <v>20</v>
      </c>
      <c r="D98" s="1" t="s">
        <v>42</v>
      </c>
      <c r="E98" s="1" t="s">
        <v>22</v>
      </c>
      <c r="F98" s="1" t="s">
        <v>23</v>
      </c>
      <c r="G98" s="1" t="s">
        <v>12</v>
      </c>
      <c r="H98" s="1" t="s">
        <v>179</v>
      </c>
      <c r="I98" s="1" t="s">
        <v>24</v>
      </c>
      <c r="J98" s="1" t="s">
        <v>25</v>
      </c>
      <c r="K98" s="1" t="s">
        <v>25</v>
      </c>
      <c r="L98" s="1" t="s">
        <v>26</v>
      </c>
      <c r="M98" s="1" t="s">
        <v>25</v>
      </c>
      <c r="N98" s="1" t="s">
        <v>25</v>
      </c>
      <c r="O98" s="1" t="s">
        <v>25</v>
      </c>
      <c r="P98" s="1" t="s">
        <v>25</v>
      </c>
      <c r="Q98" s="1" t="s">
        <v>25</v>
      </c>
      <c r="R98" s="85" t="str">
        <f t="shared" si="4"/>
        <v>1245906</v>
      </c>
      <c r="S98" t="str">
        <f>VLOOKUP(A98,Data_NV!$A:$C,3,0)</f>
        <v xml:space="preserve"> Hoàng Đức Thanh    </v>
      </c>
      <c r="T98" t="str">
        <f>VLOOKUP(A98,Data_NV!$A:$E,4,0)</f>
        <v>Vận Hành</v>
      </c>
      <c r="U98" s="82">
        <f>DATEVALUE(Table2[[#This Row],[Ngày]])</f>
        <v>45906</v>
      </c>
      <c r="V98" t="str">
        <f>VLOOKUP(A98,Data_NV!$A:$E,5,0)</f>
        <v>Đang làm việc</v>
      </c>
      <c r="W98" s="10">
        <f>VLOOKUP(A98,Data_NV!$A:$I,8,0)</f>
        <v>0.3125</v>
      </c>
      <c r="X98" s="10">
        <f>VLOOKUP(A98,Data_NV!$A:$I,9,0)</f>
        <v>0.6875</v>
      </c>
      <c r="Y98" s="10">
        <f>IFERROR(TIMEVALUE(Table2[[#This Row],[Vào]]),0)</f>
        <v>0.28905092592592591</v>
      </c>
      <c r="Z98" s="10">
        <f>IFERROR(TIMEVALUE(Table2[[#This Row],[Ra]]),0)</f>
        <v>0</v>
      </c>
      <c r="AA98" t="str">
        <f t="shared" si="7"/>
        <v>x</v>
      </c>
      <c r="AB98" s="105">
        <f t="shared" si="5"/>
        <v>0</v>
      </c>
      <c r="AC98" s="12" t="str">
        <f>IF(VLOOKUP(A98,Data_NV!$A:$I,7,0)="Không","",IF(OR(AND(Y98=0,Z98=0),AND(Y98&lt;&gt;0,Z98&lt;&gt;0)),"","Quên chấm công"))</f>
        <v/>
      </c>
      <c r="AD98" s="12">
        <f>IF(VLOOKUP(A98,Data_NV!$A:$I,7,0)="Không",0,IF(AND(Y98=0,Z98=0),0,IF(X98&lt;=Z98,0,ROUNDDOWN((X98-Z98)*24*60,0))))</f>
        <v>0</v>
      </c>
      <c r="AE98" s="12">
        <f>IF(VLOOKUP(A98,Data_NV!$A:$I,6,0)="Không",0,IF(Z98&lt;=X98,0,ROUNDDOWN((Z98-X98)*24*60,0)))</f>
        <v>0</v>
      </c>
      <c r="AF98" s="26">
        <f t="shared" si="6"/>
        <v>0</v>
      </c>
      <c r="AG98" s="27" t="str">
        <f>IF(AC98="","",IF(COUNTIFS($AC$3:AC98,"Quên chấm công",$S$3:S98,S98)&gt;3,"Không chấm công do vi phạm quá 3 lần",IF(COUNTIFS($AC$3:AC98,"Quên chấm công",$S$3:S98,S98)&gt;2,"Trừ toàn bộ chuyên cần tháng do vi phạm lần 3",IF(COUNTIFS($AC$3:AC98,"Quên chấm công",$S$3:S98,S98)&gt;1,"Trừ 1/2 ngày lương",50000))))</f>
        <v/>
      </c>
      <c r="AH98" s="12" t="str">
        <f>IF(AF98=0,"",IF(COUNTIFS($AF$3:AF98,"&gt;0",$S$3:S98,S98)&gt;3,"Trừ toàn bộ chuyên cần tháng",""))</f>
        <v/>
      </c>
      <c r="AI98" s="12"/>
    </row>
    <row r="99" spans="1:35" x14ac:dyDescent="0.25">
      <c r="A99" s="4" t="s">
        <v>172</v>
      </c>
      <c r="B99" s="1" t="s">
        <v>173</v>
      </c>
      <c r="C99" s="1" t="s">
        <v>20</v>
      </c>
      <c r="D99" s="1" t="s">
        <v>47</v>
      </c>
      <c r="E99" s="1" t="s">
        <v>22</v>
      </c>
      <c r="F99" s="1" t="s">
        <v>23</v>
      </c>
      <c r="G99" s="1" t="s">
        <v>12</v>
      </c>
      <c r="H99" s="1" t="s">
        <v>24</v>
      </c>
      <c r="I99" s="1" t="s">
        <v>24</v>
      </c>
      <c r="J99" s="1" t="s">
        <v>25</v>
      </c>
      <c r="K99" s="1" t="s">
        <v>25</v>
      </c>
      <c r="L99" s="1" t="s">
        <v>26</v>
      </c>
      <c r="M99" s="1" t="s">
        <v>25</v>
      </c>
      <c r="N99" s="1" t="s">
        <v>25</v>
      </c>
      <c r="O99" s="1" t="s">
        <v>25</v>
      </c>
      <c r="P99" s="1" t="s">
        <v>25</v>
      </c>
      <c r="Q99" s="1" t="s">
        <v>25</v>
      </c>
      <c r="R99" s="85" t="str">
        <f t="shared" si="4"/>
        <v>1245907</v>
      </c>
      <c r="S99" t="str">
        <f>VLOOKUP(A99,Data_NV!$A:$C,3,0)</f>
        <v xml:space="preserve"> Hoàng Đức Thanh    </v>
      </c>
      <c r="T99" t="str">
        <f>VLOOKUP(A99,Data_NV!$A:$E,4,0)</f>
        <v>Vận Hành</v>
      </c>
      <c r="U99" s="82">
        <f>DATEVALUE(Table2[[#This Row],[Ngày]])</f>
        <v>45907</v>
      </c>
      <c r="V99" t="str">
        <f>VLOOKUP(A99,Data_NV!$A:$E,5,0)</f>
        <v>Đang làm việc</v>
      </c>
      <c r="W99" s="10">
        <f>VLOOKUP(A99,Data_NV!$A:$I,8,0)</f>
        <v>0.3125</v>
      </c>
      <c r="X99" s="10">
        <f>VLOOKUP(A99,Data_NV!$A:$I,9,0)</f>
        <v>0.6875</v>
      </c>
      <c r="Y99" s="10">
        <f>IFERROR(TIMEVALUE(Table2[[#This Row],[Vào]]),0)</f>
        <v>0</v>
      </c>
      <c r="Z99" s="10">
        <f>IFERROR(TIMEVALUE(Table2[[#This Row],[Ra]]),0)</f>
        <v>0</v>
      </c>
      <c r="AA99" t="str">
        <f t="shared" si="7"/>
        <v>Chủ nhật</v>
      </c>
      <c r="AB99" s="105">
        <f t="shared" si="5"/>
        <v>0</v>
      </c>
      <c r="AC99" s="12" t="str">
        <f>IF(VLOOKUP(A99,Data_NV!$A:$I,7,0)="Không","",IF(OR(AND(Y99=0,Z99=0),AND(Y99&lt;&gt;0,Z99&lt;&gt;0)),"","Quên chấm công"))</f>
        <v/>
      </c>
      <c r="AD99" s="12">
        <f>IF(VLOOKUP(A99,Data_NV!$A:$I,7,0)="Không",0,IF(AND(Y99=0,Z99=0),0,IF(X99&lt;=Z99,0,ROUNDDOWN((X99-Z99)*24*60,0))))</f>
        <v>0</v>
      </c>
      <c r="AE99" s="12">
        <f>IF(VLOOKUP(A99,Data_NV!$A:$I,6,0)="Không",0,IF(Z99&lt;=X99,0,ROUNDDOWN((Z99-X99)*24*60,0)))</f>
        <v>0</v>
      </c>
      <c r="AF99" s="26">
        <f t="shared" si="6"/>
        <v>0</v>
      </c>
      <c r="AG99" s="27" t="str">
        <f>IF(AC99="","",IF(COUNTIFS($AC$3:AC99,"Quên chấm công",$S$3:S99,S99)&gt;3,"Không chấm công do vi phạm quá 3 lần",IF(COUNTIFS($AC$3:AC99,"Quên chấm công",$S$3:S99,S99)&gt;2,"Trừ toàn bộ chuyên cần tháng do vi phạm lần 3",IF(COUNTIFS($AC$3:AC99,"Quên chấm công",$S$3:S99,S99)&gt;1,"Trừ 1/2 ngày lương",50000))))</f>
        <v/>
      </c>
      <c r="AH99" s="12" t="str">
        <f>IF(AF99=0,"",IF(COUNTIFS($AF$3:AF99,"&gt;0",$S$3:S99,S99)&gt;3,"Trừ toàn bộ chuyên cần tháng",""))</f>
        <v/>
      </c>
      <c r="AI99" s="12"/>
    </row>
    <row r="100" spans="1:35" x14ac:dyDescent="0.25">
      <c r="A100" s="4" t="s">
        <v>172</v>
      </c>
      <c r="B100" s="1" t="s">
        <v>173</v>
      </c>
      <c r="C100" s="1" t="s">
        <v>20</v>
      </c>
      <c r="D100" s="1" t="s">
        <v>48</v>
      </c>
      <c r="E100" s="1" t="s">
        <v>22</v>
      </c>
      <c r="F100" s="1" t="s">
        <v>23</v>
      </c>
      <c r="G100" s="1" t="s">
        <v>12</v>
      </c>
      <c r="H100" s="1" t="s">
        <v>180</v>
      </c>
      <c r="I100" s="1" t="s">
        <v>24</v>
      </c>
      <c r="J100" s="1" t="s">
        <v>25</v>
      </c>
      <c r="K100" s="1" t="s">
        <v>25</v>
      </c>
      <c r="L100" s="1" t="s">
        <v>26</v>
      </c>
      <c r="M100" s="1" t="s">
        <v>25</v>
      </c>
      <c r="N100" s="1" t="s">
        <v>25</v>
      </c>
      <c r="O100" s="1" t="s">
        <v>25</v>
      </c>
      <c r="P100" s="1" t="s">
        <v>25</v>
      </c>
      <c r="Q100" s="1" t="s">
        <v>25</v>
      </c>
      <c r="R100" s="85" t="str">
        <f t="shared" si="4"/>
        <v>1245908</v>
      </c>
      <c r="S100" t="str">
        <f>VLOOKUP(A100,Data_NV!$A:$C,3,0)</f>
        <v xml:space="preserve"> Hoàng Đức Thanh    </v>
      </c>
      <c r="T100" t="str">
        <f>VLOOKUP(A100,Data_NV!$A:$E,4,0)</f>
        <v>Vận Hành</v>
      </c>
      <c r="U100" s="82">
        <f>DATEVALUE(Table2[[#This Row],[Ngày]])</f>
        <v>45908</v>
      </c>
      <c r="V100" t="str">
        <f>VLOOKUP(A100,Data_NV!$A:$E,5,0)</f>
        <v>Đang làm việc</v>
      </c>
      <c r="W100" s="10">
        <f>VLOOKUP(A100,Data_NV!$A:$I,8,0)</f>
        <v>0.3125</v>
      </c>
      <c r="X100" s="10">
        <f>VLOOKUP(A100,Data_NV!$A:$I,9,0)</f>
        <v>0.6875</v>
      </c>
      <c r="Y100" s="10">
        <f>IFERROR(TIMEVALUE(Table2[[#This Row],[Vào]]),0)</f>
        <v>0.29858796296296297</v>
      </c>
      <c r="Z100" s="10">
        <f>IFERROR(TIMEVALUE(Table2[[#This Row],[Ra]]),0)</f>
        <v>0</v>
      </c>
      <c r="AA100" t="str">
        <f t="shared" si="7"/>
        <v>x</v>
      </c>
      <c r="AB100" s="105">
        <f t="shared" si="5"/>
        <v>0</v>
      </c>
      <c r="AC100" s="12" t="str">
        <f>IF(VLOOKUP(A100,Data_NV!$A:$I,7,0)="Không","",IF(OR(AND(Y100=0,Z100=0),AND(Y100&lt;&gt;0,Z100&lt;&gt;0)),"","Quên chấm công"))</f>
        <v/>
      </c>
      <c r="AD100" s="12">
        <f>IF(VLOOKUP(A100,Data_NV!$A:$I,7,0)="Không",0,IF(AND(Y100=0,Z100=0),0,IF(X100&lt;=Z100,0,ROUNDDOWN((X100-Z100)*24*60,0))))</f>
        <v>0</v>
      </c>
      <c r="AE100" s="12">
        <f>IF(VLOOKUP(A100,Data_NV!$A:$I,6,0)="Không",0,IF(Z100&lt;=X100,0,ROUNDDOWN((Z100-X100)*24*60,0)))</f>
        <v>0</v>
      </c>
      <c r="AF100" s="26">
        <f t="shared" si="6"/>
        <v>0</v>
      </c>
      <c r="AG100" s="27" t="str">
        <f>IF(AC100="","",IF(COUNTIFS($AC$3:AC100,"Quên chấm công",$S$3:S100,S100)&gt;3,"Không chấm công do vi phạm quá 3 lần",IF(COUNTIFS($AC$3:AC100,"Quên chấm công",$S$3:S100,S100)&gt;2,"Trừ toàn bộ chuyên cần tháng do vi phạm lần 3",IF(COUNTIFS($AC$3:AC100,"Quên chấm công",$S$3:S100,S100)&gt;1,"Trừ 1/2 ngày lương",50000))))</f>
        <v/>
      </c>
      <c r="AH100" s="12" t="str">
        <f>IF(AF100=0,"",IF(COUNTIFS($AF$3:AF100,"&gt;0",$S$3:S100,S100)&gt;3,"Trừ toàn bộ chuyên cần tháng",""))</f>
        <v/>
      </c>
      <c r="AI100" s="12"/>
    </row>
    <row r="101" spans="1:35" x14ac:dyDescent="0.25">
      <c r="A101" s="4" t="s">
        <v>172</v>
      </c>
      <c r="B101" s="1" t="s">
        <v>173</v>
      </c>
      <c r="C101" s="1" t="s">
        <v>20</v>
      </c>
      <c r="D101" s="1" t="s">
        <v>53</v>
      </c>
      <c r="E101" s="1" t="s">
        <v>22</v>
      </c>
      <c r="F101" s="1" t="s">
        <v>23</v>
      </c>
      <c r="G101" s="1" t="s">
        <v>12</v>
      </c>
      <c r="H101" s="1" t="s">
        <v>174</v>
      </c>
      <c r="I101" s="1" t="s">
        <v>24</v>
      </c>
      <c r="J101" s="1" t="s">
        <v>25</v>
      </c>
      <c r="K101" s="1" t="s">
        <v>25</v>
      </c>
      <c r="L101" s="1" t="s">
        <v>26</v>
      </c>
      <c r="M101" s="1" t="s">
        <v>25</v>
      </c>
      <c r="N101" s="1" t="s">
        <v>25</v>
      </c>
      <c r="O101" s="1" t="s">
        <v>25</v>
      </c>
      <c r="P101" s="1" t="s">
        <v>25</v>
      </c>
      <c r="Q101" s="1" t="s">
        <v>25</v>
      </c>
      <c r="R101" s="85" t="str">
        <f t="shared" si="4"/>
        <v>1245909</v>
      </c>
      <c r="S101" t="str">
        <f>VLOOKUP(A101,Data_NV!$A:$C,3,0)</f>
        <v xml:space="preserve"> Hoàng Đức Thanh    </v>
      </c>
      <c r="T101" t="str">
        <f>VLOOKUP(A101,Data_NV!$A:$E,4,0)</f>
        <v>Vận Hành</v>
      </c>
      <c r="U101" s="82">
        <f>DATEVALUE(Table2[[#This Row],[Ngày]])</f>
        <v>45909</v>
      </c>
      <c r="V101" t="str">
        <f>VLOOKUP(A101,Data_NV!$A:$E,5,0)</f>
        <v>Đang làm việc</v>
      </c>
      <c r="W101" s="10">
        <f>VLOOKUP(A101,Data_NV!$A:$I,8,0)</f>
        <v>0.3125</v>
      </c>
      <c r="X101" s="10">
        <f>VLOOKUP(A101,Data_NV!$A:$I,9,0)</f>
        <v>0.6875</v>
      </c>
      <c r="Y101" s="10">
        <f>IFERROR(TIMEVALUE(Table2[[#This Row],[Vào]]),0)</f>
        <v>0.30262731481481481</v>
      </c>
      <c r="Z101" s="10">
        <f>IFERROR(TIMEVALUE(Table2[[#This Row],[Ra]]),0)</f>
        <v>0</v>
      </c>
      <c r="AA101" t="str">
        <f t="shared" si="7"/>
        <v>x</v>
      </c>
      <c r="AB101" s="105">
        <f t="shared" si="5"/>
        <v>0</v>
      </c>
      <c r="AC101" s="12" t="str">
        <f>IF(VLOOKUP(A101,Data_NV!$A:$I,7,0)="Không","",IF(OR(AND(Y101=0,Z101=0),AND(Y101&lt;&gt;0,Z101&lt;&gt;0)),"","Quên chấm công"))</f>
        <v/>
      </c>
      <c r="AD101" s="12">
        <f>IF(VLOOKUP(A101,Data_NV!$A:$I,7,0)="Không",0,IF(AND(Y101=0,Z101=0),0,IF(X101&lt;=Z101,0,ROUNDDOWN((X101-Z101)*24*60,0))))</f>
        <v>0</v>
      </c>
      <c r="AE101" s="12">
        <f>IF(VLOOKUP(A101,Data_NV!$A:$I,6,0)="Không",0,IF(Z101&lt;=X101,0,ROUNDDOWN((Z101-X101)*24*60,0)))</f>
        <v>0</v>
      </c>
      <c r="AF101" s="26">
        <f t="shared" si="6"/>
        <v>0</v>
      </c>
      <c r="AG101" s="27" t="str">
        <f>IF(AC101="","",IF(COUNTIFS($AC$3:AC101,"Quên chấm công",$S$3:S101,S101)&gt;3,"Không chấm công do vi phạm quá 3 lần",IF(COUNTIFS($AC$3:AC101,"Quên chấm công",$S$3:S101,S101)&gt;2,"Trừ toàn bộ chuyên cần tháng do vi phạm lần 3",IF(COUNTIFS($AC$3:AC101,"Quên chấm công",$S$3:S101,S101)&gt;1,"Trừ 1/2 ngày lương",50000))))</f>
        <v/>
      </c>
      <c r="AH101" s="12" t="str">
        <f>IF(AF101=0,"",IF(COUNTIFS($AF$3:AF101,"&gt;0",$S$3:S101,S101)&gt;3,"Trừ toàn bộ chuyên cần tháng",""))</f>
        <v/>
      </c>
      <c r="AI101" s="12"/>
    </row>
    <row r="102" spans="1:35" x14ac:dyDescent="0.25">
      <c r="A102" s="4" t="s">
        <v>172</v>
      </c>
      <c r="B102" s="1" t="s">
        <v>173</v>
      </c>
      <c r="C102" s="1" t="s">
        <v>20</v>
      </c>
      <c r="D102" s="1" t="s">
        <v>58</v>
      </c>
      <c r="E102" s="1" t="s">
        <v>22</v>
      </c>
      <c r="F102" s="1" t="s">
        <v>23</v>
      </c>
      <c r="G102" s="1" t="s">
        <v>12</v>
      </c>
      <c r="H102" s="1" t="s">
        <v>181</v>
      </c>
      <c r="I102" s="1" t="s">
        <v>24</v>
      </c>
      <c r="J102" s="1" t="s">
        <v>25</v>
      </c>
      <c r="K102" s="1" t="s">
        <v>25</v>
      </c>
      <c r="L102" s="1" t="s">
        <v>26</v>
      </c>
      <c r="M102" s="1" t="s">
        <v>25</v>
      </c>
      <c r="N102" s="1" t="s">
        <v>25</v>
      </c>
      <c r="O102" s="1" t="s">
        <v>25</v>
      </c>
      <c r="P102" s="1" t="s">
        <v>25</v>
      </c>
      <c r="Q102" s="1" t="s">
        <v>25</v>
      </c>
      <c r="R102" s="85" t="str">
        <f t="shared" si="4"/>
        <v>1245910</v>
      </c>
      <c r="S102" t="str">
        <f>VLOOKUP(A102,Data_NV!$A:$C,3,0)</f>
        <v xml:space="preserve"> Hoàng Đức Thanh    </v>
      </c>
      <c r="T102" t="str">
        <f>VLOOKUP(A102,Data_NV!$A:$E,4,0)</f>
        <v>Vận Hành</v>
      </c>
      <c r="U102" s="82">
        <f>DATEVALUE(Table2[[#This Row],[Ngày]])</f>
        <v>45910</v>
      </c>
      <c r="V102" t="str">
        <f>VLOOKUP(A102,Data_NV!$A:$E,5,0)</f>
        <v>Đang làm việc</v>
      </c>
      <c r="W102" s="10">
        <f>VLOOKUP(A102,Data_NV!$A:$I,8,0)</f>
        <v>0.3125</v>
      </c>
      <c r="X102" s="10">
        <f>VLOOKUP(A102,Data_NV!$A:$I,9,0)</f>
        <v>0.6875</v>
      </c>
      <c r="Y102" s="10">
        <f>IFERROR(TIMEVALUE(Table2[[#This Row],[Vào]]),0)</f>
        <v>0.28541666666666665</v>
      </c>
      <c r="Z102" s="10">
        <f>IFERROR(TIMEVALUE(Table2[[#This Row],[Ra]]),0)</f>
        <v>0</v>
      </c>
      <c r="AA102" t="str">
        <f t="shared" si="7"/>
        <v>x</v>
      </c>
      <c r="AB102" s="105">
        <f t="shared" si="5"/>
        <v>0</v>
      </c>
      <c r="AC102" s="12" t="str">
        <f>IF(VLOOKUP(A102,Data_NV!$A:$I,7,0)="Không","",IF(OR(AND(Y102=0,Z102=0),AND(Y102&lt;&gt;0,Z102&lt;&gt;0)),"","Quên chấm công"))</f>
        <v/>
      </c>
      <c r="AD102" s="12">
        <f>IF(VLOOKUP(A102,Data_NV!$A:$I,7,0)="Không",0,IF(AND(Y102=0,Z102=0),0,IF(X102&lt;=Z102,0,ROUNDDOWN((X102-Z102)*24*60,0))))</f>
        <v>0</v>
      </c>
      <c r="AE102" s="12">
        <f>IF(VLOOKUP(A102,Data_NV!$A:$I,6,0)="Không",0,IF(Z102&lt;=X102,0,ROUNDDOWN((Z102-X102)*24*60,0)))</f>
        <v>0</v>
      </c>
      <c r="AF102" s="26">
        <f t="shared" si="6"/>
        <v>0</v>
      </c>
      <c r="AG102" s="27" t="str">
        <f>IF(AC102="","",IF(COUNTIFS($AC$3:AC102,"Quên chấm công",$S$3:S102,S102)&gt;3,"Không chấm công do vi phạm quá 3 lần",IF(COUNTIFS($AC$3:AC102,"Quên chấm công",$S$3:S102,S102)&gt;2,"Trừ toàn bộ chuyên cần tháng do vi phạm lần 3",IF(COUNTIFS($AC$3:AC102,"Quên chấm công",$S$3:S102,S102)&gt;1,"Trừ 1/2 ngày lương",50000))))</f>
        <v/>
      </c>
      <c r="AH102" s="12" t="str">
        <f>IF(AF102=0,"",IF(COUNTIFS($AF$3:AF102,"&gt;0",$S$3:S102,S102)&gt;3,"Trừ toàn bộ chuyên cần tháng",""))</f>
        <v/>
      </c>
      <c r="AI102" s="12"/>
    </row>
    <row r="103" spans="1:35" x14ac:dyDescent="0.25">
      <c r="A103" s="4" t="s">
        <v>172</v>
      </c>
      <c r="B103" s="1" t="s">
        <v>173</v>
      </c>
      <c r="C103" s="1" t="s">
        <v>20</v>
      </c>
      <c r="D103" s="1" t="s">
        <v>63</v>
      </c>
      <c r="E103" s="1" t="s">
        <v>22</v>
      </c>
      <c r="F103" s="1" t="s">
        <v>23</v>
      </c>
      <c r="G103" s="1" t="s">
        <v>12</v>
      </c>
      <c r="H103" s="1" t="s">
        <v>182</v>
      </c>
      <c r="I103" s="1" t="s">
        <v>24</v>
      </c>
      <c r="J103" s="1" t="s">
        <v>25</v>
      </c>
      <c r="K103" s="1" t="s">
        <v>25</v>
      </c>
      <c r="L103" s="1" t="s">
        <v>26</v>
      </c>
      <c r="M103" s="1" t="s">
        <v>25</v>
      </c>
      <c r="N103" s="1" t="s">
        <v>25</v>
      </c>
      <c r="O103" s="1" t="s">
        <v>25</v>
      </c>
      <c r="P103" s="1" t="s">
        <v>25</v>
      </c>
      <c r="Q103" s="1" t="s">
        <v>25</v>
      </c>
      <c r="R103" s="85" t="str">
        <f t="shared" si="4"/>
        <v>1245911</v>
      </c>
      <c r="S103" t="str">
        <f>VLOOKUP(A103,Data_NV!$A:$C,3,0)</f>
        <v xml:space="preserve"> Hoàng Đức Thanh    </v>
      </c>
      <c r="T103" t="str">
        <f>VLOOKUP(A103,Data_NV!$A:$E,4,0)</f>
        <v>Vận Hành</v>
      </c>
      <c r="U103" s="82">
        <f>DATEVALUE(Table2[[#This Row],[Ngày]])</f>
        <v>45911</v>
      </c>
      <c r="V103" t="str">
        <f>VLOOKUP(A103,Data_NV!$A:$E,5,0)</f>
        <v>Đang làm việc</v>
      </c>
      <c r="W103" s="10">
        <f>VLOOKUP(A103,Data_NV!$A:$I,8,0)</f>
        <v>0.3125</v>
      </c>
      <c r="X103" s="10">
        <f>VLOOKUP(A103,Data_NV!$A:$I,9,0)</f>
        <v>0.6875</v>
      </c>
      <c r="Y103" s="10">
        <f>IFERROR(TIMEVALUE(Table2[[#This Row],[Vào]]),0)</f>
        <v>0.3072685185185185</v>
      </c>
      <c r="Z103" s="10">
        <f>IFERROR(TIMEVALUE(Table2[[#This Row],[Ra]]),0)</f>
        <v>0</v>
      </c>
      <c r="AA103" s="100" t="s">
        <v>1355</v>
      </c>
      <c r="AB103" s="105">
        <f t="shared" si="5"/>
        <v>0</v>
      </c>
      <c r="AC103" s="12" t="str">
        <f>IF(VLOOKUP(A103,Data_NV!$A:$I,7,0)="Không","",IF(OR(AND(Y103=0,Z103=0),AND(Y103&lt;&gt;0,Z103&lt;&gt;0)),"","Quên chấm công"))</f>
        <v/>
      </c>
      <c r="AD103" s="12">
        <f>IF(VLOOKUP(A103,Data_NV!$A:$I,7,0)="Không",0,IF(AND(Y103=0,Z103=0),0,IF(X103&lt;=Z103,0,ROUNDDOWN((X103-Z103)*24*60,0))))</f>
        <v>0</v>
      </c>
      <c r="AE103" s="12">
        <f>IF(VLOOKUP(A103,Data_NV!$A:$I,6,0)="Không",0,IF(Z103&lt;=X103,0,ROUNDDOWN((Z103-X103)*24*60,0)))</f>
        <v>0</v>
      </c>
      <c r="AF103" s="26">
        <f t="shared" si="6"/>
        <v>0</v>
      </c>
      <c r="AG103" s="27" t="str">
        <f>IF(AC103="","",IF(COUNTIFS($AC$3:AC103,"Quên chấm công",$S$3:S103,S103)&gt;3,"Không chấm công do vi phạm quá 3 lần",IF(COUNTIFS($AC$3:AC103,"Quên chấm công",$S$3:S103,S103)&gt;2,"Trừ toàn bộ chuyên cần tháng do vi phạm lần 3",IF(COUNTIFS($AC$3:AC103,"Quên chấm công",$S$3:S103,S103)&gt;1,"Trừ 1/2 ngày lương",50000))))</f>
        <v/>
      </c>
      <c r="AH103" s="12" t="str">
        <f>IF(AF103=0,"",IF(COUNTIFS($AF$3:AF103,"&gt;0",$S$3:S103,S103)&gt;3,"Trừ toàn bộ chuyên cần tháng",""))</f>
        <v/>
      </c>
      <c r="AI103" s="12" t="s">
        <v>1391</v>
      </c>
    </row>
    <row r="104" spans="1:35" x14ac:dyDescent="0.25">
      <c r="A104" s="4" t="s">
        <v>172</v>
      </c>
      <c r="B104" s="1" t="s">
        <v>173</v>
      </c>
      <c r="C104" s="1" t="s">
        <v>20</v>
      </c>
      <c r="D104" s="1" t="s">
        <v>67</v>
      </c>
      <c r="E104" s="1" t="s">
        <v>22</v>
      </c>
      <c r="F104" s="1" t="s">
        <v>23</v>
      </c>
      <c r="G104" s="1" t="s">
        <v>12</v>
      </c>
      <c r="H104" s="1" t="s">
        <v>183</v>
      </c>
      <c r="I104" s="1" t="s">
        <v>24</v>
      </c>
      <c r="J104" s="1" t="s">
        <v>25</v>
      </c>
      <c r="K104" s="1" t="s">
        <v>25</v>
      </c>
      <c r="L104" s="1" t="s">
        <v>26</v>
      </c>
      <c r="M104" s="1" t="s">
        <v>25</v>
      </c>
      <c r="N104" s="1" t="s">
        <v>25</v>
      </c>
      <c r="O104" s="1" t="s">
        <v>25</v>
      </c>
      <c r="P104" s="1" t="s">
        <v>25</v>
      </c>
      <c r="Q104" s="1" t="s">
        <v>25</v>
      </c>
      <c r="R104" s="85" t="str">
        <f t="shared" si="4"/>
        <v>1245912</v>
      </c>
      <c r="S104" t="str">
        <f>VLOOKUP(A104,Data_NV!$A:$C,3,0)</f>
        <v xml:space="preserve"> Hoàng Đức Thanh    </v>
      </c>
      <c r="T104" t="str">
        <f>VLOOKUP(A104,Data_NV!$A:$E,4,0)</f>
        <v>Vận Hành</v>
      </c>
      <c r="U104" s="82">
        <f>DATEVALUE(Table2[[#This Row],[Ngày]])</f>
        <v>45912</v>
      </c>
      <c r="V104" t="str">
        <f>VLOOKUP(A104,Data_NV!$A:$E,5,0)</f>
        <v>Đang làm việc</v>
      </c>
      <c r="W104" s="10">
        <f>VLOOKUP(A104,Data_NV!$A:$I,8,0)</f>
        <v>0.3125</v>
      </c>
      <c r="X104" s="10">
        <f>VLOOKUP(A104,Data_NV!$A:$I,9,0)</f>
        <v>0.6875</v>
      </c>
      <c r="Y104" s="10">
        <f>IFERROR(TIMEVALUE(Table2[[#This Row],[Vào]]),0)</f>
        <v>0.30837962962962961</v>
      </c>
      <c r="Z104" s="10">
        <f>IFERROR(TIMEVALUE(Table2[[#This Row],[Ra]]),0)</f>
        <v>0</v>
      </c>
      <c r="AA104" t="str">
        <f t="shared" si="7"/>
        <v>x</v>
      </c>
      <c r="AB104" s="105">
        <f t="shared" si="5"/>
        <v>0</v>
      </c>
      <c r="AC104" s="12" t="str">
        <f>IF(VLOOKUP(A104,Data_NV!$A:$I,7,0)="Không","",IF(OR(AND(Y104=0,Z104=0),AND(Y104&lt;&gt;0,Z104&lt;&gt;0)),"","Quên chấm công"))</f>
        <v/>
      </c>
      <c r="AD104" s="12">
        <f>IF(VLOOKUP(A104,Data_NV!$A:$I,7,0)="Không",0,IF(AND(Y104=0,Z104=0),0,IF(X104&lt;=Z104,0,ROUNDDOWN((X104-Z104)*24*60,0))))</f>
        <v>0</v>
      </c>
      <c r="AE104" s="12">
        <f>IF(VLOOKUP(A104,Data_NV!$A:$I,6,0)="Không",0,IF(Z104&lt;=X104,0,ROUNDDOWN((Z104-X104)*24*60,0)))</f>
        <v>0</v>
      </c>
      <c r="AF104" s="26">
        <f t="shared" si="6"/>
        <v>0</v>
      </c>
      <c r="AG104" s="27" t="str">
        <f>IF(AC104="","",IF(COUNTIFS($AC$3:AC104,"Quên chấm công",$S$3:S104,S104)&gt;3,"Không chấm công do vi phạm quá 3 lần",IF(COUNTIFS($AC$3:AC104,"Quên chấm công",$S$3:S104,S104)&gt;2,"Trừ toàn bộ chuyên cần tháng do vi phạm lần 3",IF(COUNTIFS($AC$3:AC104,"Quên chấm công",$S$3:S104,S104)&gt;1,"Trừ 1/2 ngày lương",50000))))</f>
        <v/>
      </c>
      <c r="AH104" s="12" t="str">
        <f>IF(AF104=0,"",IF(COUNTIFS($AF$3:AF104,"&gt;0",$S$3:S104,S104)&gt;3,"Trừ toàn bộ chuyên cần tháng",""))</f>
        <v/>
      </c>
      <c r="AI104" s="12"/>
    </row>
    <row r="105" spans="1:35" x14ac:dyDescent="0.25">
      <c r="A105" s="4" t="s">
        <v>172</v>
      </c>
      <c r="B105" s="1" t="s">
        <v>173</v>
      </c>
      <c r="C105" s="1" t="s">
        <v>20</v>
      </c>
      <c r="D105" s="1" t="s">
        <v>69</v>
      </c>
      <c r="E105" s="1" t="s">
        <v>22</v>
      </c>
      <c r="F105" s="1" t="s">
        <v>23</v>
      </c>
      <c r="G105" s="1" t="s">
        <v>12</v>
      </c>
      <c r="H105" s="1" t="s">
        <v>184</v>
      </c>
      <c r="I105" s="1" t="s">
        <v>24</v>
      </c>
      <c r="J105" s="1" t="s">
        <v>25</v>
      </c>
      <c r="K105" s="1" t="s">
        <v>25</v>
      </c>
      <c r="L105" s="1" t="s">
        <v>26</v>
      </c>
      <c r="M105" s="1" t="s">
        <v>25</v>
      </c>
      <c r="N105" s="1" t="s">
        <v>25</v>
      </c>
      <c r="O105" s="1" t="s">
        <v>25</v>
      </c>
      <c r="P105" s="1" t="s">
        <v>25</v>
      </c>
      <c r="Q105" s="1" t="s">
        <v>25</v>
      </c>
      <c r="R105" s="85" t="str">
        <f t="shared" si="4"/>
        <v>1245913</v>
      </c>
      <c r="S105" t="str">
        <f>VLOOKUP(A105,Data_NV!$A:$C,3,0)</f>
        <v xml:space="preserve"> Hoàng Đức Thanh    </v>
      </c>
      <c r="T105" t="str">
        <f>VLOOKUP(A105,Data_NV!$A:$E,4,0)</f>
        <v>Vận Hành</v>
      </c>
      <c r="U105" s="82">
        <f>DATEVALUE(Table2[[#This Row],[Ngày]])</f>
        <v>45913</v>
      </c>
      <c r="V105" t="str">
        <f>VLOOKUP(A105,Data_NV!$A:$E,5,0)</f>
        <v>Đang làm việc</v>
      </c>
      <c r="W105" s="10">
        <f>VLOOKUP(A105,Data_NV!$A:$I,8,0)</f>
        <v>0.3125</v>
      </c>
      <c r="X105" s="10">
        <f>VLOOKUP(A105,Data_NV!$A:$I,9,0)</f>
        <v>0.6875</v>
      </c>
      <c r="Y105" s="10">
        <f>IFERROR(TIMEVALUE(Table2[[#This Row],[Vào]]),0)</f>
        <v>0.30930555555555556</v>
      </c>
      <c r="Z105" s="10">
        <f>IFERROR(TIMEVALUE(Table2[[#This Row],[Ra]]),0)</f>
        <v>0</v>
      </c>
      <c r="AA105" t="str">
        <f t="shared" si="7"/>
        <v>x</v>
      </c>
      <c r="AB105" s="105">
        <f t="shared" si="5"/>
        <v>0</v>
      </c>
      <c r="AC105" s="12" t="str">
        <f>IF(VLOOKUP(A105,Data_NV!$A:$I,7,0)="Không","",IF(OR(AND(Y105=0,Z105=0),AND(Y105&lt;&gt;0,Z105&lt;&gt;0)),"","Quên chấm công"))</f>
        <v/>
      </c>
      <c r="AD105" s="12">
        <f>IF(VLOOKUP(A105,Data_NV!$A:$I,7,0)="Không",0,IF(AND(Y105=0,Z105=0),0,IF(X105&lt;=Z105,0,ROUNDDOWN((X105-Z105)*24*60,0))))</f>
        <v>0</v>
      </c>
      <c r="AE105" s="12">
        <f>IF(VLOOKUP(A105,Data_NV!$A:$I,6,0)="Không",0,IF(Z105&lt;=X105,0,ROUNDDOWN((Z105-X105)*24*60,0)))</f>
        <v>0</v>
      </c>
      <c r="AF105" s="26">
        <f t="shared" si="6"/>
        <v>0</v>
      </c>
      <c r="AG105" s="27" t="str">
        <f>IF(AC105="","",IF(COUNTIFS($AC$3:AC105,"Quên chấm công",$S$3:S105,S105)&gt;3,"Không chấm công do vi phạm quá 3 lần",IF(COUNTIFS($AC$3:AC105,"Quên chấm công",$S$3:S105,S105)&gt;2,"Trừ toàn bộ chuyên cần tháng do vi phạm lần 3",IF(COUNTIFS($AC$3:AC105,"Quên chấm công",$S$3:S105,S105)&gt;1,"Trừ 1/2 ngày lương",50000))))</f>
        <v/>
      </c>
      <c r="AH105" s="12" t="str">
        <f>IF(AF105=0,"",IF(COUNTIFS($AF$3:AF105,"&gt;0",$S$3:S105,S105)&gt;3,"Trừ toàn bộ chuyên cần tháng",""))</f>
        <v/>
      </c>
      <c r="AI105" s="12"/>
    </row>
    <row r="106" spans="1:35" x14ac:dyDescent="0.25">
      <c r="A106" s="4" t="s">
        <v>172</v>
      </c>
      <c r="B106" s="1" t="s">
        <v>173</v>
      </c>
      <c r="C106" s="1" t="s">
        <v>20</v>
      </c>
      <c r="D106" s="1" t="s">
        <v>74</v>
      </c>
      <c r="E106" s="1" t="s">
        <v>22</v>
      </c>
      <c r="F106" s="1" t="s">
        <v>23</v>
      </c>
      <c r="G106" s="1" t="s">
        <v>12</v>
      </c>
      <c r="H106" s="1" t="s">
        <v>24</v>
      </c>
      <c r="I106" s="1" t="s">
        <v>24</v>
      </c>
      <c r="J106" s="1" t="s">
        <v>25</v>
      </c>
      <c r="K106" s="1" t="s">
        <v>25</v>
      </c>
      <c r="L106" s="1" t="s">
        <v>26</v>
      </c>
      <c r="M106" s="1" t="s">
        <v>25</v>
      </c>
      <c r="N106" s="1" t="s">
        <v>25</v>
      </c>
      <c r="O106" s="1" t="s">
        <v>25</v>
      </c>
      <c r="P106" s="1" t="s">
        <v>25</v>
      </c>
      <c r="Q106" s="1" t="s">
        <v>25</v>
      </c>
      <c r="R106" s="85" t="str">
        <f t="shared" si="4"/>
        <v>1245914</v>
      </c>
      <c r="S106" t="str">
        <f>VLOOKUP(A106,Data_NV!$A:$C,3,0)</f>
        <v xml:space="preserve"> Hoàng Đức Thanh    </v>
      </c>
      <c r="T106" t="str">
        <f>VLOOKUP(A106,Data_NV!$A:$E,4,0)</f>
        <v>Vận Hành</v>
      </c>
      <c r="U106" s="82">
        <f>DATEVALUE(Table2[[#This Row],[Ngày]])</f>
        <v>45914</v>
      </c>
      <c r="V106" t="str">
        <f>VLOOKUP(A106,Data_NV!$A:$E,5,0)</f>
        <v>Đang làm việc</v>
      </c>
      <c r="W106" s="10">
        <f>VLOOKUP(A106,Data_NV!$A:$I,8,0)</f>
        <v>0.3125</v>
      </c>
      <c r="X106" s="10">
        <f>VLOOKUP(A106,Data_NV!$A:$I,9,0)</f>
        <v>0.6875</v>
      </c>
      <c r="Y106" s="10">
        <f>IFERROR(TIMEVALUE(Table2[[#This Row],[Vào]]),0)</f>
        <v>0</v>
      </c>
      <c r="Z106" s="10">
        <f>IFERROR(TIMEVALUE(Table2[[#This Row],[Ra]]),0)</f>
        <v>0</v>
      </c>
      <c r="AA106" t="str">
        <f t="shared" si="7"/>
        <v>Chủ nhật</v>
      </c>
      <c r="AB106" s="105">
        <f t="shared" si="5"/>
        <v>0</v>
      </c>
      <c r="AC106" s="12" t="str">
        <f>IF(VLOOKUP(A106,Data_NV!$A:$I,7,0)="Không","",IF(OR(AND(Y106=0,Z106=0),AND(Y106&lt;&gt;0,Z106&lt;&gt;0)),"","Quên chấm công"))</f>
        <v/>
      </c>
      <c r="AD106" s="12">
        <f>IF(VLOOKUP(A106,Data_NV!$A:$I,7,0)="Không",0,IF(AND(Y106=0,Z106=0),0,IF(X106&lt;=Z106,0,ROUNDDOWN((X106-Z106)*24*60,0))))</f>
        <v>0</v>
      </c>
      <c r="AE106" s="12">
        <f>IF(VLOOKUP(A106,Data_NV!$A:$I,6,0)="Không",0,IF(Z106&lt;=X106,0,ROUNDDOWN((Z106-X106)*24*60,0)))</f>
        <v>0</v>
      </c>
      <c r="AF106" s="26">
        <f t="shared" si="6"/>
        <v>0</v>
      </c>
      <c r="AG106" s="27" t="str">
        <f>IF(AC106="","",IF(COUNTIFS($AC$3:AC106,"Quên chấm công",$S$3:S106,S106)&gt;3,"Không chấm công do vi phạm quá 3 lần",IF(COUNTIFS($AC$3:AC106,"Quên chấm công",$S$3:S106,S106)&gt;2,"Trừ toàn bộ chuyên cần tháng do vi phạm lần 3",IF(COUNTIFS($AC$3:AC106,"Quên chấm công",$S$3:S106,S106)&gt;1,"Trừ 1/2 ngày lương",50000))))</f>
        <v/>
      </c>
      <c r="AH106" s="12" t="str">
        <f>IF(AF106=0,"",IF(COUNTIFS($AF$3:AF106,"&gt;0",$S$3:S106,S106)&gt;3,"Trừ toàn bộ chuyên cần tháng",""))</f>
        <v/>
      </c>
      <c r="AI106" s="12"/>
    </row>
    <row r="107" spans="1:35" x14ac:dyDescent="0.25">
      <c r="A107" s="4" t="s">
        <v>172</v>
      </c>
      <c r="B107" s="1" t="s">
        <v>173</v>
      </c>
      <c r="C107" s="1" t="s">
        <v>20</v>
      </c>
      <c r="D107" s="1" t="s">
        <v>75</v>
      </c>
      <c r="E107" s="1" t="s">
        <v>22</v>
      </c>
      <c r="F107" s="1" t="s">
        <v>23</v>
      </c>
      <c r="G107" s="1" t="s">
        <v>12</v>
      </c>
      <c r="H107" s="1" t="s">
        <v>185</v>
      </c>
      <c r="I107" s="1" t="s">
        <v>24</v>
      </c>
      <c r="J107" s="1" t="s">
        <v>25</v>
      </c>
      <c r="K107" s="1" t="s">
        <v>25</v>
      </c>
      <c r="L107" s="1" t="s">
        <v>26</v>
      </c>
      <c r="M107" s="1" t="s">
        <v>25</v>
      </c>
      <c r="N107" s="1" t="s">
        <v>25</v>
      </c>
      <c r="O107" s="1" t="s">
        <v>25</v>
      </c>
      <c r="P107" s="1" t="s">
        <v>25</v>
      </c>
      <c r="Q107" s="1" t="s">
        <v>25</v>
      </c>
      <c r="R107" s="85" t="str">
        <f t="shared" si="4"/>
        <v>1245915</v>
      </c>
      <c r="S107" t="str">
        <f>VLOOKUP(A107,Data_NV!$A:$C,3,0)</f>
        <v xml:space="preserve"> Hoàng Đức Thanh    </v>
      </c>
      <c r="T107" t="str">
        <f>VLOOKUP(A107,Data_NV!$A:$E,4,0)</f>
        <v>Vận Hành</v>
      </c>
      <c r="U107" s="82">
        <f>DATEVALUE(Table2[[#This Row],[Ngày]])</f>
        <v>45915</v>
      </c>
      <c r="V107" t="str">
        <f>VLOOKUP(A107,Data_NV!$A:$E,5,0)</f>
        <v>Đang làm việc</v>
      </c>
      <c r="W107" s="10">
        <f>VLOOKUP(A107,Data_NV!$A:$I,8,0)</f>
        <v>0.3125</v>
      </c>
      <c r="X107" s="10">
        <f>VLOOKUP(A107,Data_NV!$A:$I,9,0)</f>
        <v>0.6875</v>
      </c>
      <c r="Y107" s="10">
        <f>IFERROR(TIMEVALUE(Table2[[#This Row],[Vào]]),0)</f>
        <v>0.29859953703703701</v>
      </c>
      <c r="Z107" s="10">
        <f>IFERROR(TIMEVALUE(Table2[[#This Row],[Ra]]),0)</f>
        <v>0</v>
      </c>
      <c r="AA107" t="str">
        <f t="shared" si="7"/>
        <v>x</v>
      </c>
      <c r="AB107" s="105">
        <f t="shared" si="5"/>
        <v>0</v>
      </c>
      <c r="AC107" s="12" t="str">
        <f>IF(VLOOKUP(A107,Data_NV!$A:$I,7,0)="Không","",IF(OR(AND(Y107=0,Z107=0),AND(Y107&lt;&gt;0,Z107&lt;&gt;0)),"","Quên chấm công"))</f>
        <v/>
      </c>
      <c r="AD107" s="12">
        <f>IF(VLOOKUP(A107,Data_NV!$A:$I,7,0)="Không",0,IF(AND(Y107=0,Z107=0),0,IF(X107&lt;=Z107,0,ROUNDDOWN((X107-Z107)*24*60,0))))</f>
        <v>0</v>
      </c>
      <c r="AE107" s="12">
        <f>IF(VLOOKUP(A107,Data_NV!$A:$I,6,0)="Không",0,IF(Z107&lt;=X107,0,ROUNDDOWN((Z107-X107)*24*60,0)))</f>
        <v>0</v>
      </c>
      <c r="AF107" s="26">
        <f t="shared" si="6"/>
        <v>0</v>
      </c>
      <c r="AG107" s="27" t="str">
        <f>IF(AC107="","",IF(COUNTIFS($AC$3:AC107,"Quên chấm công",$S$3:S107,S107)&gt;3,"Không chấm công do vi phạm quá 3 lần",IF(COUNTIFS($AC$3:AC107,"Quên chấm công",$S$3:S107,S107)&gt;2,"Trừ toàn bộ chuyên cần tháng do vi phạm lần 3",IF(COUNTIFS($AC$3:AC107,"Quên chấm công",$S$3:S107,S107)&gt;1,"Trừ 1/2 ngày lương",50000))))</f>
        <v/>
      </c>
      <c r="AH107" s="12" t="str">
        <f>IF(AF107=0,"",IF(COUNTIFS($AF$3:AF107,"&gt;0",$S$3:S107,S107)&gt;3,"Trừ toàn bộ chuyên cần tháng",""))</f>
        <v/>
      </c>
      <c r="AI107" s="12"/>
    </row>
    <row r="108" spans="1:35" x14ac:dyDescent="0.25">
      <c r="A108" s="4" t="s">
        <v>172</v>
      </c>
      <c r="B108" s="1" t="s">
        <v>173</v>
      </c>
      <c r="C108" s="1" t="s">
        <v>20</v>
      </c>
      <c r="D108" s="1" t="s">
        <v>80</v>
      </c>
      <c r="E108" s="1" t="s">
        <v>22</v>
      </c>
      <c r="F108" s="1" t="s">
        <v>23</v>
      </c>
      <c r="G108" s="1" t="s">
        <v>12</v>
      </c>
      <c r="H108" s="1" t="s">
        <v>186</v>
      </c>
      <c r="I108" s="1" t="s">
        <v>24</v>
      </c>
      <c r="J108" s="1" t="s">
        <v>25</v>
      </c>
      <c r="K108" s="1" t="s">
        <v>25</v>
      </c>
      <c r="L108" s="1" t="s">
        <v>26</v>
      </c>
      <c r="M108" s="1" t="s">
        <v>25</v>
      </c>
      <c r="N108" s="1" t="s">
        <v>25</v>
      </c>
      <c r="O108" s="1" t="s">
        <v>25</v>
      </c>
      <c r="P108" s="1" t="s">
        <v>25</v>
      </c>
      <c r="Q108" s="1" t="s">
        <v>25</v>
      </c>
      <c r="R108" s="85" t="str">
        <f t="shared" si="4"/>
        <v>1245916</v>
      </c>
      <c r="S108" t="str">
        <f>VLOOKUP(A108,Data_NV!$A:$C,3,0)</f>
        <v xml:space="preserve"> Hoàng Đức Thanh    </v>
      </c>
      <c r="T108" t="str">
        <f>VLOOKUP(A108,Data_NV!$A:$E,4,0)</f>
        <v>Vận Hành</v>
      </c>
      <c r="U108" s="82">
        <f>DATEVALUE(Table2[[#This Row],[Ngày]])</f>
        <v>45916</v>
      </c>
      <c r="V108" t="str">
        <f>VLOOKUP(A108,Data_NV!$A:$E,5,0)</f>
        <v>Đang làm việc</v>
      </c>
      <c r="W108" s="10">
        <f>VLOOKUP(A108,Data_NV!$A:$I,8,0)</f>
        <v>0.3125</v>
      </c>
      <c r="X108" s="10">
        <f>VLOOKUP(A108,Data_NV!$A:$I,9,0)</f>
        <v>0.6875</v>
      </c>
      <c r="Y108" s="10">
        <f>IFERROR(TIMEVALUE(Table2[[#This Row],[Vào]]),0)</f>
        <v>0.3039236111111111</v>
      </c>
      <c r="Z108" s="10">
        <f>IFERROR(TIMEVALUE(Table2[[#This Row],[Ra]]),0)</f>
        <v>0</v>
      </c>
      <c r="AA108" t="str">
        <f t="shared" si="7"/>
        <v>x</v>
      </c>
      <c r="AB108" s="105">
        <f t="shared" si="5"/>
        <v>0</v>
      </c>
      <c r="AC108" s="12" t="str">
        <f>IF(VLOOKUP(A108,Data_NV!$A:$I,7,0)="Không","",IF(OR(AND(Y108=0,Z108=0),AND(Y108&lt;&gt;0,Z108&lt;&gt;0)),"","Quên chấm công"))</f>
        <v/>
      </c>
      <c r="AD108" s="12">
        <f>IF(VLOOKUP(A108,Data_NV!$A:$I,7,0)="Không",0,IF(AND(Y108=0,Z108=0),0,IF(X108&lt;=Z108,0,ROUNDDOWN((X108-Z108)*24*60,0))))</f>
        <v>0</v>
      </c>
      <c r="AE108" s="12">
        <f>IF(VLOOKUP(A108,Data_NV!$A:$I,6,0)="Không",0,IF(Z108&lt;=X108,0,ROUNDDOWN((Z108-X108)*24*60,0)))</f>
        <v>0</v>
      </c>
      <c r="AF108" s="26">
        <f t="shared" si="6"/>
        <v>0</v>
      </c>
      <c r="AG108" s="27" t="str">
        <f>IF(AC108="","",IF(COUNTIFS($AC$3:AC108,"Quên chấm công",$S$3:S108,S108)&gt;3,"Không chấm công do vi phạm quá 3 lần",IF(COUNTIFS($AC$3:AC108,"Quên chấm công",$S$3:S108,S108)&gt;2,"Trừ toàn bộ chuyên cần tháng do vi phạm lần 3",IF(COUNTIFS($AC$3:AC108,"Quên chấm công",$S$3:S108,S108)&gt;1,"Trừ 1/2 ngày lương",50000))))</f>
        <v/>
      </c>
      <c r="AH108" s="12" t="str">
        <f>IF(AF108=0,"",IF(COUNTIFS($AF$3:AF108,"&gt;0",$S$3:S108,S108)&gt;3,"Trừ toàn bộ chuyên cần tháng",""))</f>
        <v/>
      </c>
      <c r="AI108" s="12"/>
    </row>
    <row r="109" spans="1:35" x14ac:dyDescent="0.25">
      <c r="A109" s="4" t="s">
        <v>172</v>
      </c>
      <c r="B109" s="1" t="s">
        <v>173</v>
      </c>
      <c r="C109" s="1" t="s">
        <v>20</v>
      </c>
      <c r="D109" s="1" t="s">
        <v>85</v>
      </c>
      <c r="E109" s="1" t="s">
        <v>22</v>
      </c>
      <c r="F109" s="1" t="s">
        <v>23</v>
      </c>
      <c r="G109" s="1" t="s">
        <v>12</v>
      </c>
      <c r="H109" s="1" t="s">
        <v>137</v>
      </c>
      <c r="I109" s="1" t="s">
        <v>24</v>
      </c>
      <c r="J109" s="1" t="s">
        <v>25</v>
      </c>
      <c r="K109" s="1" t="s">
        <v>25</v>
      </c>
      <c r="L109" s="1" t="s">
        <v>26</v>
      </c>
      <c r="M109" s="1" t="s">
        <v>25</v>
      </c>
      <c r="N109" s="1" t="s">
        <v>25</v>
      </c>
      <c r="O109" s="1" t="s">
        <v>25</v>
      </c>
      <c r="P109" s="1" t="s">
        <v>25</v>
      </c>
      <c r="Q109" s="1" t="s">
        <v>25</v>
      </c>
      <c r="R109" s="85" t="str">
        <f t="shared" si="4"/>
        <v>1245917</v>
      </c>
      <c r="S109" t="str">
        <f>VLOOKUP(A109,Data_NV!$A:$C,3,0)</f>
        <v xml:space="preserve"> Hoàng Đức Thanh    </v>
      </c>
      <c r="T109" t="str">
        <f>VLOOKUP(A109,Data_NV!$A:$E,4,0)</f>
        <v>Vận Hành</v>
      </c>
      <c r="U109" s="82">
        <f>DATEVALUE(Table2[[#This Row],[Ngày]])</f>
        <v>45917</v>
      </c>
      <c r="V109" t="str">
        <f>VLOOKUP(A109,Data_NV!$A:$E,5,0)</f>
        <v>Đang làm việc</v>
      </c>
      <c r="W109" s="10">
        <f>VLOOKUP(A109,Data_NV!$A:$I,8,0)</f>
        <v>0.3125</v>
      </c>
      <c r="X109" s="10">
        <f>VLOOKUP(A109,Data_NV!$A:$I,9,0)</f>
        <v>0.6875</v>
      </c>
      <c r="Y109" s="10">
        <f>IFERROR(TIMEVALUE(Table2[[#This Row],[Vào]]),0)</f>
        <v>0.30518518518518517</v>
      </c>
      <c r="Z109" s="10">
        <f>IFERROR(TIMEVALUE(Table2[[#This Row],[Ra]]),0)</f>
        <v>0</v>
      </c>
      <c r="AA109" s="100" t="s">
        <v>1355</v>
      </c>
      <c r="AB109" s="105">
        <f t="shared" si="5"/>
        <v>0</v>
      </c>
      <c r="AC109" s="12" t="str">
        <f>IF(VLOOKUP(A109,Data_NV!$A:$I,7,0)="Không","",IF(OR(AND(Y109=0,Z109=0),AND(Y109&lt;&gt;0,Z109&lt;&gt;0)),"","Quên chấm công"))</f>
        <v/>
      </c>
      <c r="AD109" s="12">
        <f>IF(VLOOKUP(A109,Data_NV!$A:$I,7,0)="Không",0,IF(AND(Y109=0,Z109=0),0,IF(X109&lt;=Z109,0,ROUNDDOWN((X109-Z109)*24*60,0))))</f>
        <v>0</v>
      </c>
      <c r="AE109" s="12">
        <f>IF(VLOOKUP(A109,Data_NV!$A:$I,6,0)="Không",0,IF(Z109&lt;=X109,0,ROUNDDOWN((Z109-X109)*24*60,0)))</f>
        <v>0</v>
      </c>
      <c r="AF109" s="26">
        <f t="shared" si="6"/>
        <v>0</v>
      </c>
      <c r="AG109" s="27" t="str">
        <f>IF(AC109="","",IF(COUNTIFS($AC$3:AC109,"Quên chấm công",$S$3:S109,S109)&gt;3,"Không chấm công do vi phạm quá 3 lần",IF(COUNTIFS($AC$3:AC109,"Quên chấm công",$S$3:S109,S109)&gt;2,"Trừ toàn bộ chuyên cần tháng do vi phạm lần 3",IF(COUNTIFS($AC$3:AC109,"Quên chấm công",$S$3:S109,S109)&gt;1,"Trừ 1/2 ngày lương",50000))))</f>
        <v/>
      </c>
      <c r="AH109" s="12" t="str">
        <f>IF(AF109=0,"",IF(COUNTIFS($AF$3:AF109,"&gt;0",$S$3:S109,S109)&gt;3,"Trừ toàn bộ chuyên cần tháng",""))</f>
        <v/>
      </c>
      <c r="AI109" s="12" t="s">
        <v>1391</v>
      </c>
    </row>
    <row r="110" spans="1:35" x14ac:dyDescent="0.25">
      <c r="A110" s="4" t="s">
        <v>172</v>
      </c>
      <c r="B110" s="1" t="s">
        <v>173</v>
      </c>
      <c r="C110" s="1" t="s">
        <v>20</v>
      </c>
      <c r="D110" s="1" t="s">
        <v>90</v>
      </c>
      <c r="E110" s="1" t="s">
        <v>22</v>
      </c>
      <c r="F110" s="1" t="s">
        <v>23</v>
      </c>
      <c r="G110" s="1" t="s">
        <v>12</v>
      </c>
      <c r="H110" s="1" t="s">
        <v>187</v>
      </c>
      <c r="I110" s="1" t="s">
        <v>24</v>
      </c>
      <c r="J110" s="1" t="s">
        <v>25</v>
      </c>
      <c r="K110" s="1" t="s">
        <v>25</v>
      </c>
      <c r="L110" s="1" t="s">
        <v>26</v>
      </c>
      <c r="M110" s="1" t="s">
        <v>25</v>
      </c>
      <c r="N110" s="1" t="s">
        <v>25</v>
      </c>
      <c r="O110" s="1" t="s">
        <v>25</v>
      </c>
      <c r="P110" s="1" t="s">
        <v>25</v>
      </c>
      <c r="Q110" s="1" t="s">
        <v>25</v>
      </c>
      <c r="R110" s="85" t="str">
        <f t="shared" si="4"/>
        <v>1245918</v>
      </c>
      <c r="S110" t="str">
        <f>VLOOKUP(A110,Data_NV!$A:$C,3,0)</f>
        <v xml:space="preserve"> Hoàng Đức Thanh    </v>
      </c>
      <c r="T110" t="str">
        <f>VLOOKUP(A110,Data_NV!$A:$E,4,0)</f>
        <v>Vận Hành</v>
      </c>
      <c r="U110" s="82">
        <f>DATEVALUE(Table2[[#This Row],[Ngày]])</f>
        <v>45918</v>
      </c>
      <c r="V110" t="str">
        <f>VLOOKUP(A110,Data_NV!$A:$E,5,0)</f>
        <v>Đang làm việc</v>
      </c>
      <c r="W110" s="10">
        <f>VLOOKUP(A110,Data_NV!$A:$I,8,0)</f>
        <v>0.3125</v>
      </c>
      <c r="X110" s="10">
        <f>VLOOKUP(A110,Data_NV!$A:$I,9,0)</f>
        <v>0.6875</v>
      </c>
      <c r="Y110" s="10">
        <f>IFERROR(TIMEVALUE(Table2[[#This Row],[Vào]]),0)</f>
        <v>0.29619212962962965</v>
      </c>
      <c r="Z110" s="10">
        <f>IFERROR(TIMEVALUE(Table2[[#This Row],[Ra]]),0)</f>
        <v>0</v>
      </c>
      <c r="AA110" t="str">
        <f t="shared" si="7"/>
        <v>x</v>
      </c>
      <c r="AB110" s="105">
        <f t="shared" si="5"/>
        <v>0</v>
      </c>
      <c r="AC110" s="12" t="str">
        <f>IF(VLOOKUP(A110,Data_NV!$A:$I,7,0)="Không","",IF(OR(AND(Y110=0,Z110=0),AND(Y110&lt;&gt;0,Z110&lt;&gt;0)),"","Quên chấm công"))</f>
        <v/>
      </c>
      <c r="AD110" s="12">
        <f>IF(VLOOKUP(A110,Data_NV!$A:$I,7,0)="Không",0,IF(AND(Y110=0,Z110=0),0,IF(X110&lt;=Z110,0,ROUNDDOWN((X110-Z110)*24*60,0))))</f>
        <v>0</v>
      </c>
      <c r="AE110" s="12">
        <f>IF(VLOOKUP(A110,Data_NV!$A:$I,6,0)="Không",0,IF(Z110&lt;=X110,0,ROUNDDOWN((Z110-X110)*24*60,0)))</f>
        <v>0</v>
      </c>
      <c r="AF110" s="26">
        <f t="shared" si="6"/>
        <v>0</v>
      </c>
      <c r="AG110" s="27" t="str">
        <f>IF(AC110="","",IF(COUNTIFS($AC$3:AC110,"Quên chấm công",$S$3:S110,S110)&gt;3,"Không chấm công do vi phạm quá 3 lần",IF(COUNTIFS($AC$3:AC110,"Quên chấm công",$S$3:S110,S110)&gt;2,"Trừ toàn bộ chuyên cần tháng do vi phạm lần 3",IF(COUNTIFS($AC$3:AC110,"Quên chấm công",$S$3:S110,S110)&gt;1,"Trừ 1/2 ngày lương",50000))))</f>
        <v/>
      </c>
      <c r="AH110" s="12" t="str">
        <f>IF(AF110=0,"",IF(COUNTIFS($AF$3:AF110,"&gt;0",$S$3:S110,S110)&gt;3,"Trừ toàn bộ chuyên cần tháng",""))</f>
        <v/>
      </c>
      <c r="AI110" s="12"/>
    </row>
    <row r="111" spans="1:35" x14ac:dyDescent="0.25">
      <c r="A111" s="4" t="s">
        <v>172</v>
      </c>
      <c r="B111" s="1" t="s">
        <v>173</v>
      </c>
      <c r="C111" s="1" t="s">
        <v>20</v>
      </c>
      <c r="D111" s="1" t="s">
        <v>95</v>
      </c>
      <c r="E111" s="1" t="s">
        <v>22</v>
      </c>
      <c r="F111" s="1" t="s">
        <v>23</v>
      </c>
      <c r="G111" s="1" t="s">
        <v>12</v>
      </c>
      <c r="H111" s="1" t="s">
        <v>188</v>
      </c>
      <c r="I111" s="1" t="s">
        <v>24</v>
      </c>
      <c r="J111" s="1" t="s">
        <v>25</v>
      </c>
      <c r="K111" s="1" t="s">
        <v>25</v>
      </c>
      <c r="L111" s="1" t="s">
        <v>26</v>
      </c>
      <c r="M111" s="1" t="s">
        <v>25</v>
      </c>
      <c r="N111" s="1" t="s">
        <v>25</v>
      </c>
      <c r="O111" s="1" t="s">
        <v>25</v>
      </c>
      <c r="P111" s="1" t="s">
        <v>25</v>
      </c>
      <c r="Q111" s="1" t="s">
        <v>25</v>
      </c>
      <c r="R111" s="85" t="str">
        <f t="shared" si="4"/>
        <v>1245919</v>
      </c>
      <c r="S111" t="str">
        <f>VLOOKUP(A111,Data_NV!$A:$C,3,0)</f>
        <v xml:space="preserve"> Hoàng Đức Thanh    </v>
      </c>
      <c r="T111" t="str">
        <f>VLOOKUP(A111,Data_NV!$A:$E,4,0)</f>
        <v>Vận Hành</v>
      </c>
      <c r="U111" s="82">
        <f>DATEVALUE(Table2[[#This Row],[Ngày]])</f>
        <v>45919</v>
      </c>
      <c r="V111" t="str">
        <f>VLOOKUP(A111,Data_NV!$A:$E,5,0)</f>
        <v>Đang làm việc</v>
      </c>
      <c r="W111" s="10">
        <f>VLOOKUP(A111,Data_NV!$A:$I,8,0)</f>
        <v>0.3125</v>
      </c>
      <c r="X111" s="10">
        <f>VLOOKUP(A111,Data_NV!$A:$I,9,0)</f>
        <v>0.6875</v>
      </c>
      <c r="Y111" s="10">
        <f>IFERROR(TIMEVALUE(Table2[[#This Row],[Vào]]),0)</f>
        <v>0.2999074074074074</v>
      </c>
      <c r="Z111" s="10">
        <f>IFERROR(TIMEVALUE(Table2[[#This Row],[Ra]]),0)</f>
        <v>0</v>
      </c>
      <c r="AA111" t="str">
        <f t="shared" si="7"/>
        <v>x</v>
      </c>
      <c r="AB111" s="105">
        <f t="shared" si="5"/>
        <v>0</v>
      </c>
      <c r="AC111" s="12" t="str">
        <f>IF(VLOOKUP(A111,Data_NV!$A:$I,7,0)="Không","",IF(OR(AND(Y111=0,Z111=0),AND(Y111&lt;&gt;0,Z111&lt;&gt;0)),"","Quên chấm công"))</f>
        <v/>
      </c>
      <c r="AD111" s="12">
        <f>IF(VLOOKUP(A111,Data_NV!$A:$I,7,0)="Không",0,IF(AND(Y111=0,Z111=0),0,IF(X111&lt;=Z111,0,ROUNDDOWN((X111-Z111)*24*60,0))))</f>
        <v>0</v>
      </c>
      <c r="AE111" s="12">
        <f>IF(VLOOKUP(A111,Data_NV!$A:$I,6,0)="Không",0,IF(Z111&lt;=X111,0,ROUNDDOWN((Z111-X111)*24*60,0)))</f>
        <v>0</v>
      </c>
      <c r="AF111" s="26">
        <f t="shared" si="6"/>
        <v>0</v>
      </c>
      <c r="AG111" s="27" t="str">
        <f>IF(AC111="","",IF(COUNTIFS($AC$3:AC111,"Quên chấm công",$S$3:S111,S111)&gt;3,"Không chấm công do vi phạm quá 3 lần",IF(COUNTIFS($AC$3:AC111,"Quên chấm công",$S$3:S111,S111)&gt;2,"Trừ toàn bộ chuyên cần tháng do vi phạm lần 3",IF(COUNTIFS($AC$3:AC111,"Quên chấm công",$S$3:S111,S111)&gt;1,"Trừ 1/2 ngày lương",50000))))</f>
        <v/>
      </c>
      <c r="AH111" s="12" t="str">
        <f>IF(AF111=0,"",IF(COUNTIFS($AF$3:AF111,"&gt;0",$S$3:S111,S111)&gt;3,"Trừ toàn bộ chuyên cần tháng",""))</f>
        <v/>
      </c>
      <c r="AI111" s="12"/>
    </row>
    <row r="112" spans="1:35" x14ac:dyDescent="0.25">
      <c r="A112" s="4" t="s">
        <v>172</v>
      </c>
      <c r="B112" s="1" t="s">
        <v>173</v>
      </c>
      <c r="C112" s="1" t="s">
        <v>20</v>
      </c>
      <c r="D112" s="1" t="s">
        <v>100</v>
      </c>
      <c r="E112" s="1" t="s">
        <v>22</v>
      </c>
      <c r="F112" s="1" t="s">
        <v>23</v>
      </c>
      <c r="G112" s="1" t="s">
        <v>12</v>
      </c>
      <c r="H112" s="1" t="s">
        <v>189</v>
      </c>
      <c r="I112" s="1" t="s">
        <v>24</v>
      </c>
      <c r="J112" s="1" t="s">
        <v>25</v>
      </c>
      <c r="K112" s="1" t="s">
        <v>25</v>
      </c>
      <c r="L112" s="1" t="s">
        <v>26</v>
      </c>
      <c r="M112" s="1" t="s">
        <v>25</v>
      </c>
      <c r="N112" s="1" t="s">
        <v>25</v>
      </c>
      <c r="O112" s="1" t="s">
        <v>25</v>
      </c>
      <c r="P112" s="1" t="s">
        <v>25</v>
      </c>
      <c r="Q112" s="1" t="s">
        <v>25</v>
      </c>
      <c r="R112" s="85" t="str">
        <f t="shared" si="4"/>
        <v>1245920</v>
      </c>
      <c r="S112" t="str">
        <f>VLOOKUP(A112,Data_NV!$A:$C,3,0)</f>
        <v xml:space="preserve"> Hoàng Đức Thanh    </v>
      </c>
      <c r="T112" t="str">
        <f>VLOOKUP(A112,Data_NV!$A:$E,4,0)</f>
        <v>Vận Hành</v>
      </c>
      <c r="U112" s="82">
        <f>DATEVALUE(Table2[[#This Row],[Ngày]])</f>
        <v>45920</v>
      </c>
      <c r="V112" t="str">
        <f>VLOOKUP(A112,Data_NV!$A:$E,5,0)</f>
        <v>Đang làm việc</v>
      </c>
      <c r="W112" s="10">
        <f>VLOOKUP(A112,Data_NV!$A:$I,8,0)</f>
        <v>0.3125</v>
      </c>
      <c r="X112" s="10">
        <f>VLOOKUP(A112,Data_NV!$A:$I,9,0)</f>
        <v>0.6875</v>
      </c>
      <c r="Y112" s="10">
        <f>IFERROR(TIMEVALUE(Table2[[#This Row],[Vào]]),0)</f>
        <v>0.30104166666666665</v>
      </c>
      <c r="Z112" s="10">
        <f>IFERROR(TIMEVALUE(Table2[[#This Row],[Ra]]),0)</f>
        <v>0</v>
      </c>
      <c r="AA112" t="str">
        <f t="shared" si="7"/>
        <v>x</v>
      </c>
      <c r="AB112" s="105">
        <f t="shared" si="5"/>
        <v>0</v>
      </c>
      <c r="AC112" s="12" t="str">
        <f>IF(VLOOKUP(A112,Data_NV!$A:$I,7,0)="Không","",IF(OR(AND(Y112=0,Z112=0),AND(Y112&lt;&gt;0,Z112&lt;&gt;0)),"","Quên chấm công"))</f>
        <v/>
      </c>
      <c r="AD112" s="12">
        <f>IF(VLOOKUP(A112,Data_NV!$A:$I,7,0)="Không",0,IF(AND(Y112=0,Z112=0),0,IF(X112&lt;=Z112,0,ROUNDDOWN((X112-Z112)*24*60,0))))</f>
        <v>0</v>
      </c>
      <c r="AE112" s="12">
        <f>IF(VLOOKUP(A112,Data_NV!$A:$I,6,0)="Không",0,IF(Z112&lt;=X112,0,ROUNDDOWN((Z112-X112)*24*60,0)))</f>
        <v>0</v>
      </c>
      <c r="AF112" s="26">
        <f t="shared" si="6"/>
        <v>0</v>
      </c>
      <c r="AG112" s="27" t="str">
        <f>IF(AC112="","",IF(COUNTIFS($AC$3:AC112,"Quên chấm công",$S$3:S112,S112)&gt;3,"Không chấm công do vi phạm quá 3 lần",IF(COUNTIFS($AC$3:AC112,"Quên chấm công",$S$3:S112,S112)&gt;2,"Trừ toàn bộ chuyên cần tháng do vi phạm lần 3",IF(COUNTIFS($AC$3:AC112,"Quên chấm công",$S$3:S112,S112)&gt;1,"Trừ 1/2 ngày lương",50000))))</f>
        <v/>
      </c>
      <c r="AH112" s="12" t="str">
        <f>IF(AF112=0,"",IF(COUNTIFS($AF$3:AF112,"&gt;0",$S$3:S112,S112)&gt;3,"Trừ toàn bộ chuyên cần tháng",""))</f>
        <v/>
      </c>
      <c r="AI112" s="12"/>
    </row>
    <row r="113" spans="1:35" x14ac:dyDescent="0.25">
      <c r="A113" s="4" t="s">
        <v>172</v>
      </c>
      <c r="B113" s="1" t="s">
        <v>173</v>
      </c>
      <c r="C113" s="1" t="s">
        <v>20</v>
      </c>
      <c r="D113" s="1" t="s">
        <v>105</v>
      </c>
      <c r="E113" s="1" t="s">
        <v>22</v>
      </c>
      <c r="F113" s="1" t="s">
        <v>23</v>
      </c>
      <c r="G113" s="1" t="s">
        <v>12</v>
      </c>
      <c r="H113" s="1" t="s">
        <v>24</v>
      </c>
      <c r="I113" s="1" t="s">
        <v>24</v>
      </c>
      <c r="J113" s="1" t="s">
        <v>25</v>
      </c>
      <c r="K113" s="1" t="s">
        <v>25</v>
      </c>
      <c r="L113" s="1" t="s">
        <v>26</v>
      </c>
      <c r="M113" s="1" t="s">
        <v>25</v>
      </c>
      <c r="N113" s="1" t="s">
        <v>25</v>
      </c>
      <c r="O113" s="1" t="s">
        <v>25</v>
      </c>
      <c r="P113" s="1" t="s">
        <v>25</v>
      </c>
      <c r="Q113" s="1" t="s">
        <v>25</v>
      </c>
      <c r="R113" s="85" t="str">
        <f t="shared" si="4"/>
        <v>1245921</v>
      </c>
      <c r="S113" t="str">
        <f>VLOOKUP(A113,Data_NV!$A:$C,3,0)</f>
        <v xml:space="preserve"> Hoàng Đức Thanh    </v>
      </c>
      <c r="T113" t="str">
        <f>VLOOKUP(A113,Data_NV!$A:$E,4,0)</f>
        <v>Vận Hành</v>
      </c>
      <c r="U113" s="82">
        <f>DATEVALUE(Table2[[#This Row],[Ngày]])</f>
        <v>45921</v>
      </c>
      <c r="V113" t="str">
        <f>VLOOKUP(A113,Data_NV!$A:$E,5,0)</f>
        <v>Đang làm việc</v>
      </c>
      <c r="W113" s="10">
        <f>VLOOKUP(A113,Data_NV!$A:$I,8,0)</f>
        <v>0.3125</v>
      </c>
      <c r="X113" s="10">
        <f>VLOOKUP(A113,Data_NV!$A:$I,9,0)</f>
        <v>0.6875</v>
      </c>
      <c r="Y113" s="10">
        <f>IFERROR(TIMEVALUE(Table2[[#This Row],[Vào]]),0)</f>
        <v>0</v>
      </c>
      <c r="Z113" s="10">
        <f>IFERROR(TIMEVALUE(Table2[[#This Row],[Ra]]),0)</f>
        <v>0</v>
      </c>
      <c r="AA113" t="str">
        <f t="shared" si="7"/>
        <v>Chủ nhật</v>
      </c>
      <c r="AB113" s="105">
        <f t="shared" si="5"/>
        <v>0</v>
      </c>
      <c r="AC113" s="12" t="str">
        <f>IF(VLOOKUP(A113,Data_NV!$A:$I,7,0)="Không","",IF(OR(AND(Y113=0,Z113=0),AND(Y113&lt;&gt;0,Z113&lt;&gt;0)),"","Quên chấm công"))</f>
        <v/>
      </c>
      <c r="AD113" s="12">
        <f>IF(VLOOKUP(A113,Data_NV!$A:$I,7,0)="Không",0,IF(AND(Y113=0,Z113=0),0,IF(X113&lt;=Z113,0,ROUNDDOWN((X113-Z113)*24*60,0))))</f>
        <v>0</v>
      </c>
      <c r="AE113" s="12">
        <f>IF(VLOOKUP(A113,Data_NV!$A:$I,6,0)="Không",0,IF(Z113&lt;=X113,0,ROUNDDOWN((Z113-X113)*24*60,0)))</f>
        <v>0</v>
      </c>
      <c r="AF113" s="26">
        <f t="shared" si="6"/>
        <v>0</v>
      </c>
      <c r="AG113" s="27" t="str">
        <f>IF(AC113="","",IF(COUNTIFS($AC$3:AC113,"Quên chấm công",$S$3:S113,S113)&gt;3,"Không chấm công do vi phạm quá 3 lần",IF(COUNTIFS($AC$3:AC113,"Quên chấm công",$S$3:S113,S113)&gt;2,"Trừ toàn bộ chuyên cần tháng do vi phạm lần 3",IF(COUNTIFS($AC$3:AC113,"Quên chấm công",$S$3:S113,S113)&gt;1,"Trừ 1/2 ngày lương",50000))))</f>
        <v/>
      </c>
      <c r="AH113" s="12" t="str">
        <f>IF(AF113=0,"",IF(COUNTIFS($AF$3:AF113,"&gt;0",$S$3:S113,S113)&gt;3,"Trừ toàn bộ chuyên cần tháng",""))</f>
        <v/>
      </c>
      <c r="AI113" s="12"/>
    </row>
    <row r="114" spans="1:35" x14ac:dyDescent="0.25">
      <c r="A114" s="4" t="s">
        <v>172</v>
      </c>
      <c r="B114" s="1" t="s">
        <v>173</v>
      </c>
      <c r="C114" s="1" t="s">
        <v>20</v>
      </c>
      <c r="D114" s="1" t="s">
        <v>106</v>
      </c>
      <c r="E114" s="1" t="s">
        <v>22</v>
      </c>
      <c r="F114" s="1" t="s">
        <v>23</v>
      </c>
      <c r="G114" s="1" t="s">
        <v>12</v>
      </c>
      <c r="H114" s="1" t="s">
        <v>190</v>
      </c>
      <c r="I114" s="1" t="s">
        <v>24</v>
      </c>
      <c r="J114" s="1" t="s">
        <v>25</v>
      </c>
      <c r="K114" s="1" t="s">
        <v>25</v>
      </c>
      <c r="L114" s="1" t="s">
        <v>26</v>
      </c>
      <c r="M114" s="1" t="s">
        <v>25</v>
      </c>
      <c r="N114" s="1" t="s">
        <v>25</v>
      </c>
      <c r="O114" s="1" t="s">
        <v>25</v>
      </c>
      <c r="P114" s="1" t="s">
        <v>25</v>
      </c>
      <c r="Q114" s="1" t="s">
        <v>25</v>
      </c>
      <c r="R114" s="85" t="str">
        <f t="shared" si="4"/>
        <v>1245922</v>
      </c>
      <c r="S114" t="str">
        <f>VLOOKUP(A114,Data_NV!$A:$C,3,0)</f>
        <v xml:space="preserve"> Hoàng Đức Thanh    </v>
      </c>
      <c r="T114" t="str">
        <f>VLOOKUP(A114,Data_NV!$A:$E,4,0)</f>
        <v>Vận Hành</v>
      </c>
      <c r="U114" s="82">
        <f>DATEVALUE(Table2[[#This Row],[Ngày]])</f>
        <v>45922</v>
      </c>
      <c r="V114" t="str">
        <f>VLOOKUP(A114,Data_NV!$A:$E,5,0)</f>
        <v>Đang làm việc</v>
      </c>
      <c r="W114" s="10">
        <f>VLOOKUP(A114,Data_NV!$A:$I,8,0)</f>
        <v>0.3125</v>
      </c>
      <c r="X114" s="10">
        <f>VLOOKUP(A114,Data_NV!$A:$I,9,0)</f>
        <v>0.6875</v>
      </c>
      <c r="Y114" s="10">
        <f>IFERROR(TIMEVALUE(Table2[[#This Row],[Vào]]),0)</f>
        <v>0.30313657407407407</v>
      </c>
      <c r="Z114" s="10">
        <f>IFERROR(TIMEVALUE(Table2[[#This Row],[Ra]]),0)</f>
        <v>0</v>
      </c>
      <c r="AA114" t="str">
        <f t="shared" si="7"/>
        <v>x</v>
      </c>
      <c r="AB114" s="105">
        <f t="shared" si="5"/>
        <v>0</v>
      </c>
      <c r="AC114" s="12" t="str">
        <f>IF(VLOOKUP(A114,Data_NV!$A:$I,7,0)="Không","",IF(OR(AND(Y114=0,Z114=0),AND(Y114&lt;&gt;0,Z114&lt;&gt;0)),"","Quên chấm công"))</f>
        <v/>
      </c>
      <c r="AD114" s="12">
        <f>IF(VLOOKUP(A114,Data_NV!$A:$I,7,0)="Không",0,IF(AND(Y114=0,Z114=0),0,IF(X114&lt;=Z114,0,ROUNDDOWN((X114-Z114)*24*60,0))))</f>
        <v>0</v>
      </c>
      <c r="AE114" s="12">
        <f>IF(VLOOKUP(A114,Data_NV!$A:$I,6,0)="Không",0,IF(Z114&lt;=X114,0,ROUNDDOWN((Z114-X114)*24*60,0)))</f>
        <v>0</v>
      </c>
      <c r="AF114" s="26">
        <f t="shared" si="6"/>
        <v>0</v>
      </c>
      <c r="AG114" s="27" t="str">
        <f>IF(AC114="","",IF(COUNTIFS($AC$3:AC114,"Quên chấm công",$S$3:S114,S114)&gt;3,"Không chấm công do vi phạm quá 3 lần",IF(COUNTIFS($AC$3:AC114,"Quên chấm công",$S$3:S114,S114)&gt;2,"Trừ toàn bộ chuyên cần tháng do vi phạm lần 3",IF(COUNTIFS($AC$3:AC114,"Quên chấm công",$S$3:S114,S114)&gt;1,"Trừ 1/2 ngày lương",50000))))</f>
        <v/>
      </c>
      <c r="AH114" s="12" t="str">
        <f>IF(AF114=0,"",IF(COUNTIFS($AF$3:AF114,"&gt;0",$S$3:S114,S114)&gt;3,"Trừ toàn bộ chuyên cần tháng",""))</f>
        <v/>
      </c>
      <c r="AI114" s="12"/>
    </row>
    <row r="115" spans="1:35" x14ac:dyDescent="0.25">
      <c r="A115" s="4" t="s">
        <v>172</v>
      </c>
      <c r="B115" s="1" t="s">
        <v>173</v>
      </c>
      <c r="C115" s="1" t="s">
        <v>20</v>
      </c>
      <c r="D115" s="1" t="s">
        <v>111</v>
      </c>
      <c r="E115" s="1" t="s">
        <v>22</v>
      </c>
      <c r="F115" s="1" t="s">
        <v>23</v>
      </c>
      <c r="G115" s="1" t="s">
        <v>12</v>
      </c>
      <c r="H115" s="1" t="s">
        <v>191</v>
      </c>
      <c r="I115" s="1" t="s">
        <v>24</v>
      </c>
      <c r="J115" s="1" t="s">
        <v>25</v>
      </c>
      <c r="K115" s="1" t="s">
        <v>25</v>
      </c>
      <c r="L115" s="1" t="s">
        <v>26</v>
      </c>
      <c r="M115" s="1" t="s">
        <v>25</v>
      </c>
      <c r="N115" s="1" t="s">
        <v>25</v>
      </c>
      <c r="O115" s="1" t="s">
        <v>25</v>
      </c>
      <c r="P115" s="1" t="s">
        <v>25</v>
      </c>
      <c r="Q115" s="1" t="s">
        <v>25</v>
      </c>
      <c r="R115" s="85" t="str">
        <f t="shared" si="4"/>
        <v>1245923</v>
      </c>
      <c r="S115" t="str">
        <f>VLOOKUP(A115,Data_NV!$A:$C,3,0)</f>
        <v xml:space="preserve"> Hoàng Đức Thanh    </v>
      </c>
      <c r="T115" t="str">
        <f>VLOOKUP(A115,Data_NV!$A:$E,4,0)</f>
        <v>Vận Hành</v>
      </c>
      <c r="U115" s="82">
        <f>DATEVALUE(Table2[[#This Row],[Ngày]])</f>
        <v>45923</v>
      </c>
      <c r="V115" t="str">
        <f>VLOOKUP(A115,Data_NV!$A:$E,5,0)</f>
        <v>Đang làm việc</v>
      </c>
      <c r="W115" s="10">
        <f>VLOOKUP(A115,Data_NV!$A:$I,8,0)</f>
        <v>0.3125</v>
      </c>
      <c r="X115" s="10">
        <f>VLOOKUP(A115,Data_NV!$A:$I,9,0)</f>
        <v>0.6875</v>
      </c>
      <c r="Y115" s="10">
        <f>IFERROR(TIMEVALUE(Table2[[#This Row],[Vào]]),0)</f>
        <v>0.29754629629629631</v>
      </c>
      <c r="Z115" s="10">
        <f>IFERROR(TIMEVALUE(Table2[[#This Row],[Ra]]),0)</f>
        <v>0</v>
      </c>
      <c r="AA115" t="str">
        <f t="shared" si="7"/>
        <v>x</v>
      </c>
      <c r="AB115" s="105">
        <f t="shared" si="5"/>
        <v>0</v>
      </c>
      <c r="AC115" s="12" t="str">
        <f>IF(VLOOKUP(A115,Data_NV!$A:$I,7,0)="Không","",IF(OR(AND(Y115=0,Z115=0),AND(Y115&lt;&gt;0,Z115&lt;&gt;0)),"","Quên chấm công"))</f>
        <v/>
      </c>
      <c r="AD115" s="12">
        <f>IF(VLOOKUP(A115,Data_NV!$A:$I,7,0)="Không",0,IF(AND(Y115=0,Z115=0),0,IF(X115&lt;=Z115,0,ROUNDDOWN((X115-Z115)*24*60,0))))</f>
        <v>0</v>
      </c>
      <c r="AE115" s="12">
        <f>IF(VLOOKUP(A115,Data_NV!$A:$I,6,0)="Không",0,IF(Z115&lt;=X115,0,ROUNDDOWN((Z115-X115)*24*60,0)))</f>
        <v>0</v>
      </c>
      <c r="AF115" s="26">
        <f t="shared" si="6"/>
        <v>0</v>
      </c>
      <c r="AG115" s="27" t="str">
        <f>IF(AC115="","",IF(COUNTIFS($AC$3:AC115,"Quên chấm công",$S$3:S115,S115)&gt;3,"Không chấm công do vi phạm quá 3 lần",IF(COUNTIFS($AC$3:AC115,"Quên chấm công",$S$3:S115,S115)&gt;2,"Trừ toàn bộ chuyên cần tháng do vi phạm lần 3",IF(COUNTIFS($AC$3:AC115,"Quên chấm công",$S$3:S115,S115)&gt;1,"Trừ 1/2 ngày lương",50000))))</f>
        <v/>
      </c>
      <c r="AH115" s="12" t="str">
        <f>IF(AF115=0,"",IF(COUNTIFS($AF$3:AF115,"&gt;0",$S$3:S115,S115)&gt;3,"Trừ toàn bộ chuyên cần tháng",""))</f>
        <v/>
      </c>
      <c r="AI115" s="12"/>
    </row>
    <row r="116" spans="1:35" x14ac:dyDescent="0.25">
      <c r="A116" s="4" t="s">
        <v>172</v>
      </c>
      <c r="B116" s="1" t="s">
        <v>173</v>
      </c>
      <c r="C116" s="1" t="s">
        <v>20</v>
      </c>
      <c r="D116" s="1" t="s">
        <v>116</v>
      </c>
      <c r="E116" s="1" t="s">
        <v>22</v>
      </c>
      <c r="F116" s="1" t="s">
        <v>23</v>
      </c>
      <c r="G116" s="1" t="s">
        <v>12</v>
      </c>
      <c r="H116" s="1" t="s">
        <v>192</v>
      </c>
      <c r="I116" s="1" t="s">
        <v>24</v>
      </c>
      <c r="J116" s="1" t="s">
        <v>25</v>
      </c>
      <c r="K116" s="1" t="s">
        <v>25</v>
      </c>
      <c r="L116" s="1" t="s">
        <v>26</v>
      </c>
      <c r="M116" s="1" t="s">
        <v>25</v>
      </c>
      <c r="N116" s="1" t="s">
        <v>25</v>
      </c>
      <c r="O116" s="1" t="s">
        <v>25</v>
      </c>
      <c r="P116" s="1" t="s">
        <v>25</v>
      </c>
      <c r="Q116" s="1" t="s">
        <v>25</v>
      </c>
      <c r="R116" s="85" t="str">
        <f t="shared" si="4"/>
        <v>1245924</v>
      </c>
      <c r="S116" t="str">
        <f>VLOOKUP(A116,Data_NV!$A:$C,3,0)</f>
        <v xml:space="preserve"> Hoàng Đức Thanh    </v>
      </c>
      <c r="T116" t="str">
        <f>VLOOKUP(A116,Data_NV!$A:$E,4,0)</f>
        <v>Vận Hành</v>
      </c>
      <c r="U116" s="82">
        <f>DATEVALUE(Table2[[#This Row],[Ngày]])</f>
        <v>45924</v>
      </c>
      <c r="V116" t="str">
        <f>VLOOKUP(A116,Data_NV!$A:$E,5,0)</f>
        <v>Đang làm việc</v>
      </c>
      <c r="W116" s="10">
        <f>VLOOKUP(A116,Data_NV!$A:$I,8,0)</f>
        <v>0.3125</v>
      </c>
      <c r="X116" s="10">
        <f>VLOOKUP(A116,Data_NV!$A:$I,9,0)</f>
        <v>0.6875</v>
      </c>
      <c r="Y116" s="10">
        <f>IFERROR(TIMEVALUE(Table2[[#This Row],[Vào]]),0)</f>
        <v>0.30063657407407407</v>
      </c>
      <c r="Z116" s="10">
        <f>IFERROR(TIMEVALUE(Table2[[#This Row],[Ra]]),0)</f>
        <v>0</v>
      </c>
      <c r="AA116" t="str">
        <f t="shared" si="7"/>
        <v>x</v>
      </c>
      <c r="AB116" s="105">
        <f t="shared" si="5"/>
        <v>0</v>
      </c>
      <c r="AC116" s="12" t="str">
        <f>IF(VLOOKUP(A116,Data_NV!$A:$I,7,0)="Không","",IF(OR(AND(Y116=0,Z116=0),AND(Y116&lt;&gt;0,Z116&lt;&gt;0)),"","Quên chấm công"))</f>
        <v/>
      </c>
      <c r="AD116" s="12">
        <f>IF(VLOOKUP(A116,Data_NV!$A:$I,7,0)="Không",0,IF(AND(Y116=0,Z116=0),0,IF(X116&lt;=Z116,0,ROUNDDOWN((X116-Z116)*24*60,0))))</f>
        <v>0</v>
      </c>
      <c r="AE116" s="12">
        <f>IF(VLOOKUP(A116,Data_NV!$A:$I,6,0)="Không",0,IF(Z116&lt;=X116,0,ROUNDDOWN((Z116-X116)*24*60,0)))</f>
        <v>0</v>
      </c>
      <c r="AF116" s="26">
        <f t="shared" si="6"/>
        <v>0</v>
      </c>
      <c r="AG116" s="27" t="str">
        <f>IF(AC116="","",IF(COUNTIFS($AC$3:AC116,"Quên chấm công",$S$3:S116,S116)&gt;3,"Không chấm công do vi phạm quá 3 lần",IF(COUNTIFS($AC$3:AC116,"Quên chấm công",$S$3:S116,S116)&gt;2,"Trừ toàn bộ chuyên cần tháng do vi phạm lần 3",IF(COUNTIFS($AC$3:AC116,"Quên chấm công",$S$3:S116,S116)&gt;1,"Trừ 1/2 ngày lương",50000))))</f>
        <v/>
      </c>
      <c r="AH116" s="12" t="str">
        <f>IF(AF116=0,"",IF(COUNTIFS($AF$3:AF116,"&gt;0",$S$3:S116,S116)&gt;3,"Trừ toàn bộ chuyên cần tháng",""))</f>
        <v/>
      </c>
      <c r="AI116" s="12"/>
    </row>
    <row r="117" spans="1:35" x14ac:dyDescent="0.25">
      <c r="A117" s="4" t="s">
        <v>172</v>
      </c>
      <c r="B117" s="1" t="s">
        <v>173</v>
      </c>
      <c r="C117" s="1" t="s">
        <v>20</v>
      </c>
      <c r="D117" s="1" t="s">
        <v>121</v>
      </c>
      <c r="E117" s="1" t="s">
        <v>22</v>
      </c>
      <c r="F117" s="1" t="s">
        <v>23</v>
      </c>
      <c r="G117" s="1" t="s">
        <v>12</v>
      </c>
      <c r="H117" s="1" t="s">
        <v>193</v>
      </c>
      <c r="I117" s="1" t="s">
        <v>24</v>
      </c>
      <c r="J117" s="1" t="s">
        <v>25</v>
      </c>
      <c r="K117" s="1" t="s">
        <v>25</v>
      </c>
      <c r="L117" s="1" t="s">
        <v>26</v>
      </c>
      <c r="M117" s="1" t="s">
        <v>25</v>
      </c>
      <c r="N117" s="1" t="s">
        <v>25</v>
      </c>
      <c r="O117" s="1" t="s">
        <v>25</v>
      </c>
      <c r="P117" s="1" t="s">
        <v>25</v>
      </c>
      <c r="Q117" s="1" t="s">
        <v>25</v>
      </c>
      <c r="R117" s="85" t="str">
        <f t="shared" si="4"/>
        <v>1245925</v>
      </c>
      <c r="S117" t="str">
        <f>VLOOKUP(A117,Data_NV!$A:$C,3,0)</f>
        <v xml:space="preserve"> Hoàng Đức Thanh    </v>
      </c>
      <c r="T117" t="str">
        <f>VLOOKUP(A117,Data_NV!$A:$E,4,0)</f>
        <v>Vận Hành</v>
      </c>
      <c r="U117" s="82">
        <f>DATEVALUE(Table2[[#This Row],[Ngày]])</f>
        <v>45925</v>
      </c>
      <c r="V117" t="str">
        <f>VLOOKUP(A117,Data_NV!$A:$E,5,0)</f>
        <v>Đang làm việc</v>
      </c>
      <c r="W117" s="10">
        <f>VLOOKUP(A117,Data_NV!$A:$I,8,0)</f>
        <v>0.3125</v>
      </c>
      <c r="X117" s="10">
        <f>VLOOKUP(A117,Data_NV!$A:$I,9,0)</f>
        <v>0.6875</v>
      </c>
      <c r="Y117" s="10">
        <f>IFERROR(TIMEVALUE(Table2[[#This Row],[Vào]]),0)</f>
        <v>0.30037037037037034</v>
      </c>
      <c r="Z117" s="10">
        <f>IFERROR(TIMEVALUE(Table2[[#This Row],[Ra]]),0)</f>
        <v>0</v>
      </c>
      <c r="AA117" t="str">
        <f t="shared" si="7"/>
        <v>x</v>
      </c>
      <c r="AB117" s="105">
        <f t="shared" si="5"/>
        <v>0</v>
      </c>
      <c r="AC117" s="12" t="str">
        <f>IF(VLOOKUP(A117,Data_NV!$A:$I,7,0)="Không","",IF(OR(AND(Y117=0,Z117=0),AND(Y117&lt;&gt;0,Z117&lt;&gt;0)),"","Quên chấm công"))</f>
        <v/>
      </c>
      <c r="AD117" s="12">
        <f>IF(VLOOKUP(A117,Data_NV!$A:$I,7,0)="Không",0,IF(AND(Y117=0,Z117=0),0,IF(X117&lt;=Z117,0,ROUNDDOWN((X117-Z117)*24*60,0))))</f>
        <v>0</v>
      </c>
      <c r="AE117" s="12">
        <f>IF(VLOOKUP(A117,Data_NV!$A:$I,6,0)="Không",0,IF(Z117&lt;=X117,0,ROUNDDOWN((Z117-X117)*24*60,0)))</f>
        <v>0</v>
      </c>
      <c r="AF117" s="26">
        <f t="shared" si="6"/>
        <v>0</v>
      </c>
      <c r="AG117" s="27" t="str">
        <f>IF(AC117="","",IF(COUNTIFS($AC$3:AC117,"Quên chấm công",$S$3:S117,S117)&gt;3,"Không chấm công do vi phạm quá 3 lần",IF(COUNTIFS($AC$3:AC117,"Quên chấm công",$S$3:S117,S117)&gt;2,"Trừ toàn bộ chuyên cần tháng do vi phạm lần 3",IF(COUNTIFS($AC$3:AC117,"Quên chấm công",$S$3:S117,S117)&gt;1,"Trừ 1/2 ngày lương",50000))))</f>
        <v/>
      </c>
      <c r="AH117" s="12" t="str">
        <f>IF(AF117=0,"",IF(COUNTIFS($AF$3:AF117,"&gt;0",$S$3:S117,S117)&gt;3,"Trừ toàn bộ chuyên cần tháng",""))</f>
        <v/>
      </c>
      <c r="AI117" s="12"/>
    </row>
    <row r="118" spans="1:35" x14ac:dyDescent="0.25">
      <c r="A118" s="4" t="s">
        <v>172</v>
      </c>
      <c r="B118" s="1" t="s">
        <v>173</v>
      </c>
      <c r="C118" s="1" t="s">
        <v>20</v>
      </c>
      <c r="D118" s="1" t="s">
        <v>123</v>
      </c>
      <c r="E118" s="1" t="s">
        <v>22</v>
      </c>
      <c r="F118" s="1" t="s">
        <v>23</v>
      </c>
      <c r="G118" s="1" t="s">
        <v>12</v>
      </c>
      <c r="H118" s="1" t="s">
        <v>194</v>
      </c>
      <c r="I118" s="1" t="s">
        <v>24</v>
      </c>
      <c r="J118" s="1" t="s">
        <v>25</v>
      </c>
      <c r="K118" s="1" t="s">
        <v>25</v>
      </c>
      <c r="L118" s="1" t="s">
        <v>26</v>
      </c>
      <c r="M118" s="1" t="s">
        <v>25</v>
      </c>
      <c r="N118" s="1" t="s">
        <v>25</v>
      </c>
      <c r="O118" s="1" t="s">
        <v>25</v>
      </c>
      <c r="P118" s="1" t="s">
        <v>25</v>
      </c>
      <c r="Q118" s="1" t="s">
        <v>25</v>
      </c>
      <c r="R118" s="85" t="str">
        <f t="shared" si="4"/>
        <v>1245926</v>
      </c>
      <c r="S118" t="str">
        <f>VLOOKUP(A118,Data_NV!$A:$C,3,0)</f>
        <v xml:space="preserve"> Hoàng Đức Thanh    </v>
      </c>
      <c r="T118" t="str">
        <f>VLOOKUP(A118,Data_NV!$A:$E,4,0)</f>
        <v>Vận Hành</v>
      </c>
      <c r="U118" s="82">
        <f>DATEVALUE(Table2[[#This Row],[Ngày]])</f>
        <v>45926</v>
      </c>
      <c r="V118" t="str">
        <f>VLOOKUP(A118,Data_NV!$A:$E,5,0)</f>
        <v>Đang làm việc</v>
      </c>
      <c r="W118" s="10">
        <f>VLOOKUP(A118,Data_NV!$A:$I,8,0)</f>
        <v>0.3125</v>
      </c>
      <c r="X118" s="10">
        <f>VLOOKUP(A118,Data_NV!$A:$I,9,0)</f>
        <v>0.6875</v>
      </c>
      <c r="Y118" s="10">
        <f>IFERROR(TIMEVALUE(Table2[[#This Row],[Vào]]),0)</f>
        <v>0.3059722222222222</v>
      </c>
      <c r="Z118" s="10">
        <f>IFERROR(TIMEVALUE(Table2[[#This Row],[Ra]]),0)</f>
        <v>0</v>
      </c>
      <c r="AA118" t="str">
        <f t="shared" si="7"/>
        <v>x</v>
      </c>
      <c r="AB118" s="105">
        <f t="shared" si="5"/>
        <v>0</v>
      </c>
      <c r="AC118" s="12" t="str">
        <f>IF(VLOOKUP(A118,Data_NV!$A:$I,7,0)="Không","",IF(OR(AND(Y118=0,Z118=0),AND(Y118&lt;&gt;0,Z118&lt;&gt;0)),"","Quên chấm công"))</f>
        <v/>
      </c>
      <c r="AD118" s="12">
        <f>IF(VLOOKUP(A118,Data_NV!$A:$I,7,0)="Không",0,IF(AND(Y118=0,Z118=0),0,IF(X118&lt;=Z118,0,ROUNDDOWN((X118-Z118)*24*60,0))))</f>
        <v>0</v>
      </c>
      <c r="AE118" s="12">
        <f>IF(VLOOKUP(A118,Data_NV!$A:$I,6,0)="Không",0,IF(Z118&lt;=X118,0,ROUNDDOWN((Z118-X118)*24*60,0)))</f>
        <v>0</v>
      </c>
      <c r="AF118" s="26">
        <f t="shared" si="6"/>
        <v>0</v>
      </c>
      <c r="AG118" s="27" t="str">
        <f>IF(AC118="","",IF(COUNTIFS($AC$3:AC118,"Quên chấm công",$S$3:S118,S118)&gt;3,"Không chấm công do vi phạm quá 3 lần",IF(COUNTIFS($AC$3:AC118,"Quên chấm công",$S$3:S118,S118)&gt;2,"Trừ toàn bộ chuyên cần tháng do vi phạm lần 3",IF(COUNTIFS($AC$3:AC118,"Quên chấm công",$S$3:S118,S118)&gt;1,"Trừ 1/2 ngày lương",50000))))</f>
        <v/>
      </c>
      <c r="AH118" s="12" t="str">
        <f>IF(AF118=0,"",IF(COUNTIFS($AF$3:AF118,"&gt;0",$S$3:S118,S118)&gt;3,"Trừ toàn bộ chuyên cần tháng",""))</f>
        <v/>
      </c>
      <c r="AI118" s="12"/>
    </row>
    <row r="119" spans="1:35" x14ac:dyDescent="0.25">
      <c r="A119" s="4" t="s">
        <v>172</v>
      </c>
      <c r="B119" s="1" t="s">
        <v>173</v>
      </c>
      <c r="C119" s="1" t="s">
        <v>20</v>
      </c>
      <c r="D119" s="1" t="s">
        <v>125</v>
      </c>
      <c r="E119" s="1" t="s">
        <v>22</v>
      </c>
      <c r="F119" s="1" t="s">
        <v>23</v>
      </c>
      <c r="G119" s="1" t="s">
        <v>12</v>
      </c>
      <c r="H119" s="1" t="s">
        <v>195</v>
      </c>
      <c r="I119" s="1" t="s">
        <v>24</v>
      </c>
      <c r="J119" s="1" t="s">
        <v>25</v>
      </c>
      <c r="K119" s="1" t="s">
        <v>25</v>
      </c>
      <c r="L119" s="1" t="s">
        <v>26</v>
      </c>
      <c r="M119" s="1" t="s">
        <v>25</v>
      </c>
      <c r="N119" s="1" t="s">
        <v>25</v>
      </c>
      <c r="O119" s="1" t="s">
        <v>25</v>
      </c>
      <c r="P119" s="1" t="s">
        <v>25</v>
      </c>
      <c r="Q119" s="1" t="s">
        <v>25</v>
      </c>
      <c r="R119" s="85" t="str">
        <f t="shared" si="4"/>
        <v>1245927</v>
      </c>
      <c r="S119" t="str">
        <f>VLOOKUP(A119,Data_NV!$A:$C,3,0)</f>
        <v xml:space="preserve"> Hoàng Đức Thanh    </v>
      </c>
      <c r="T119" t="str">
        <f>VLOOKUP(A119,Data_NV!$A:$E,4,0)</f>
        <v>Vận Hành</v>
      </c>
      <c r="U119" s="82">
        <f>DATEVALUE(Table2[[#This Row],[Ngày]])</f>
        <v>45927</v>
      </c>
      <c r="V119" t="str">
        <f>VLOOKUP(A119,Data_NV!$A:$E,5,0)</f>
        <v>Đang làm việc</v>
      </c>
      <c r="W119" s="10">
        <f>VLOOKUP(A119,Data_NV!$A:$I,8,0)</f>
        <v>0.3125</v>
      </c>
      <c r="X119" s="10">
        <f>VLOOKUP(A119,Data_NV!$A:$I,9,0)</f>
        <v>0.6875</v>
      </c>
      <c r="Y119" s="10">
        <f>IFERROR(TIMEVALUE(Table2[[#This Row],[Vào]]),0)</f>
        <v>0.29939814814814814</v>
      </c>
      <c r="Z119" s="10">
        <f>IFERROR(TIMEVALUE(Table2[[#This Row],[Ra]]),0)</f>
        <v>0</v>
      </c>
      <c r="AA119" s="100" t="s">
        <v>1355</v>
      </c>
      <c r="AB119" s="105">
        <f t="shared" si="5"/>
        <v>0</v>
      </c>
      <c r="AC119" s="12" t="str">
        <f>IF(VLOOKUP(A119,Data_NV!$A:$I,7,0)="Không","",IF(OR(AND(Y119=0,Z119=0),AND(Y119&lt;&gt;0,Z119&lt;&gt;0)),"","Quên chấm công"))</f>
        <v/>
      </c>
      <c r="AD119" s="12">
        <f>IF(VLOOKUP(A119,Data_NV!$A:$I,7,0)="Không",0,IF(AND(Y119=0,Z119=0),0,IF(X119&lt;=Z119,0,ROUNDDOWN((X119-Z119)*24*60,0))))</f>
        <v>0</v>
      </c>
      <c r="AE119" s="12">
        <f>IF(VLOOKUP(A119,Data_NV!$A:$I,6,0)="Không",0,IF(Z119&lt;=X119,0,ROUNDDOWN((Z119-X119)*24*60,0)))</f>
        <v>0</v>
      </c>
      <c r="AF119" s="26">
        <f t="shared" si="6"/>
        <v>0</v>
      </c>
      <c r="AG119" s="27" t="str">
        <f>IF(AC119="","",IF(COUNTIFS($AC$3:AC119,"Quên chấm công",$S$3:S119,S119)&gt;3,"Không chấm công do vi phạm quá 3 lần",IF(COUNTIFS($AC$3:AC119,"Quên chấm công",$S$3:S119,S119)&gt;2,"Trừ toàn bộ chuyên cần tháng do vi phạm lần 3",IF(COUNTIFS($AC$3:AC119,"Quên chấm công",$S$3:S119,S119)&gt;1,"Trừ 1/2 ngày lương",50000))))</f>
        <v/>
      </c>
      <c r="AH119" s="12" t="str">
        <f>IF(AF119=0,"",IF(COUNTIFS($AF$3:AF119,"&gt;0",$S$3:S119,S119)&gt;3,"Trừ toàn bộ chuyên cần tháng",""))</f>
        <v/>
      </c>
      <c r="AI119" s="12" t="s">
        <v>1391</v>
      </c>
    </row>
    <row r="120" spans="1:35" x14ac:dyDescent="0.25">
      <c r="A120" s="4" t="s">
        <v>172</v>
      </c>
      <c r="B120" s="1" t="s">
        <v>173</v>
      </c>
      <c r="C120" s="1" t="s">
        <v>20</v>
      </c>
      <c r="D120" s="1" t="s">
        <v>130</v>
      </c>
      <c r="E120" s="1" t="s">
        <v>22</v>
      </c>
      <c r="F120" s="1" t="s">
        <v>23</v>
      </c>
      <c r="G120" s="1" t="s">
        <v>12</v>
      </c>
      <c r="H120" s="1" t="s">
        <v>24</v>
      </c>
      <c r="I120" s="1" t="s">
        <v>24</v>
      </c>
      <c r="J120" s="1" t="s">
        <v>25</v>
      </c>
      <c r="K120" s="1" t="s">
        <v>25</v>
      </c>
      <c r="L120" s="1" t="s">
        <v>26</v>
      </c>
      <c r="M120" s="1" t="s">
        <v>25</v>
      </c>
      <c r="N120" s="1" t="s">
        <v>25</v>
      </c>
      <c r="O120" s="1" t="s">
        <v>25</v>
      </c>
      <c r="P120" s="1" t="s">
        <v>25</v>
      </c>
      <c r="Q120" s="1" t="s">
        <v>25</v>
      </c>
      <c r="R120" s="85" t="str">
        <f t="shared" si="4"/>
        <v>1245928</v>
      </c>
      <c r="S120" t="str">
        <f>VLOOKUP(A120,Data_NV!$A:$C,3,0)</f>
        <v xml:space="preserve"> Hoàng Đức Thanh    </v>
      </c>
      <c r="T120" t="str">
        <f>VLOOKUP(A120,Data_NV!$A:$E,4,0)</f>
        <v>Vận Hành</v>
      </c>
      <c r="U120" s="82">
        <f>DATEVALUE(Table2[[#This Row],[Ngày]])</f>
        <v>45928</v>
      </c>
      <c r="V120" t="str">
        <f>VLOOKUP(A120,Data_NV!$A:$E,5,0)</f>
        <v>Đang làm việc</v>
      </c>
      <c r="W120" s="10">
        <f>VLOOKUP(A120,Data_NV!$A:$I,8,0)</f>
        <v>0.3125</v>
      </c>
      <c r="X120" s="10">
        <f>VLOOKUP(A120,Data_NV!$A:$I,9,0)</f>
        <v>0.6875</v>
      </c>
      <c r="Y120" s="10">
        <f>IFERROR(TIMEVALUE(Table2[[#This Row],[Vào]]),0)</f>
        <v>0</v>
      </c>
      <c r="Z120" s="10">
        <f>IFERROR(TIMEVALUE(Table2[[#This Row],[Ra]]),0)</f>
        <v>0</v>
      </c>
      <c r="AA120" t="str">
        <f t="shared" si="7"/>
        <v>Chủ nhật</v>
      </c>
      <c r="AB120" s="105">
        <f t="shared" si="5"/>
        <v>0</v>
      </c>
      <c r="AC120" s="12" t="str">
        <f>IF(VLOOKUP(A120,Data_NV!$A:$I,7,0)="Không","",IF(OR(AND(Y120=0,Z120=0),AND(Y120&lt;&gt;0,Z120&lt;&gt;0)),"","Quên chấm công"))</f>
        <v/>
      </c>
      <c r="AD120" s="12">
        <f>IF(VLOOKUP(A120,Data_NV!$A:$I,7,0)="Không",0,IF(AND(Y120=0,Z120=0),0,IF(X120&lt;=Z120,0,ROUNDDOWN((X120-Z120)*24*60,0))))</f>
        <v>0</v>
      </c>
      <c r="AE120" s="12">
        <f>IF(VLOOKUP(A120,Data_NV!$A:$I,6,0)="Không",0,IF(Z120&lt;=X120,0,ROUNDDOWN((Z120-X120)*24*60,0)))</f>
        <v>0</v>
      </c>
      <c r="AF120" s="26">
        <f t="shared" si="6"/>
        <v>0</v>
      </c>
      <c r="AG120" s="27" t="str">
        <f>IF(AC120="","",IF(COUNTIFS($AC$3:AC120,"Quên chấm công",$S$3:S120,S120)&gt;3,"Không chấm công do vi phạm quá 3 lần",IF(COUNTIFS($AC$3:AC120,"Quên chấm công",$S$3:S120,S120)&gt;2,"Trừ toàn bộ chuyên cần tháng do vi phạm lần 3",IF(COUNTIFS($AC$3:AC120,"Quên chấm công",$S$3:S120,S120)&gt;1,"Trừ 1/2 ngày lương",50000))))</f>
        <v/>
      </c>
      <c r="AH120" s="12" t="str">
        <f>IF(AF120=0,"",IF(COUNTIFS($AF$3:AF120,"&gt;0",$S$3:S120,S120)&gt;3,"Trừ toàn bộ chuyên cần tháng",""))</f>
        <v/>
      </c>
      <c r="AI120" s="12"/>
    </row>
    <row r="121" spans="1:35" x14ac:dyDescent="0.25">
      <c r="A121" s="4" t="s">
        <v>172</v>
      </c>
      <c r="B121" s="1" t="s">
        <v>173</v>
      </c>
      <c r="C121" s="1" t="s">
        <v>20</v>
      </c>
      <c r="D121" s="1" t="s">
        <v>131</v>
      </c>
      <c r="E121" s="1" t="s">
        <v>22</v>
      </c>
      <c r="F121" s="1" t="s">
        <v>23</v>
      </c>
      <c r="G121" s="1" t="s">
        <v>12</v>
      </c>
      <c r="H121" s="1" t="s">
        <v>196</v>
      </c>
      <c r="I121" s="1" t="s">
        <v>24</v>
      </c>
      <c r="J121" s="1" t="s">
        <v>25</v>
      </c>
      <c r="K121" s="1" t="s">
        <v>25</v>
      </c>
      <c r="L121" s="1" t="s">
        <v>26</v>
      </c>
      <c r="M121" s="1" t="s">
        <v>25</v>
      </c>
      <c r="N121" s="1" t="s">
        <v>25</v>
      </c>
      <c r="O121" s="1" t="s">
        <v>25</v>
      </c>
      <c r="P121" s="1" t="s">
        <v>25</v>
      </c>
      <c r="Q121" s="1" t="s">
        <v>25</v>
      </c>
      <c r="R121" s="85" t="str">
        <f t="shared" si="4"/>
        <v>1245929</v>
      </c>
      <c r="S121" t="str">
        <f>VLOOKUP(A121,Data_NV!$A:$C,3,0)</f>
        <v xml:space="preserve"> Hoàng Đức Thanh    </v>
      </c>
      <c r="T121" t="str">
        <f>VLOOKUP(A121,Data_NV!$A:$E,4,0)</f>
        <v>Vận Hành</v>
      </c>
      <c r="U121" s="82">
        <f>DATEVALUE(Table2[[#This Row],[Ngày]])</f>
        <v>45929</v>
      </c>
      <c r="V121" t="str">
        <f>VLOOKUP(A121,Data_NV!$A:$E,5,0)</f>
        <v>Đang làm việc</v>
      </c>
      <c r="W121" s="10">
        <f>VLOOKUP(A121,Data_NV!$A:$I,8,0)</f>
        <v>0.3125</v>
      </c>
      <c r="X121" s="10">
        <f>VLOOKUP(A121,Data_NV!$A:$I,9,0)</f>
        <v>0.6875</v>
      </c>
      <c r="Y121" s="10">
        <f>IFERROR(TIMEVALUE(Table2[[#This Row],[Vào]]),0)</f>
        <v>0.3102199074074074</v>
      </c>
      <c r="Z121" s="10">
        <f>IFERROR(TIMEVALUE(Table2[[#This Row],[Ra]]),0)</f>
        <v>0</v>
      </c>
      <c r="AA121" t="str">
        <f t="shared" si="7"/>
        <v>x</v>
      </c>
      <c r="AB121" s="105">
        <f t="shared" si="5"/>
        <v>0</v>
      </c>
      <c r="AC121" s="12" t="str">
        <f>IF(VLOOKUP(A121,Data_NV!$A:$I,7,0)="Không","",IF(OR(AND(Y121=0,Z121=0),AND(Y121&lt;&gt;0,Z121&lt;&gt;0)),"","Quên chấm công"))</f>
        <v/>
      </c>
      <c r="AD121" s="12">
        <f>IF(VLOOKUP(A121,Data_NV!$A:$I,7,0)="Không",0,IF(AND(Y121=0,Z121=0),0,IF(X121&lt;=Z121,0,ROUNDDOWN((X121-Z121)*24*60,0))))</f>
        <v>0</v>
      </c>
      <c r="AE121" s="12">
        <f>IF(VLOOKUP(A121,Data_NV!$A:$I,6,0)="Không",0,IF(Z121&lt;=X121,0,ROUNDDOWN((Z121-X121)*24*60,0)))</f>
        <v>0</v>
      </c>
      <c r="AF121" s="26">
        <f t="shared" si="6"/>
        <v>0</v>
      </c>
      <c r="AG121" s="27" t="str">
        <f>IF(AC121="","",IF(COUNTIFS($AC$3:AC121,"Quên chấm công",$S$3:S121,S121)&gt;3,"Không chấm công do vi phạm quá 3 lần",IF(COUNTIFS($AC$3:AC121,"Quên chấm công",$S$3:S121,S121)&gt;2,"Trừ toàn bộ chuyên cần tháng do vi phạm lần 3",IF(COUNTIFS($AC$3:AC121,"Quên chấm công",$S$3:S121,S121)&gt;1,"Trừ 1/2 ngày lương",50000))))</f>
        <v/>
      </c>
      <c r="AH121" s="12" t="str">
        <f>IF(AF121=0,"",IF(COUNTIFS($AF$3:AF121,"&gt;0",$S$3:S121,S121)&gt;3,"Trừ toàn bộ chuyên cần tháng",""))</f>
        <v/>
      </c>
      <c r="AI121" s="12"/>
    </row>
    <row r="122" spans="1:35" x14ac:dyDescent="0.25">
      <c r="A122" s="4" t="s">
        <v>172</v>
      </c>
      <c r="B122" s="1" t="s">
        <v>173</v>
      </c>
      <c r="C122" s="1" t="s">
        <v>20</v>
      </c>
      <c r="D122" s="1" t="s">
        <v>136</v>
      </c>
      <c r="E122" s="1" t="s">
        <v>22</v>
      </c>
      <c r="F122" s="1" t="s">
        <v>23</v>
      </c>
      <c r="G122" s="1" t="s">
        <v>12</v>
      </c>
      <c r="H122" s="1" t="s">
        <v>197</v>
      </c>
      <c r="I122" s="1" t="s">
        <v>24</v>
      </c>
      <c r="J122" s="1" t="s">
        <v>25</v>
      </c>
      <c r="K122" s="1" t="s">
        <v>25</v>
      </c>
      <c r="L122" s="1" t="s">
        <v>26</v>
      </c>
      <c r="M122" s="1" t="s">
        <v>25</v>
      </c>
      <c r="N122" s="1" t="s">
        <v>25</v>
      </c>
      <c r="O122" s="1" t="s">
        <v>25</v>
      </c>
      <c r="P122" s="1" t="s">
        <v>25</v>
      </c>
      <c r="Q122" s="1" t="s">
        <v>25</v>
      </c>
      <c r="R122" s="85" t="str">
        <f t="shared" si="4"/>
        <v>1245930</v>
      </c>
      <c r="S122" t="str">
        <f>VLOOKUP(A122,Data_NV!$A:$C,3,0)</f>
        <v xml:space="preserve"> Hoàng Đức Thanh    </v>
      </c>
      <c r="T122" t="str">
        <f>VLOOKUP(A122,Data_NV!$A:$E,4,0)</f>
        <v>Vận Hành</v>
      </c>
      <c r="U122" s="82">
        <f>DATEVALUE(Table2[[#This Row],[Ngày]])</f>
        <v>45930</v>
      </c>
      <c r="V122" t="str">
        <f>VLOOKUP(A122,Data_NV!$A:$E,5,0)</f>
        <v>Đang làm việc</v>
      </c>
      <c r="W122" s="10">
        <f>VLOOKUP(A122,Data_NV!$A:$I,8,0)</f>
        <v>0.3125</v>
      </c>
      <c r="X122" s="10">
        <f>VLOOKUP(A122,Data_NV!$A:$I,9,0)</f>
        <v>0.6875</v>
      </c>
      <c r="Y122" s="10">
        <f>IFERROR(TIMEVALUE(Table2[[#This Row],[Vào]]),0)</f>
        <v>0.29749999999999999</v>
      </c>
      <c r="Z122" s="10">
        <f>IFERROR(TIMEVALUE(Table2[[#This Row],[Ra]]),0)</f>
        <v>0</v>
      </c>
      <c r="AA122" t="str">
        <f t="shared" si="7"/>
        <v>x</v>
      </c>
      <c r="AB122" s="105">
        <f t="shared" si="5"/>
        <v>0</v>
      </c>
      <c r="AC122" s="12" t="str">
        <f>IF(VLOOKUP(A122,Data_NV!$A:$I,7,0)="Không","",IF(OR(AND(Y122=0,Z122=0),AND(Y122&lt;&gt;0,Z122&lt;&gt;0)),"","Quên chấm công"))</f>
        <v/>
      </c>
      <c r="AD122" s="12">
        <f>IF(VLOOKUP(A122,Data_NV!$A:$I,7,0)="Không",0,IF(AND(Y122=0,Z122=0),0,IF(X122&lt;=Z122,0,ROUNDDOWN((X122-Z122)*24*60,0))))</f>
        <v>0</v>
      </c>
      <c r="AE122" s="12">
        <f>IF(VLOOKUP(A122,Data_NV!$A:$I,6,0)="Không",0,IF(Z122&lt;=X122,0,ROUNDDOWN((Z122-X122)*24*60,0)))</f>
        <v>0</v>
      </c>
      <c r="AF122" s="26">
        <f t="shared" si="6"/>
        <v>0</v>
      </c>
      <c r="AG122" s="27" t="str">
        <f>IF(AC122="","",IF(COUNTIFS($AC$3:AC122,"Quên chấm công",$S$3:S122,S122)&gt;3,"Không chấm công do vi phạm quá 3 lần",IF(COUNTIFS($AC$3:AC122,"Quên chấm công",$S$3:S122,S122)&gt;2,"Trừ toàn bộ chuyên cần tháng do vi phạm lần 3",IF(COUNTIFS($AC$3:AC122,"Quên chấm công",$S$3:S122,S122)&gt;1,"Trừ 1/2 ngày lương",50000))))</f>
        <v/>
      </c>
      <c r="AH122" s="12" t="str">
        <f>IF(AF122=0,"",IF(COUNTIFS($AF$3:AF122,"&gt;0",$S$3:S122,S122)&gt;3,"Trừ toàn bộ chuyên cần tháng",""))</f>
        <v/>
      </c>
      <c r="AI122" s="12"/>
    </row>
    <row r="123" spans="1:35" x14ac:dyDescent="0.25">
      <c r="A123" s="4" t="s">
        <v>198</v>
      </c>
      <c r="B123" s="1" t="s">
        <v>199</v>
      </c>
      <c r="C123" s="1" t="s">
        <v>20</v>
      </c>
      <c r="D123" s="1" t="s">
        <v>21</v>
      </c>
      <c r="E123" s="1" t="s">
        <v>22</v>
      </c>
      <c r="F123" s="1" t="s">
        <v>23</v>
      </c>
      <c r="G123" s="1" t="s">
        <v>12</v>
      </c>
      <c r="H123" s="1" t="s">
        <v>24</v>
      </c>
      <c r="I123" s="1" t="s">
        <v>24</v>
      </c>
      <c r="J123" s="1" t="s">
        <v>25</v>
      </c>
      <c r="K123" s="1" t="s">
        <v>25</v>
      </c>
      <c r="L123" s="1" t="s">
        <v>26</v>
      </c>
      <c r="M123" s="1" t="s">
        <v>25</v>
      </c>
      <c r="N123" s="1" t="s">
        <v>25</v>
      </c>
      <c r="O123" s="1" t="s">
        <v>25</v>
      </c>
      <c r="P123" s="1" t="s">
        <v>25</v>
      </c>
      <c r="Q123" s="1" t="s">
        <v>25</v>
      </c>
      <c r="R123" s="85" t="str">
        <f t="shared" si="4"/>
        <v>1345901</v>
      </c>
      <c r="S123" t="str">
        <f>VLOOKUP(A123,Data_NV!$A:$C,3,0)</f>
        <v xml:space="preserve"> Nguyễn Quốc Minh   </v>
      </c>
      <c r="T123" t="str">
        <f>VLOOKUP(A123,Data_NV!$A:$E,4,0)</f>
        <v>Vận Hành</v>
      </c>
      <c r="U123" s="82">
        <f>DATEVALUE(Table2[[#This Row],[Ngày]])</f>
        <v>45901</v>
      </c>
      <c r="V123" t="str">
        <f>VLOOKUP(A123,Data_NV!$A:$E,5,0)</f>
        <v>Đang làm việc</v>
      </c>
      <c r="W123" s="10">
        <f>VLOOKUP(A123,Data_NV!$A:$I,8,0)</f>
        <v>0.3125</v>
      </c>
      <c r="X123" s="10">
        <f>VLOOKUP(A123,Data_NV!$A:$I,9,0)</f>
        <v>0.6875</v>
      </c>
      <c r="Y123" s="10">
        <f>IFERROR(TIMEVALUE(Table2[[#This Row],[Vào]]),0)</f>
        <v>0</v>
      </c>
      <c r="Z123" s="10">
        <f>IFERROR(TIMEVALUE(Table2[[#This Row],[Ra]]),0)</f>
        <v>0</v>
      </c>
      <c r="AA123" s="97" t="s">
        <v>1349</v>
      </c>
      <c r="AB123" s="105">
        <f t="shared" si="5"/>
        <v>0</v>
      </c>
      <c r="AC123" s="12" t="str">
        <f>IF(VLOOKUP(A123,Data_NV!$A:$I,7,0)="Không","",IF(OR(AND(Y123=0,Z123=0),AND(Y123&lt;&gt;0,Z123&lt;&gt;0)),"","Quên chấm công"))</f>
        <v/>
      </c>
      <c r="AD123" s="12">
        <f>IF(VLOOKUP(A123,Data_NV!$A:$I,7,0)="Không",0,IF(AND(Y123=0,Z123=0),0,IF(X123&lt;=Z123,0,ROUNDDOWN((X123-Z123)*24*60,0))))</f>
        <v>0</v>
      </c>
      <c r="AE123" s="12">
        <f>IF(VLOOKUP(A123,Data_NV!$A:$I,6,0)="Không",0,IF(Z123&lt;=X123,0,ROUNDDOWN((Z123-X123)*24*60,0)))</f>
        <v>0</v>
      </c>
      <c r="AF123" s="26">
        <f t="shared" si="6"/>
        <v>0</v>
      </c>
      <c r="AG123" s="27" t="str">
        <f>IF(AC123="","",IF(COUNTIFS($AC$3:AC123,"Quên chấm công",$S$3:S123,S123)&gt;3,"Không chấm công do vi phạm quá 3 lần",IF(COUNTIFS($AC$3:AC123,"Quên chấm công",$S$3:S123,S123)&gt;2,"Trừ toàn bộ chuyên cần tháng do vi phạm lần 3",IF(COUNTIFS($AC$3:AC123,"Quên chấm công",$S$3:S123,S123)&gt;1,"Trừ 1/2 ngày lương",50000))))</f>
        <v/>
      </c>
      <c r="AH123" s="12" t="str">
        <f>IF(AF123=0,"",IF(COUNTIFS($AF$3:AF123,"&gt;0",$S$3:S123,S123)&gt;3,"Trừ toàn bộ chuyên cần tháng",""))</f>
        <v/>
      </c>
      <c r="AI123" s="98" t="s">
        <v>1369</v>
      </c>
    </row>
    <row r="124" spans="1:35" x14ac:dyDescent="0.25">
      <c r="A124" s="4" t="s">
        <v>198</v>
      </c>
      <c r="B124" s="1" t="s">
        <v>199</v>
      </c>
      <c r="C124" s="1" t="s">
        <v>20</v>
      </c>
      <c r="D124" s="1" t="s">
        <v>27</v>
      </c>
      <c r="E124" s="1" t="s">
        <v>22</v>
      </c>
      <c r="F124" s="1" t="s">
        <v>23</v>
      </c>
      <c r="G124" s="1" t="s">
        <v>12</v>
      </c>
      <c r="H124" s="1" t="s">
        <v>24</v>
      </c>
      <c r="I124" s="1" t="s">
        <v>24</v>
      </c>
      <c r="J124" s="1" t="s">
        <v>25</v>
      </c>
      <c r="K124" s="1" t="s">
        <v>25</v>
      </c>
      <c r="L124" s="1" t="s">
        <v>26</v>
      </c>
      <c r="M124" s="1" t="s">
        <v>25</v>
      </c>
      <c r="N124" s="1" t="s">
        <v>25</v>
      </c>
      <c r="O124" s="1" t="s">
        <v>25</v>
      </c>
      <c r="P124" s="1" t="s">
        <v>25</v>
      </c>
      <c r="Q124" s="1" t="s">
        <v>25</v>
      </c>
      <c r="R124" s="85" t="str">
        <f t="shared" si="4"/>
        <v>1345902</v>
      </c>
      <c r="S124" t="str">
        <f>VLOOKUP(A124,Data_NV!$A:$C,3,0)</f>
        <v xml:space="preserve"> Nguyễn Quốc Minh   </v>
      </c>
      <c r="T124" t="str">
        <f>VLOOKUP(A124,Data_NV!$A:$E,4,0)</f>
        <v>Vận Hành</v>
      </c>
      <c r="U124" s="82">
        <f>DATEVALUE(Table2[[#This Row],[Ngày]])</f>
        <v>45902</v>
      </c>
      <c r="V124" t="str">
        <f>VLOOKUP(A124,Data_NV!$A:$E,5,0)</f>
        <v>Đang làm việc</v>
      </c>
      <c r="W124" s="10">
        <f>VLOOKUP(A124,Data_NV!$A:$I,8,0)</f>
        <v>0.3125</v>
      </c>
      <c r="X124" s="10">
        <f>VLOOKUP(A124,Data_NV!$A:$I,9,0)</f>
        <v>0.6875</v>
      </c>
      <c r="Y124" s="10">
        <f>IFERROR(TIMEVALUE(Table2[[#This Row],[Vào]]),0)</f>
        <v>0</v>
      </c>
      <c r="Z124" s="10">
        <f>IFERROR(TIMEVALUE(Table2[[#This Row],[Ra]]),0)</f>
        <v>0</v>
      </c>
      <c r="AA124" s="97" t="s">
        <v>1349</v>
      </c>
      <c r="AB124" s="105">
        <f t="shared" si="5"/>
        <v>0</v>
      </c>
      <c r="AC124" s="12" t="str">
        <f>IF(VLOOKUP(A124,Data_NV!$A:$I,7,0)="Không","",IF(OR(AND(Y124=0,Z124=0),AND(Y124&lt;&gt;0,Z124&lt;&gt;0)),"","Quên chấm công"))</f>
        <v/>
      </c>
      <c r="AD124" s="12">
        <f>IF(VLOOKUP(A124,Data_NV!$A:$I,7,0)="Không",0,IF(AND(Y124=0,Z124=0),0,IF(X124&lt;=Z124,0,ROUNDDOWN((X124-Z124)*24*60,0))))</f>
        <v>0</v>
      </c>
      <c r="AE124" s="12">
        <f>IF(VLOOKUP(A124,Data_NV!$A:$I,6,0)="Không",0,IF(Z124&lt;=X124,0,ROUNDDOWN((Z124-X124)*24*60,0)))</f>
        <v>0</v>
      </c>
      <c r="AF124" s="26">
        <f t="shared" si="6"/>
        <v>0</v>
      </c>
      <c r="AG124" s="27" t="str">
        <f>IF(AC124="","",IF(COUNTIFS($AC$3:AC124,"Quên chấm công",$S$3:S124,S124)&gt;3,"Không chấm công do vi phạm quá 3 lần",IF(COUNTIFS($AC$3:AC124,"Quên chấm công",$S$3:S124,S124)&gt;2,"Trừ toàn bộ chuyên cần tháng do vi phạm lần 3",IF(COUNTIFS($AC$3:AC124,"Quên chấm công",$S$3:S124,S124)&gt;1,"Trừ 1/2 ngày lương",50000))))</f>
        <v/>
      </c>
      <c r="AH124" s="12" t="str">
        <f>IF(AF124=0,"",IF(COUNTIFS($AF$3:AF124,"&gt;0",$S$3:S124,S124)&gt;3,"Trừ toàn bộ chuyên cần tháng",""))</f>
        <v/>
      </c>
      <c r="AI124" s="98" t="s">
        <v>1369</v>
      </c>
    </row>
    <row r="125" spans="1:35" x14ac:dyDescent="0.25">
      <c r="A125" s="4" t="s">
        <v>198</v>
      </c>
      <c r="B125" s="1" t="s">
        <v>199</v>
      </c>
      <c r="C125" s="1" t="s">
        <v>20</v>
      </c>
      <c r="D125" s="1" t="s">
        <v>28</v>
      </c>
      <c r="E125" s="1" t="s">
        <v>22</v>
      </c>
      <c r="F125" s="1" t="s">
        <v>23</v>
      </c>
      <c r="G125" s="1" t="s">
        <v>12</v>
      </c>
      <c r="H125" s="1" t="s">
        <v>200</v>
      </c>
      <c r="I125" s="1" t="s">
        <v>24</v>
      </c>
      <c r="J125" s="1" t="s">
        <v>25</v>
      </c>
      <c r="K125" s="1" t="s">
        <v>25</v>
      </c>
      <c r="L125" s="1" t="s">
        <v>26</v>
      </c>
      <c r="M125" s="1" t="s">
        <v>25</v>
      </c>
      <c r="N125" s="1" t="s">
        <v>25</v>
      </c>
      <c r="O125" s="1" t="s">
        <v>25</v>
      </c>
      <c r="P125" s="1" t="s">
        <v>25</v>
      </c>
      <c r="Q125" s="1" t="s">
        <v>25</v>
      </c>
      <c r="R125" s="85" t="str">
        <f t="shared" si="4"/>
        <v>1345903</v>
      </c>
      <c r="S125" t="str">
        <f>VLOOKUP(A125,Data_NV!$A:$C,3,0)</f>
        <v xml:space="preserve"> Nguyễn Quốc Minh   </v>
      </c>
      <c r="T125" t="str">
        <f>VLOOKUP(A125,Data_NV!$A:$E,4,0)</f>
        <v>Vận Hành</v>
      </c>
      <c r="U125" s="82">
        <f>DATEVALUE(Table2[[#This Row],[Ngày]])</f>
        <v>45903</v>
      </c>
      <c r="V125" t="str">
        <f>VLOOKUP(A125,Data_NV!$A:$E,5,0)</f>
        <v>Đang làm việc</v>
      </c>
      <c r="W125" s="10">
        <f>VLOOKUP(A125,Data_NV!$A:$I,8,0)</f>
        <v>0.3125</v>
      </c>
      <c r="X125" s="10">
        <f>VLOOKUP(A125,Data_NV!$A:$I,9,0)</f>
        <v>0.6875</v>
      </c>
      <c r="Y125" s="10">
        <f>IFERROR(TIMEVALUE(Table2[[#This Row],[Vào]]),0)</f>
        <v>0.29524305555555558</v>
      </c>
      <c r="Z125" s="10">
        <f>IFERROR(TIMEVALUE(Table2[[#This Row],[Ra]]),0)</f>
        <v>0</v>
      </c>
      <c r="AA125" t="str">
        <f t="shared" si="7"/>
        <v>x</v>
      </c>
      <c r="AB125" s="105">
        <f t="shared" si="5"/>
        <v>0</v>
      </c>
      <c r="AC125" s="12" t="str">
        <f>IF(VLOOKUP(A125,Data_NV!$A:$I,7,0)="Không","",IF(OR(AND(Y125=0,Z125=0),AND(Y125&lt;&gt;0,Z125&lt;&gt;0)),"","Quên chấm công"))</f>
        <v/>
      </c>
      <c r="AD125" s="12">
        <f>IF(VLOOKUP(A125,Data_NV!$A:$I,7,0)="Không",0,IF(AND(Y125=0,Z125=0),0,IF(X125&lt;=Z125,0,ROUNDDOWN((X125-Z125)*24*60,0))))</f>
        <v>0</v>
      </c>
      <c r="AE125" s="12">
        <f>IF(VLOOKUP(A125,Data_NV!$A:$I,6,0)="Không",0,IF(Z125&lt;=X125,0,ROUNDDOWN((Z125-X125)*24*60,0)))</f>
        <v>0</v>
      </c>
      <c r="AF125" s="26">
        <f t="shared" si="6"/>
        <v>0</v>
      </c>
      <c r="AG125" s="27" t="str">
        <f>IF(AC125="","",IF(COUNTIFS($AC$3:AC125,"Quên chấm công",$S$3:S125,S125)&gt;3,"Không chấm công do vi phạm quá 3 lần",IF(COUNTIFS($AC$3:AC125,"Quên chấm công",$S$3:S125,S125)&gt;2,"Trừ toàn bộ chuyên cần tháng do vi phạm lần 3",IF(COUNTIFS($AC$3:AC125,"Quên chấm công",$S$3:S125,S125)&gt;1,"Trừ 1/2 ngày lương",50000))))</f>
        <v/>
      </c>
      <c r="AH125" s="12" t="str">
        <f>IF(AF125=0,"",IF(COUNTIFS($AF$3:AF125,"&gt;0",$S$3:S125,S125)&gt;3,"Trừ toàn bộ chuyên cần tháng",""))</f>
        <v/>
      </c>
      <c r="AI125" s="12"/>
    </row>
    <row r="126" spans="1:35" x14ac:dyDescent="0.25">
      <c r="A126" s="4" t="s">
        <v>198</v>
      </c>
      <c r="B126" s="1" t="s">
        <v>199</v>
      </c>
      <c r="C126" s="1" t="s">
        <v>20</v>
      </c>
      <c r="D126" s="1" t="s">
        <v>35</v>
      </c>
      <c r="E126" s="1" t="s">
        <v>22</v>
      </c>
      <c r="F126" s="1" t="s">
        <v>23</v>
      </c>
      <c r="G126" s="1" t="s">
        <v>12</v>
      </c>
      <c r="H126" s="1" t="s">
        <v>24</v>
      </c>
      <c r="I126" s="1" t="s">
        <v>24</v>
      </c>
      <c r="J126" s="1" t="s">
        <v>25</v>
      </c>
      <c r="K126" s="1" t="s">
        <v>25</v>
      </c>
      <c r="L126" s="1" t="s">
        <v>26</v>
      </c>
      <c r="M126" s="1" t="s">
        <v>25</v>
      </c>
      <c r="N126" s="1" t="s">
        <v>25</v>
      </c>
      <c r="O126" s="1" t="s">
        <v>25</v>
      </c>
      <c r="P126" s="1" t="s">
        <v>25</v>
      </c>
      <c r="Q126" s="1" t="s">
        <v>25</v>
      </c>
      <c r="R126" s="85" t="str">
        <f t="shared" si="4"/>
        <v>1345904</v>
      </c>
      <c r="S126" t="str">
        <f>VLOOKUP(A126,Data_NV!$A:$C,3,0)</f>
        <v xml:space="preserve"> Nguyễn Quốc Minh   </v>
      </c>
      <c r="T126" t="str">
        <f>VLOOKUP(A126,Data_NV!$A:$E,4,0)</f>
        <v>Vận Hành</v>
      </c>
      <c r="U126" s="82">
        <f>DATEVALUE(Table2[[#This Row],[Ngày]])</f>
        <v>45904</v>
      </c>
      <c r="V126" t="str">
        <f>VLOOKUP(A126,Data_NV!$A:$E,5,0)</f>
        <v>Đang làm việc</v>
      </c>
      <c r="W126" s="10">
        <f>VLOOKUP(A126,Data_NV!$A:$I,8,0)</f>
        <v>0.3125</v>
      </c>
      <c r="X126" s="10">
        <f>VLOOKUP(A126,Data_NV!$A:$I,9,0)</f>
        <v>0.6875</v>
      </c>
      <c r="Y126" s="10">
        <f>IFERROR(TIMEVALUE(Table2[[#This Row],[Vào]]),0)</f>
        <v>0</v>
      </c>
      <c r="Z126" s="10">
        <f>IFERROR(TIMEVALUE(Table2[[#This Row],[Ra]]),0)</f>
        <v>0</v>
      </c>
      <c r="AA126" t="s">
        <v>1373</v>
      </c>
      <c r="AB126" s="105">
        <f t="shared" si="5"/>
        <v>0</v>
      </c>
      <c r="AC126" s="12" t="str">
        <f>IF(VLOOKUP(A126,Data_NV!$A:$I,7,0)="Không","",IF(OR(AND(Y126=0,Z126=0),AND(Y126&lt;&gt;0,Z126&lt;&gt;0)),"","Quên chấm công"))</f>
        <v/>
      </c>
      <c r="AD126" s="12">
        <f>IF(VLOOKUP(A126,Data_NV!$A:$I,7,0)="Không",0,IF(AND(Y126=0,Z126=0),0,IF(X126&lt;=Z126,0,ROUNDDOWN((X126-Z126)*24*60,0))))</f>
        <v>0</v>
      </c>
      <c r="AE126" s="12">
        <f>IF(VLOOKUP(A126,Data_NV!$A:$I,6,0)="Không",0,IF(Z126&lt;=X126,0,ROUNDDOWN((Z126-X126)*24*60,0)))</f>
        <v>0</v>
      </c>
      <c r="AF126" s="26">
        <f t="shared" si="6"/>
        <v>0</v>
      </c>
      <c r="AG126" s="27" t="str">
        <f>IF(AC126="","",IF(COUNTIFS($AC$3:AC126,"Quên chấm công",$S$3:S126,S126)&gt;3,"Không chấm công do vi phạm quá 3 lần",IF(COUNTIFS($AC$3:AC126,"Quên chấm công",$S$3:S126,S126)&gt;2,"Trừ toàn bộ chuyên cần tháng do vi phạm lần 3",IF(COUNTIFS($AC$3:AC126,"Quên chấm công",$S$3:S126,S126)&gt;1,"Trừ 1/2 ngày lương",50000))))</f>
        <v/>
      </c>
      <c r="AH126" s="12" t="str">
        <f>IF(AF126=0,"",IF(COUNTIFS($AF$3:AF126,"&gt;0",$S$3:S126,S126)&gt;3,"Trừ toàn bộ chuyên cần tháng",""))</f>
        <v/>
      </c>
      <c r="AI126" s="12" t="s">
        <v>1371</v>
      </c>
    </row>
    <row r="127" spans="1:35" x14ac:dyDescent="0.25">
      <c r="A127" s="4" t="s">
        <v>198</v>
      </c>
      <c r="B127" s="1" t="s">
        <v>199</v>
      </c>
      <c r="C127" s="1" t="s">
        <v>20</v>
      </c>
      <c r="D127" s="1" t="s">
        <v>37</v>
      </c>
      <c r="E127" s="1" t="s">
        <v>22</v>
      </c>
      <c r="F127" s="1" t="s">
        <v>23</v>
      </c>
      <c r="G127" s="1" t="s">
        <v>12</v>
      </c>
      <c r="H127" s="1" t="s">
        <v>201</v>
      </c>
      <c r="I127" s="1" t="s">
        <v>24</v>
      </c>
      <c r="J127" s="1" t="s">
        <v>25</v>
      </c>
      <c r="K127" s="1" t="s">
        <v>25</v>
      </c>
      <c r="L127" s="1" t="s">
        <v>26</v>
      </c>
      <c r="M127" s="1" t="s">
        <v>25</v>
      </c>
      <c r="N127" s="1" t="s">
        <v>25</v>
      </c>
      <c r="O127" s="1" t="s">
        <v>25</v>
      </c>
      <c r="P127" s="1" t="s">
        <v>25</v>
      </c>
      <c r="Q127" s="1" t="s">
        <v>25</v>
      </c>
      <c r="R127" s="85" t="str">
        <f t="shared" si="4"/>
        <v>1345905</v>
      </c>
      <c r="S127" t="str">
        <f>VLOOKUP(A127,Data_NV!$A:$C,3,0)</f>
        <v xml:space="preserve"> Nguyễn Quốc Minh   </v>
      </c>
      <c r="T127" t="str">
        <f>VLOOKUP(A127,Data_NV!$A:$E,4,0)</f>
        <v>Vận Hành</v>
      </c>
      <c r="U127" s="82">
        <f>DATEVALUE(Table2[[#This Row],[Ngày]])</f>
        <v>45905</v>
      </c>
      <c r="V127" t="str">
        <f>VLOOKUP(A127,Data_NV!$A:$E,5,0)</f>
        <v>Đang làm việc</v>
      </c>
      <c r="W127" s="10">
        <f>VLOOKUP(A127,Data_NV!$A:$I,8,0)</f>
        <v>0.3125</v>
      </c>
      <c r="X127" s="10">
        <f>VLOOKUP(A127,Data_NV!$A:$I,9,0)</f>
        <v>0.6875</v>
      </c>
      <c r="Y127" s="10">
        <f>IFERROR(TIMEVALUE(Table2[[#This Row],[Vào]]),0)</f>
        <v>0.31730324074074073</v>
      </c>
      <c r="Z127" s="10">
        <f>IFERROR(TIMEVALUE(Table2[[#This Row],[Ra]]),0)</f>
        <v>0</v>
      </c>
      <c r="AA127" t="str">
        <f t="shared" si="7"/>
        <v>x</v>
      </c>
      <c r="AB127" s="105">
        <f t="shared" si="5"/>
        <v>6.9166666666666554</v>
      </c>
      <c r="AC127" s="12" t="str">
        <f>IF(VLOOKUP(A127,Data_NV!$A:$I,7,0)="Không","",IF(OR(AND(Y127=0,Z127=0),AND(Y127&lt;&gt;0,Z127&lt;&gt;0)),"","Quên chấm công"))</f>
        <v/>
      </c>
      <c r="AD127" s="12">
        <f>IF(VLOOKUP(A127,Data_NV!$A:$I,7,0)="Không",0,IF(AND(Y127=0,Z127=0),0,IF(X127&lt;=Z127,0,ROUNDDOWN((X127-Z127)*24*60,0))))</f>
        <v>0</v>
      </c>
      <c r="AE127" s="12">
        <f>IF(VLOOKUP(A127,Data_NV!$A:$I,6,0)="Không",0,IF(Z127&lt;=X127,0,ROUNDDOWN((Z127-X127)*24*60,0)))</f>
        <v>0</v>
      </c>
      <c r="AF127" s="26">
        <f t="shared" si="6"/>
        <v>30000</v>
      </c>
      <c r="AG127" s="27" t="str">
        <f>IF(AC127="","",IF(COUNTIFS($AC$3:AC127,"Quên chấm công",$S$3:S127,S127)&gt;3,"Không chấm công do vi phạm quá 3 lần",IF(COUNTIFS($AC$3:AC127,"Quên chấm công",$S$3:S127,S127)&gt;2,"Trừ toàn bộ chuyên cần tháng do vi phạm lần 3",IF(COUNTIFS($AC$3:AC127,"Quên chấm công",$S$3:S127,S127)&gt;1,"Trừ 1/2 ngày lương",50000))))</f>
        <v/>
      </c>
      <c r="AH127" s="12" t="str">
        <f>IF(AF127=0,"",IF(COUNTIFS($AF$3:AF127,"&gt;0",$S$3:S127,S127)&gt;3,"Trừ toàn bộ chuyên cần tháng",""))</f>
        <v/>
      </c>
      <c r="AI127" s="12"/>
    </row>
    <row r="128" spans="1:35" x14ac:dyDescent="0.25">
      <c r="A128" s="4" t="s">
        <v>198</v>
      </c>
      <c r="B128" s="1" t="s">
        <v>199</v>
      </c>
      <c r="C128" s="1" t="s">
        <v>20</v>
      </c>
      <c r="D128" s="1" t="s">
        <v>42</v>
      </c>
      <c r="E128" s="1" t="s">
        <v>22</v>
      </c>
      <c r="F128" s="1" t="s">
        <v>23</v>
      </c>
      <c r="G128" s="1" t="s">
        <v>12</v>
      </c>
      <c r="H128" s="1" t="s">
        <v>202</v>
      </c>
      <c r="I128" s="1" t="s">
        <v>24</v>
      </c>
      <c r="J128" s="1" t="s">
        <v>25</v>
      </c>
      <c r="K128" s="1" t="s">
        <v>25</v>
      </c>
      <c r="L128" s="1" t="s">
        <v>26</v>
      </c>
      <c r="M128" s="1" t="s">
        <v>25</v>
      </c>
      <c r="N128" s="1" t="s">
        <v>25</v>
      </c>
      <c r="O128" s="1" t="s">
        <v>25</v>
      </c>
      <c r="P128" s="1" t="s">
        <v>25</v>
      </c>
      <c r="Q128" s="1" t="s">
        <v>25</v>
      </c>
      <c r="R128" s="85" t="str">
        <f t="shared" si="4"/>
        <v>1345906</v>
      </c>
      <c r="S128" t="str">
        <f>VLOOKUP(A128,Data_NV!$A:$C,3,0)</f>
        <v xml:space="preserve"> Nguyễn Quốc Minh   </v>
      </c>
      <c r="T128" t="str">
        <f>VLOOKUP(A128,Data_NV!$A:$E,4,0)</f>
        <v>Vận Hành</v>
      </c>
      <c r="U128" s="82">
        <f>DATEVALUE(Table2[[#This Row],[Ngày]])</f>
        <v>45906</v>
      </c>
      <c r="V128" t="str">
        <f>VLOOKUP(A128,Data_NV!$A:$E,5,0)</f>
        <v>Đang làm việc</v>
      </c>
      <c r="W128" s="10">
        <f>VLOOKUP(A128,Data_NV!$A:$I,8,0)</f>
        <v>0.3125</v>
      </c>
      <c r="X128" s="10">
        <f>VLOOKUP(A128,Data_NV!$A:$I,9,0)</f>
        <v>0.6875</v>
      </c>
      <c r="Y128" s="10">
        <f>IFERROR(TIMEVALUE(Table2[[#This Row],[Vào]]),0)</f>
        <v>0.30052083333333335</v>
      </c>
      <c r="Z128" s="10">
        <f>IFERROR(TIMEVALUE(Table2[[#This Row],[Ra]]),0)</f>
        <v>0</v>
      </c>
      <c r="AA128" t="str">
        <f t="shared" si="7"/>
        <v>x</v>
      </c>
      <c r="AB128" s="105">
        <f t="shared" si="5"/>
        <v>0</v>
      </c>
      <c r="AC128" s="12" t="str">
        <f>IF(VLOOKUP(A128,Data_NV!$A:$I,7,0)="Không","",IF(OR(AND(Y128=0,Z128=0),AND(Y128&lt;&gt;0,Z128&lt;&gt;0)),"","Quên chấm công"))</f>
        <v/>
      </c>
      <c r="AD128" s="12">
        <f>IF(VLOOKUP(A128,Data_NV!$A:$I,7,0)="Không",0,IF(AND(Y128=0,Z128=0),0,IF(X128&lt;=Z128,0,ROUNDDOWN((X128-Z128)*24*60,0))))</f>
        <v>0</v>
      </c>
      <c r="AE128" s="12">
        <f>IF(VLOOKUP(A128,Data_NV!$A:$I,6,0)="Không",0,IF(Z128&lt;=X128,0,ROUNDDOWN((Z128-X128)*24*60,0)))</f>
        <v>0</v>
      </c>
      <c r="AF128" s="26">
        <f t="shared" si="6"/>
        <v>0</v>
      </c>
      <c r="AG128" s="27" t="str">
        <f>IF(AC128="","",IF(COUNTIFS($AC$3:AC128,"Quên chấm công",$S$3:S128,S128)&gt;3,"Không chấm công do vi phạm quá 3 lần",IF(COUNTIFS($AC$3:AC128,"Quên chấm công",$S$3:S128,S128)&gt;2,"Trừ toàn bộ chuyên cần tháng do vi phạm lần 3",IF(COUNTIFS($AC$3:AC128,"Quên chấm công",$S$3:S128,S128)&gt;1,"Trừ 1/2 ngày lương",50000))))</f>
        <v/>
      </c>
      <c r="AH128" s="12" t="str">
        <f>IF(AF128=0,"",IF(COUNTIFS($AF$3:AF128,"&gt;0",$S$3:S128,S128)&gt;3,"Trừ toàn bộ chuyên cần tháng",""))</f>
        <v/>
      </c>
      <c r="AI128" s="12"/>
    </row>
    <row r="129" spans="1:35" x14ac:dyDescent="0.25">
      <c r="A129" s="4" t="s">
        <v>198</v>
      </c>
      <c r="B129" s="1" t="s">
        <v>199</v>
      </c>
      <c r="C129" s="1" t="s">
        <v>20</v>
      </c>
      <c r="D129" s="1" t="s">
        <v>47</v>
      </c>
      <c r="E129" s="1" t="s">
        <v>22</v>
      </c>
      <c r="F129" s="1" t="s">
        <v>23</v>
      </c>
      <c r="G129" s="1" t="s">
        <v>12</v>
      </c>
      <c r="H129" s="1" t="s">
        <v>24</v>
      </c>
      <c r="I129" s="1" t="s">
        <v>24</v>
      </c>
      <c r="J129" s="1" t="s">
        <v>25</v>
      </c>
      <c r="K129" s="1" t="s">
        <v>25</v>
      </c>
      <c r="L129" s="1" t="s">
        <v>26</v>
      </c>
      <c r="M129" s="1" t="s">
        <v>25</v>
      </c>
      <c r="N129" s="1" t="s">
        <v>25</v>
      </c>
      <c r="O129" s="1" t="s">
        <v>25</v>
      </c>
      <c r="P129" s="1" t="s">
        <v>25</v>
      </c>
      <c r="Q129" s="1" t="s">
        <v>25</v>
      </c>
      <c r="R129" s="85" t="str">
        <f t="shared" si="4"/>
        <v>1345907</v>
      </c>
      <c r="S129" t="str">
        <f>VLOOKUP(A129,Data_NV!$A:$C,3,0)</f>
        <v xml:space="preserve"> Nguyễn Quốc Minh   </v>
      </c>
      <c r="T129" t="str">
        <f>VLOOKUP(A129,Data_NV!$A:$E,4,0)</f>
        <v>Vận Hành</v>
      </c>
      <c r="U129" s="82">
        <f>DATEVALUE(Table2[[#This Row],[Ngày]])</f>
        <v>45907</v>
      </c>
      <c r="V129" t="str">
        <f>VLOOKUP(A129,Data_NV!$A:$E,5,0)</f>
        <v>Đang làm việc</v>
      </c>
      <c r="W129" s="10">
        <f>VLOOKUP(A129,Data_NV!$A:$I,8,0)</f>
        <v>0.3125</v>
      </c>
      <c r="X129" s="10">
        <f>VLOOKUP(A129,Data_NV!$A:$I,9,0)</f>
        <v>0.6875</v>
      </c>
      <c r="Y129" s="10">
        <f>IFERROR(TIMEVALUE(Table2[[#This Row],[Vào]]),0)</f>
        <v>0</v>
      </c>
      <c r="Z129" s="10">
        <f>IFERROR(TIMEVALUE(Table2[[#This Row],[Ra]]),0)</f>
        <v>0</v>
      </c>
      <c r="AA129" t="str">
        <f t="shared" si="7"/>
        <v>Chủ nhật</v>
      </c>
      <c r="AB129" s="105">
        <f t="shared" si="5"/>
        <v>0</v>
      </c>
      <c r="AC129" s="12" t="str">
        <f>IF(VLOOKUP(A129,Data_NV!$A:$I,7,0)="Không","",IF(OR(AND(Y129=0,Z129=0),AND(Y129&lt;&gt;0,Z129&lt;&gt;0)),"","Quên chấm công"))</f>
        <v/>
      </c>
      <c r="AD129" s="12">
        <f>IF(VLOOKUP(A129,Data_NV!$A:$I,7,0)="Không",0,IF(AND(Y129=0,Z129=0),0,IF(X129&lt;=Z129,0,ROUNDDOWN((X129-Z129)*24*60,0))))</f>
        <v>0</v>
      </c>
      <c r="AE129" s="12">
        <f>IF(VLOOKUP(A129,Data_NV!$A:$I,6,0)="Không",0,IF(Z129&lt;=X129,0,ROUNDDOWN((Z129-X129)*24*60,0)))</f>
        <v>0</v>
      </c>
      <c r="AF129" s="26">
        <f t="shared" si="6"/>
        <v>0</v>
      </c>
      <c r="AG129" s="27" t="str">
        <f>IF(AC129="","",IF(COUNTIFS($AC$3:AC129,"Quên chấm công",$S$3:S129,S129)&gt;3,"Không chấm công do vi phạm quá 3 lần",IF(COUNTIFS($AC$3:AC129,"Quên chấm công",$S$3:S129,S129)&gt;2,"Trừ toàn bộ chuyên cần tháng do vi phạm lần 3",IF(COUNTIFS($AC$3:AC129,"Quên chấm công",$S$3:S129,S129)&gt;1,"Trừ 1/2 ngày lương",50000))))</f>
        <v/>
      </c>
      <c r="AH129" s="12" t="str">
        <f>IF(AF129=0,"",IF(COUNTIFS($AF$3:AF129,"&gt;0",$S$3:S129,S129)&gt;3,"Trừ toàn bộ chuyên cần tháng",""))</f>
        <v/>
      </c>
      <c r="AI129" s="12"/>
    </row>
    <row r="130" spans="1:35" x14ac:dyDescent="0.25">
      <c r="A130" s="4" t="s">
        <v>198</v>
      </c>
      <c r="B130" s="1" t="s">
        <v>199</v>
      </c>
      <c r="C130" s="1" t="s">
        <v>20</v>
      </c>
      <c r="D130" s="1" t="s">
        <v>48</v>
      </c>
      <c r="E130" s="1" t="s">
        <v>22</v>
      </c>
      <c r="F130" s="1" t="s">
        <v>23</v>
      </c>
      <c r="G130" s="1" t="s">
        <v>12</v>
      </c>
      <c r="H130" s="1" t="s">
        <v>203</v>
      </c>
      <c r="I130" s="1" t="s">
        <v>24</v>
      </c>
      <c r="J130" s="1" t="s">
        <v>25</v>
      </c>
      <c r="K130" s="1" t="s">
        <v>25</v>
      </c>
      <c r="L130" s="1" t="s">
        <v>26</v>
      </c>
      <c r="M130" s="1" t="s">
        <v>25</v>
      </c>
      <c r="N130" s="1" t="s">
        <v>25</v>
      </c>
      <c r="O130" s="1" t="s">
        <v>25</v>
      </c>
      <c r="P130" s="1" t="s">
        <v>25</v>
      </c>
      <c r="Q130" s="1" t="s">
        <v>25</v>
      </c>
      <c r="R130" s="85" t="str">
        <f t="shared" si="4"/>
        <v>1345908</v>
      </c>
      <c r="S130" t="str">
        <f>VLOOKUP(A130,Data_NV!$A:$C,3,0)</f>
        <v xml:space="preserve"> Nguyễn Quốc Minh   </v>
      </c>
      <c r="T130" t="str">
        <f>VLOOKUP(A130,Data_NV!$A:$E,4,0)</f>
        <v>Vận Hành</v>
      </c>
      <c r="U130" s="82">
        <f>DATEVALUE(Table2[[#This Row],[Ngày]])</f>
        <v>45908</v>
      </c>
      <c r="V130" t="str">
        <f>VLOOKUP(A130,Data_NV!$A:$E,5,0)</f>
        <v>Đang làm việc</v>
      </c>
      <c r="W130" s="10">
        <f>VLOOKUP(A130,Data_NV!$A:$I,8,0)</f>
        <v>0.3125</v>
      </c>
      <c r="X130" s="10">
        <f>VLOOKUP(A130,Data_NV!$A:$I,9,0)</f>
        <v>0.6875</v>
      </c>
      <c r="Y130" s="10">
        <f>IFERROR(TIMEVALUE(Table2[[#This Row],[Vào]]),0)</f>
        <v>0.31528935185185186</v>
      </c>
      <c r="Z130" s="10">
        <f>IFERROR(TIMEVALUE(Table2[[#This Row],[Ra]]),0)</f>
        <v>0</v>
      </c>
      <c r="AA130" t="str">
        <f t="shared" si="7"/>
        <v>x</v>
      </c>
      <c r="AB130" s="105">
        <f t="shared" si="5"/>
        <v>4.0166666666666817</v>
      </c>
      <c r="AC130" s="12" t="str">
        <f>IF(VLOOKUP(A130,Data_NV!$A:$I,7,0)="Không","",IF(OR(AND(Y130=0,Z130=0),AND(Y130&lt;&gt;0,Z130&lt;&gt;0)),"","Quên chấm công"))</f>
        <v/>
      </c>
      <c r="AD130" s="12">
        <f>IF(VLOOKUP(A130,Data_NV!$A:$I,7,0)="Không",0,IF(AND(Y130=0,Z130=0),0,IF(X130&lt;=Z130,0,ROUNDDOWN((X130-Z130)*24*60,0))))</f>
        <v>0</v>
      </c>
      <c r="AE130" s="12">
        <f>IF(VLOOKUP(A130,Data_NV!$A:$I,6,0)="Không",0,IF(Z130&lt;=X130,0,ROUNDDOWN((Z130-X130)*24*60,0)))</f>
        <v>0</v>
      </c>
      <c r="AF130" s="26">
        <f t="shared" si="6"/>
        <v>0</v>
      </c>
      <c r="AG130" s="27" t="str">
        <f>IF(AC130="","",IF(COUNTIFS($AC$3:AC130,"Quên chấm công",$S$3:S130,S130)&gt;3,"Không chấm công do vi phạm quá 3 lần",IF(COUNTIFS($AC$3:AC130,"Quên chấm công",$S$3:S130,S130)&gt;2,"Trừ toàn bộ chuyên cần tháng do vi phạm lần 3",IF(COUNTIFS($AC$3:AC130,"Quên chấm công",$S$3:S130,S130)&gt;1,"Trừ 1/2 ngày lương",50000))))</f>
        <v/>
      </c>
      <c r="AH130" s="12" t="str">
        <f>IF(AF130=0,"",IF(COUNTIFS($AF$3:AF130,"&gt;0",$S$3:S130,S130)&gt;3,"Trừ toàn bộ chuyên cần tháng",""))</f>
        <v/>
      </c>
      <c r="AI130" s="12"/>
    </row>
    <row r="131" spans="1:35" x14ac:dyDescent="0.25">
      <c r="A131" s="4" t="s">
        <v>198</v>
      </c>
      <c r="B131" s="1" t="s">
        <v>199</v>
      </c>
      <c r="C131" s="1" t="s">
        <v>20</v>
      </c>
      <c r="D131" s="1" t="s">
        <v>53</v>
      </c>
      <c r="E131" s="1" t="s">
        <v>22</v>
      </c>
      <c r="F131" s="1" t="s">
        <v>23</v>
      </c>
      <c r="G131" s="1" t="s">
        <v>12</v>
      </c>
      <c r="H131" s="1" t="s">
        <v>204</v>
      </c>
      <c r="I131" s="1" t="s">
        <v>24</v>
      </c>
      <c r="J131" s="1" t="s">
        <v>25</v>
      </c>
      <c r="K131" s="1" t="s">
        <v>25</v>
      </c>
      <c r="L131" s="1" t="s">
        <v>26</v>
      </c>
      <c r="M131" s="1" t="s">
        <v>25</v>
      </c>
      <c r="N131" s="1" t="s">
        <v>25</v>
      </c>
      <c r="O131" s="1" t="s">
        <v>25</v>
      </c>
      <c r="P131" s="1" t="s">
        <v>25</v>
      </c>
      <c r="Q131" s="1" t="s">
        <v>25</v>
      </c>
      <c r="R131" s="85" t="str">
        <f t="shared" ref="R131:R194" si="8">A131&amp;U131</f>
        <v>1345909</v>
      </c>
      <c r="S131" t="str">
        <f>VLOOKUP(A131,Data_NV!$A:$C,3,0)</f>
        <v xml:space="preserve"> Nguyễn Quốc Minh   </v>
      </c>
      <c r="T131" t="str">
        <f>VLOOKUP(A131,Data_NV!$A:$E,4,0)</f>
        <v>Vận Hành</v>
      </c>
      <c r="U131" s="82">
        <f>DATEVALUE(Table2[[#This Row],[Ngày]])</f>
        <v>45909</v>
      </c>
      <c r="V131" t="str">
        <f>VLOOKUP(A131,Data_NV!$A:$E,5,0)</f>
        <v>Đang làm việc</v>
      </c>
      <c r="W131" s="10">
        <f>VLOOKUP(A131,Data_NV!$A:$I,8,0)</f>
        <v>0.3125</v>
      </c>
      <c r="X131" s="10">
        <f>VLOOKUP(A131,Data_NV!$A:$I,9,0)</f>
        <v>0.6875</v>
      </c>
      <c r="Y131" s="10">
        <f>IFERROR(TIMEVALUE(Table2[[#This Row],[Vào]]),0)</f>
        <v>0.30600694444444443</v>
      </c>
      <c r="Z131" s="10">
        <f>IFERROR(TIMEVALUE(Table2[[#This Row],[Ra]]),0)</f>
        <v>0</v>
      </c>
      <c r="AA131" t="str">
        <f t="shared" ref="AA131:AA194" si="9">IF(TEXT($U131,"ddd")="CN","Chủ nhật",IF(OR(AND(Y131=0,Z131=0),AG131="Không chấm công do vi phạm quá 3 lần"),"",IF(OR(AG131="Trừ 1/2 ngày lương",AF131="Trừ 1/2 ngày lương",AB131&gt;=60),"1/2","x")))</f>
        <v>x</v>
      </c>
      <c r="AB131" s="105">
        <f t="shared" ref="AB131:AB194" si="10">IF(Y131&lt;=W131,0,(Y131-W131)*24*60)</f>
        <v>0</v>
      </c>
      <c r="AC131" s="12" t="str">
        <f>IF(VLOOKUP(A131,Data_NV!$A:$I,7,0)="Không","",IF(OR(AND(Y131=0,Z131=0),AND(Y131&lt;&gt;0,Z131&lt;&gt;0)),"","Quên chấm công"))</f>
        <v/>
      </c>
      <c r="AD131" s="12">
        <f>IF(VLOOKUP(A131,Data_NV!$A:$I,7,0)="Không",0,IF(AND(Y131=0,Z131=0),0,IF(X131&lt;=Z131,0,ROUNDDOWN((X131-Z131)*24*60,0))))</f>
        <v>0</v>
      </c>
      <c r="AE131" s="12">
        <f>IF(VLOOKUP(A131,Data_NV!$A:$I,6,0)="Không",0,IF(Z131&lt;=X131,0,ROUNDDOWN((Z131-X131)*24*60,0)))</f>
        <v>0</v>
      </c>
      <c r="AF131" s="26">
        <f t="shared" ref="AF131:AF194" si="11">IF(AB131&gt;60,"Trừ 1/2 ngày lương",IF(AB131&gt;15,50000,IF(AB131&gt;6,30000,0)))</f>
        <v>0</v>
      </c>
      <c r="AG131" s="27" t="str">
        <f>IF(AC131="","",IF(COUNTIFS($AC$3:AC131,"Quên chấm công",$S$3:S131,S131)&gt;3,"Không chấm công do vi phạm quá 3 lần",IF(COUNTIFS($AC$3:AC131,"Quên chấm công",$S$3:S131,S131)&gt;2,"Trừ toàn bộ chuyên cần tháng do vi phạm lần 3",IF(COUNTIFS($AC$3:AC131,"Quên chấm công",$S$3:S131,S131)&gt;1,"Trừ 1/2 ngày lương",50000))))</f>
        <v/>
      </c>
      <c r="AH131" s="12" t="str">
        <f>IF(AF131=0,"",IF(COUNTIFS($AF$3:AF131,"&gt;0",$S$3:S131,S131)&gt;3,"Trừ toàn bộ chuyên cần tháng",""))</f>
        <v/>
      </c>
      <c r="AI131" s="12"/>
    </row>
    <row r="132" spans="1:35" x14ac:dyDescent="0.25">
      <c r="A132" s="4" t="s">
        <v>198</v>
      </c>
      <c r="B132" s="1" t="s">
        <v>199</v>
      </c>
      <c r="C132" s="1" t="s">
        <v>20</v>
      </c>
      <c r="D132" s="1" t="s">
        <v>58</v>
      </c>
      <c r="E132" s="1" t="s">
        <v>22</v>
      </c>
      <c r="F132" s="1" t="s">
        <v>23</v>
      </c>
      <c r="G132" s="1" t="s">
        <v>12</v>
      </c>
      <c r="H132" s="1" t="s">
        <v>205</v>
      </c>
      <c r="I132" s="1" t="s">
        <v>24</v>
      </c>
      <c r="J132" s="1" t="s">
        <v>25</v>
      </c>
      <c r="K132" s="1" t="s">
        <v>25</v>
      </c>
      <c r="L132" s="1" t="s">
        <v>26</v>
      </c>
      <c r="M132" s="1" t="s">
        <v>25</v>
      </c>
      <c r="N132" s="1" t="s">
        <v>25</v>
      </c>
      <c r="O132" s="1" t="s">
        <v>25</v>
      </c>
      <c r="P132" s="1" t="s">
        <v>25</v>
      </c>
      <c r="Q132" s="1" t="s">
        <v>25</v>
      </c>
      <c r="R132" s="85" t="str">
        <f t="shared" si="8"/>
        <v>1345910</v>
      </c>
      <c r="S132" t="str">
        <f>VLOOKUP(A132,Data_NV!$A:$C,3,0)</f>
        <v xml:space="preserve"> Nguyễn Quốc Minh   </v>
      </c>
      <c r="T132" t="str">
        <f>VLOOKUP(A132,Data_NV!$A:$E,4,0)</f>
        <v>Vận Hành</v>
      </c>
      <c r="U132" s="82">
        <f>DATEVALUE(Table2[[#This Row],[Ngày]])</f>
        <v>45910</v>
      </c>
      <c r="V132" t="str">
        <f>VLOOKUP(A132,Data_NV!$A:$E,5,0)</f>
        <v>Đang làm việc</v>
      </c>
      <c r="W132" s="10">
        <f>VLOOKUP(A132,Data_NV!$A:$I,8,0)</f>
        <v>0.3125</v>
      </c>
      <c r="X132" s="10">
        <f>VLOOKUP(A132,Data_NV!$A:$I,9,0)</f>
        <v>0.6875</v>
      </c>
      <c r="Y132" s="10">
        <f>IFERROR(TIMEVALUE(Table2[[#This Row],[Vào]]),0)</f>
        <v>0.29671296296296296</v>
      </c>
      <c r="Z132" s="10">
        <f>IFERROR(TIMEVALUE(Table2[[#This Row],[Ra]]),0)</f>
        <v>0</v>
      </c>
      <c r="AA132" t="str">
        <f t="shared" si="9"/>
        <v>x</v>
      </c>
      <c r="AB132" s="105">
        <f t="shared" si="10"/>
        <v>0</v>
      </c>
      <c r="AC132" s="12" t="str">
        <f>IF(VLOOKUP(A132,Data_NV!$A:$I,7,0)="Không","",IF(OR(AND(Y132=0,Z132=0),AND(Y132&lt;&gt;0,Z132&lt;&gt;0)),"","Quên chấm công"))</f>
        <v/>
      </c>
      <c r="AD132" s="12">
        <f>IF(VLOOKUP(A132,Data_NV!$A:$I,7,0)="Không",0,IF(AND(Y132=0,Z132=0),0,IF(X132&lt;=Z132,0,ROUNDDOWN((X132-Z132)*24*60,0))))</f>
        <v>0</v>
      </c>
      <c r="AE132" s="12">
        <f>IF(VLOOKUP(A132,Data_NV!$A:$I,6,0)="Không",0,IF(Z132&lt;=X132,0,ROUNDDOWN((Z132-X132)*24*60,0)))</f>
        <v>0</v>
      </c>
      <c r="AF132" s="26">
        <f t="shared" si="11"/>
        <v>0</v>
      </c>
      <c r="AG132" s="27" t="str">
        <f>IF(AC132="","",IF(COUNTIFS($AC$3:AC132,"Quên chấm công",$S$3:S132,S132)&gt;3,"Không chấm công do vi phạm quá 3 lần",IF(COUNTIFS($AC$3:AC132,"Quên chấm công",$S$3:S132,S132)&gt;2,"Trừ toàn bộ chuyên cần tháng do vi phạm lần 3",IF(COUNTIFS($AC$3:AC132,"Quên chấm công",$S$3:S132,S132)&gt;1,"Trừ 1/2 ngày lương",50000))))</f>
        <v/>
      </c>
      <c r="AH132" s="12" t="str">
        <f>IF(AF132=0,"",IF(COUNTIFS($AF$3:AF132,"&gt;0",$S$3:S132,S132)&gt;3,"Trừ toàn bộ chuyên cần tháng",""))</f>
        <v/>
      </c>
      <c r="AI132" s="12"/>
    </row>
    <row r="133" spans="1:35" x14ac:dyDescent="0.25">
      <c r="A133" s="4" t="s">
        <v>198</v>
      </c>
      <c r="B133" s="1" t="s">
        <v>199</v>
      </c>
      <c r="C133" s="1" t="s">
        <v>20</v>
      </c>
      <c r="D133" s="1" t="s">
        <v>63</v>
      </c>
      <c r="E133" s="1" t="s">
        <v>22</v>
      </c>
      <c r="F133" s="1" t="s">
        <v>23</v>
      </c>
      <c r="G133" s="1" t="s">
        <v>12</v>
      </c>
      <c r="H133" s="1" t="s">
        <v>206</v>
      </c>
      <c r="I133" s="1" t="s">
        <v>24</v>
      </c>
      <c r="J133" s="1" t="s">
        <v>25</v>
      </c>
      <c r="K133" s="1" t="s">
        <v>25</v>
      </c>
      <c r="L133" s="1" t="s">
        <v>26</v>
      </c>
      <c r="M133" s="1" t="s">
        <v>25</v>
      </c>
      <c r="N133" s="1" t="s">
        <v>25</v>
      </c>
      <c r="O133" s="1" t="s">
        <v>25</v>
      </c>
      <c r="P133" s="1" t="s">
        <v>25</v>
      </c>
      <c r="Q133" s="1" t="s">
        <v>25</v>
      </c>
      <c r="R133" s="85" t="str">
        <f t="shared" si="8"/>
        <v>1345911</v>
      </c>
      <c r="S133" t="str">
        <f>VLOOKUP(A133,Data_NV!$A:$C,3,0)</f>
        <v xml:space="preserve"> Nguyễn Quốc Minh   </v>
      </c>
      <c r="T133" t="str">
        <f>VLOOKUP(A133,Data_NV!$A:$E,4,0)</f>
        <v>Vận Hành</v>
      </c>
      <c r="U133" s="82">
        <f>DATEVALUE(Table2[[#This Row],[Ngày]])</f>
        <v>45911</v>
      </c>
      <c r="V133" t="str">
        <f>VLOOKUP(A133,Data_NV!$A:$E,5,0)</f>
        <v>Đang làm việc</v>
      </c>
      <c r="W133" s="10">
        <f>VLOOKUP(A133,Data_NV!$A:$I,8,0)</f>
        <v>0.3125</v>
      </c>
      <c r="X133" s="10">
        <f>VLOOKUP(A133,Data_NV!$A:$I,9,0)</f>
        <v>0.6875</v>
      </c>
      <c r="Y133" s="10">
        <f>IFERROR(TIMEVALUE(Table2[[#This Row],[Vào]]),0)</f>
        <v>0.30722222222222223</v>
      </c>
      <c r="Z133" s="10">
        <f>IFERROR(TIMEVALUE(Table2[[#This Row],[Ra]]),0)</f>
        <v>0</v>
      </c>
      <c r="AA133" t="str">
        <f t="shared" si="9"/>
        <v>x</v>
      </c>
      <c r="AB133" s="105">
        <f t="shared" si="10"/>
        <v>0</v>
      </c>
      <c r="AC133" s="12" t="str">
        <f>IF(VLOOKUP(A133,Data_NV!$A:$I,7,0)="Không","",IF(OR(AND(Y133=0,Z133=0),AND(Y133&lt;&gt;0,Z133&lt;&gt;0)),"","Quên chấm công"))</f>
        <v/>
      </c>
      <c r="AD133" s="12">
        <f>IF(VLOOKUP(A133,Data_NV!$A:$I,7,0)="Không",0,IF(AND(Y133=0,Z133=0),0,IF(X133&lt;=Z133,0,ROUNDDOWN((X133-Z133)*24*60,0))))</f>
        <v>0</v>
      </c>
      <c r="AE133" s="12">
        <f>IF(VLOOKUP(A133,Data_NV!$A:$I,6,0)="Không",0,IF(Z133&lt;=X133,0,ROUNDDOWN((Z133-X133)*24*60,0)))</f>
        <v>0</v>
      </c>
      <c r="AF133" s="26">
        <f t="shared" si="11"/>
        <v>0</v>
      </c>
      <c r="AG133" s="27" t="str">
        <f>IF(AC133="","",IF(COUNTIFS($AC$3:AC133,"Quên chấm công",$S$3:S133,S133)&gt;3,"Không chấm công do vi phạm quá 3 lần",IF(COUNTIFS($AC$3:AC133,"Quên chấm công",$S$3:S133,S133)&gt;2,"Trừ toàn bộ chuyên cần tháng do vi phạm lần 3",IF(COUNTIFS($AC$3:AC133,"Quên chấm công",$S$3:S133,S133)&gt;1,"Trừ 1/2 ngày lương",50000))))</f>
        <v/>
      </c>
      <c r="AH133" s="12" t="str">
        <f>IF(AF133=0,"",IF(COUNTIFS($AF$3:AF133,"&gt;0",$S$3:S133,S133)&gt;3,"Trừ toàn bộ chuyên cần tháng",""))</f>
        <v/>
      </c>
      <c r="AI133" s="12"/>
    </row>
    <row r="134" spans="1:35" x14ac:dyDescent="0.25">
      <c r="A134" s="4" t="s">
        <v>198</v>
      </c>
      <c r="B134" s="1" t="s">
        <v>199</v>
      </c>
      <c r="C134" s="1" t="s">
        <v>20</v>
      </c>
      <c r="D134" s="1" t="s">
        <v>67</v>
      </c>
      <c r="E134" s="1" t="s">
        <v>22</v>
      </c>
      <c r="F134" s="1" t="s">
        <v>23</v>
      </c>
      <c r="G134" s="1" t="s">
        <v>12</v>
      </c>
      <c r="H134" s="1" t="s">
        <v>207</v>
      </c>
      <c r="I134" s="1" t="s">
        <v>24</v>
      </c>
      <c r="J134" s="1" t="s">
        <v>25</v>
      </c>
      <c r="K134" s="1" t="s">
        <v>25</v>
      </c>
      <c r="L134" s="1" t="s">
        <v>26</v>
      </c>
      <c r="M134" s="1" t="s">
        <v>25</v>
      </c>
      <c r="N134" s="1" t="s">
        <v>25</v>
      </c>
      <c r="O134" s="1" t="s">
        <v>25</v>
      </c>
      <c r="P134" s="1" t="s">
        <v>25</v>
      </c>
      <c r="Q134" s="1" t="s">
        <v>25</v>
      </c>
      <c r="R134" s="85" t="str">
        <f t="shared" si="8"/>
        <v>1345912</v>
      </c>
      <c r="S134" t="str">
        <f>VLOOKUP(A134,Data_NV!$A:$C,3,0)</f>
        <v xml:space="preserve"> Nguyễn Quốc Minh   </v>
      </c>
      <c r="T134" t="str">
        <f>VLOOKUP(A134,Data_NV!$A:$E,4,0)</f>
        <v>Vận Hành</v>
      </c>
      <c r="U134" s="82">
        <f>DATEVALUE(Table2[[#This Row],[Ngày]])</f>
        <v>45912</v>
      </c>
      <c r="V134" t="str">
        <f>VLOOKUP(A134,Data_NV!$A:$E,5,0)</f>
        <v>Đang làm việc</v>
      </c>
      <c r="W134" s="10">
        <f>VLOOKUP(A134,Data_NV!$A:$I,8,0)</f>
        <v>0.3125</v>
      </c>
      <c r="X134" s="10">
        <f>VLOOKUP(A134,Data_NV!$A:$I,9,0)</f>
        <v>0.6875</v>
      </c>
      <c r="Y134" s="10">
        <f>IFERROR(TIMEVALUE(Table2[[#This Row],[Vào]]),0)</f>
        <v>0.29464120370370372</v>
      </c>
      <c r="Z134" s="10">
        <f>IFERROR(TIMEVALUE(Table2[[#This Row],[Ra]]),0)</f>
        <v>0</v>
      </c>
      <c r="AA134" t="str">
        <f t="shared" si="9"/>
        <v>x</v>
      </c>
      <c r="AB134" s="105">
        <f t="shared" si="10"/>
        <v>0</v>
      </c>
      <c r="AC134" s="12" t="str">
        <f>IF(VLOOKUP(A134,Data_NV!$A:$I,7,0)="Không","",IF(OR(AND(Y134=0,Z134=0),AND(Y134&lt;&gt;0,Z134&lt;&gt;0)),"","Quên chấm công"))</f>
        <v/>
      </c>
      <c r="AD134" s="12">
        <f>IF(VLOOKUP(A134,Data_NV!$A:$I,7,0)="Không",0,IF(AND(Y134=0,Z134=0),0,IF(X134&lt;=Z134,0,ROUNDDOWN((X134-Z134)*24*60,0))))</f>
        <v>0</v>
      </c>
      <c r="AE134" s="12">
        <f>IF(VLOOKUP(A134,Data_NV!$A:$I,6,0)="Không",0,IF(Z134&lt;=X134,0,ROUNDDOWN((Z134-X134)*24*60,0)))</f>
        <v>0</v>
      </c>
      <c r="AF134" s="26">
        <f t="shared" si="11"/>
        <v>0</v>
      </c>
      <c r="AG134" s="27" t="str">
        <f>IF(AC134="","",IF(COUNTIFS($AC$3:AC134,"Quên chấm công",$S$3:S134,S134)&gt;3,"Không chấm công do vi phạm quá 3 lần",IF(COUNTIFS($AC$3:AC134,"Quên chấm công",$S$3:S134,S134)&gt;2,"Trừ toàn bộ chuyên cần tháng do vi phạm lần 3",IF(COUNTIFS($AC$3:AC134,"Quên chấm công",$S$3:S134,S134)&gt;1,"Trừ 1/2 ngày lương",50000))))</f>
        <v/>
      </c>
      <c r="AH134" s="12" t="str">
        <f>IF(AF134=0,"",IF(COUNTIFS($AF$3:AF134,"&gt;0",$S$3:S134,S134)&gt;3,"Trừ toàn bộ chuyên cần tháng",""))</f>
        <v/>
      </c>
      <c r="AI134" s="12"/>
    </row>
    <row r="135" spans="1:35" x14ac:dyDescent="0.25">
      <c r="A135" s="4" t="s">
        <v>198</v>
      </c>
      <c r="B135" s="1" t="s">
        <v>199</v>
      </c>
      <c r="C135" s="1" t="s">
        <v>20</v>
      </c>
      <c r="D135" s="1" t="s">
        <v>69</v>
      </c>
      <c r="E135" s="1" t="s">
        <v>22</v>
      </c>
      <c r="F135" s="1" t="s">
        <v>23</v>
      </c>
      <c r="G135" s="1" t="s">
        <v>12</v>
      </c>
      <c r="H135" s="1" t="s">
        <v>208</v>
      </c>
      <c r="I135" s="1" t="s">
        <v>24</v>
      </c>
      <c r="J135" s="1" t="s">
        <v>25</v>
      </c>
      <c r="K135" s="1" t="s">
        <v>25</v>
      </c>
      <c r="L135" s="1" t="s">
        <v>26</v>
      </c>
      <c r="M135" s="1" t="s">
        <v>25</v>
      </c>
      <c r="N135" s="1" t="s">
        <v>25</v>
      </c>
      <c r="O135" s="1" t="s">
        <v>25</v>
      </c>
      <c r="P135" s="1" t="s">
        <v>25</v>
      </c>
      <c r="Q135" s="1" t="s">
        <v>25</v>
      </c>
      <c r="R135" s="85" t="str">
        <f t="shared" si="8"/>
        <v>1345913</v>
      </c>
      <c r="S135" t="str">
        <f>VLOOKUP(A135,Data_NV!$A:$C,3,0)</f>
        <v xml:space="preserve"> Nguyễn Quốc Minh   </v>
      </c>
      <c r="T135" t="str">
        <f>VLOOKUP(A135,Data_NV!$A:$E,4,0)</f>
        <v>Vận Hành</v>
      </c>
      <c r="U135" s="82">
        <f>DATEVALUE(Table2[[#This Row],[Ngày]])</f>
        <v>45913</v>
      </c>
      <c r="V135" t="str">
        <f>VLOOKUP(A135,Data_NV!$A:$E,5,0)</f>
        <v>Đang làm việc</v>
      </c>
      <c r="W135" s="10">
        <f>VLOOKUP(A135,Data_NV!$A:$I,8,0)</f>
        <v>0.3125</v>
      </c>
      <c r="X135" s="10">
        <f>VLOOKUP(A135,Data_NV!$A:$I,9,0)</f>
        <v>0.6875</v>
      </c>
      <c r="Y135" s="10">
        <f>IFERROR(TIMEVALUE(Table2[[#This Row],[Vào]]),0)</f>
        <v>0.30914351851851851</v>
      </c>
      <c r="Z135" s="10">
        <f>IFERROR(TIMEVALUE(Table2[[#This Row],[Ra]]),0)</f>
        <v>0</v>
      </c>
      <c r="AA135" t="str">
        <f t="shared" si="9"/>
        <v>x</v>
      </c>
      <c r="AB135" s="105">
        <f t="shared" si="10"/>
        <v>0</v>
      </c>
      <c r="AC135" s="12" t="str">
        <f>IF(VLOOKUP(A135,Data_NV!$A:$I,7,0)="Không","",IF(OR(AND(Y135=0,Z135=0),AND(Y135&lt;&gt;0,Z135&lt;&gt;0)),"","Quên chấm công"))</f>
        <v/>
      </c>
      <c r="AD135" s="12">
        <f>IF(VLOOKUP(A135,Data_NV!$A:$I,7,0)="Không",0,IF(AND(Y135=0,Z135=0),0,IF(X135&lt;=Z135,0,ROUNDDOWN((X135-Z135)*24*60,0))))</f>
        <v>0</v>
      </c>
      <c r="AE135" s="12">
        <f>IF(VLOOKUP(A135,Data_NV!$A:$I,6,0)="Không",0,IF(Z135&lt;=X135,0,ROUNDDOWN((Z135-X135)*24*60,0)))</f>
        <v>0</v>
      </c>
      <c r="AF135" s="26">
        <f t="shared" si="11"/>
        <v>0</v>
      </c>
      <c r="AG135" s="27" t="str">
        <f>IF(AC135="","",IF(COUNTIFS($AC$3:AC135,"Quên chấm công",$S$3:S135,S135)&gt;3,"Không chấm công do vi phạm quá 3 lần",IF(COUNTIFS($AC$3:AC135,"Quên chấm công",$S$3:S135,S135)&gt;2,"Trừ toàn bộ chuyên cần tháng do vi phạm lần 3",IF(COUNTIFS($AC$3:AC135,"Quên chấm công",$S$3:S135,S135)&gt;1,"Trừ 1/2 ngày lương",50000))))</f>
        <v/>
      </c>
      <c r="AH135" s="12" t="str">
        <f>IF(AF135=0,"",IF(COUNTIFS($AF$3:AF135,"&gt;0",$S$3:S135,S135)&gt;3,"Trừ toàn bộ chuyên cần tháng",""))</f>
        <v/>
      </c>
      <c r="AI135" s="12"/>
    </row>
    <row r="136" spans="1:35" x14ac:dyDescent="0.25">
      <c r="A136" s="4" t="s">
        <v>198</v>
      </c>
      <c r="B136" s="1" t="s">
        <v>199</v>
      </c>
      <c r="C136" s="1" t="s">
        <v>20</v>
      </c>
      <c r="D136" s="1" t="s">
        <v>74</v>
      </c>
      <c r="E136" s="1" t="s">
        <v>22</v>
      </c>
      <c r="F136" s="1" t="s">
        <v>23</v>
      </c>
      <c r="G136" s="1" t="s">
        <v>12</v>
      </c>
      <c r="H136" s="1" t="s">
        <v>24</v>
      </c>
      <c r="I136" s="1" t="s">
        <v>24</v>
      </c>
      <c r="J136" s="1" t="s">
        <v>25</v>
      </c>
      <c r="K136" s="1" t="s">
        <v>25</v>
      </c>
      <c r="L136" s="1" t="s">
        <v>26</v>
      </c>
      <c r="M136" s="1" t="s">
        <v>25</v>
      </c>
      <c r="N136" s="1" t="s">
        <v>25</v>
      </c>
      <c r="O136" s="1" t="s">
        <v>25</v>
      </c>
      <c r="P136" s="1" t="s">
        <v>25</v>
      </c>
      <c r="Q136" s="1" t="s">
        <v>25</v>
      </c>
      <c r="R136" s="85" t="str">
        <f t="shared" si="8"/>
        <v>1345914</v>
      </c>
      <c r="S136" t="str">
        <f>VLOOKUP(A136,Data_NV!$A:$C,3,0)</f>
        <v xml:space="preserve"> Nguyễn Quốc Minh   </v>
      </c>
      <c r="T136" t="str">
        <f>VLOOKUP(A136,Data_NV!$A:$E,4,0)</f>
        <v>Vận Hành</v>
      </c>
      <c r="U136" s="82">
        <f>DATEVALUE(Table2[[#This Row],[Ngày]])</f>
        <v>45914</v>
      </c>
      <c r="V136" t="str">
        <f>VLOOKUP(A136,Data_NV!$A:$E,5,0)</f>
        <v>Đang làm việc</v>
      </c>
      <c r="W136" s="10">
        <f>VLOOKUP(A136,Data_NV!$A:$I,8,0)</f>
        <v>0.3125</v>
      </c>
      <c r="X136" s="10">
        <f>VLOOKUP(A136,Data_NV!$A:$I,9,0)</f>
        <v>0.6875</v>
      </c>
      <c r="Y136" s="10">
        <f>IFERROR(TIMEVALUE(Table2[[#This Row],[Vào]]),0)</f>
        <v>0</v>
      </c>
      <c r="Z136" s="10">
        <f>IFERROR(TIMEVALUE(Table2[[#This Row],[Ra]]),0)</f>
        <v>0</v>
      </c>
      <c r="AA136" t="str">
        <f t="shared" si="9"/>
        <v>Chủ nhật</v>
      </c>
      <c r="AB136" s="105">
        <f t="shared" si="10"/>
        <v>0</v>
      </c>
      <c r="AC136" s="12" t="str">
        <f>IF(VLOOKUP(A136,Data_NV!$A:$I,7,0)="Không","",IF(OR(AND(Y136=0,Z136=0),AND(Y136&lt;&gt;0,Z136&lt;&gt;0)),"","Quên chấm công"))</f>
        <v/>
      </c>
      <c r="AD136" s="12">
        <f>IF(VLOOKUP(A136,Data_NV!$A:$I,7,0)="Không",0,IF(AND(Y136=0,Z136=0),0,IF(X136&lt;=Z136,0,ROUNDDOWN((X136-Z136)*24*60,0))))</f>
        <v>0</v>
      </c>
      <c r="AE136" s="12">
        <f>IF(VLOOKUP(A136,Data_NV!$A:$I,6,0)="Không",0,IF(Z136&lt;=X136,0,ROUNDDOWN((Z136-X136)*24*60,0)))</f>
        <v>0</v>
      </c>
      <c r="AF136" s="26">
        <f t="shared" si="11"/>
        <v>0</v>
      </c>
      <c r="AG136" s="27" t="str">
        <f>IF(AC136="","",IF(COUNTIFS($AC$3:AC136,"Quên chấm công",$S$3:S136,S136)&gt;3,"Không chấm công do vi phạm quá 3 lần",IF(COUNTIFS($AC$3:AC136,"Quên chấm công",$S$3:S136,S136)&gt;2,"Trừ toàn bộ chuyên cần tháng do vi phạm lần 3",IF(COUNTIFS($AC$3:AC136,"Quên chấm công",$S$3:S136,S136)&gt;1,"Trừ 1/2 ngày lương",50000))))</f>
        <v/>
      </c>
      <c r="AH136" s="12" t="str">
        <f>IF(AF136=0,"",IF(COUNTIFS($AF$3:AF136,"&gt;0",$S$3:S136,S136)&gt;3,"Trừ toàn bộ chuyên cần tháng",""))</f>
        <v/>
      </c>
      <c r="AI136" s="12"/>
    </row>
    <row r="137" spans="1:35" x14ac:dyDescent="0.25">
      <c r="A137" s="4" t="s">
        <v>198</v>
      </c>
      <c r="B137" s="1" t="s">
        <v>199</v>
      </c>
      <c r="C137" s="1" t="s">
        <v>20</v>
      </c>
      <c r="D137" s="1" t="s">
        <v>75</v>
      </c>
      <c r="E137" s="1" t="s">
        <v>22</v>
      </c>
      <c r="F137" s="1" t="s">
        <v>23</v>
      </c>
      <c r="G137" s="1" t="s">
        <v>12</v>
      </c>
      <c r="H137" s="1" t="s">
        <v>209</v>
      </c>
      <c r="I137" s="1" t="s">
        <v>24</v>
      </c>
      <c r="J137" s="1" t="s">
        <v>25</v>
      </c>
      <c r="K137" s="1" t="s">
        <v>25</v>
      </c>
      <c r="L137" s="1" t="s">
        <v>26</v>
      </c>
      <c r="M137" s="1" t="s">
        <v>25</v>
      </c>
      <c r="N137" s="1" t="s">
        <v>25</v>
      </c>
      <c r="O137" s="1" t="s">
        <v>25</v>
      </c>
      <c r="P137" s="1" t="s">
        <v>25</v>
      </c>
      <c r="Q137" s="1" t="s">
        <v>25</v>
      </c>
      <c r="R137" s="85" t="str">
        <f t="shared" si="8"/>
        <v>1345915</v>
      </c>
      <c r="S137" t="str">
        <f>VLOOKUP(A137,Data_NV!$A:$C,3,0)</f>
        <v xml:space="preserve"> Nguyễn Quốc Minh   </v>
      </c>
      <c r="T137" t="str">
        <f>VLOOKUP(A137,Data_NV!$A:$E,4,0)</f>
        <v>Vận Hành</v>
      </c>
      <c r="U137" s="82">
        <f>DATEVALUE(Table2[[#This Row],[Ngày]])</f>
        <v>45915</v>
      </c>
      <c r="V137" t="str">
        <f>VLOOKUP(A137,Data_NV!$A:$E,5,0)</f>
        <v>Đang làm việc</v>
      </c>
      <c r="W137" s="10">
        <f>VLOOKUP(A137,Data_NV!$A:$I,8,0)</f>
        <v>0.3125</v>
      </c>
      <c r="X137" s="10">
        <f>VLOOKUP(A137,Data_NV!$A:$I,9,0)</f>
        <v>0.6875</v>
      </c>
      <c r="Y137" s="10">
        <f>IFERROR(TIMEVALUE(Table2[[#This Row],[Vào]]),0)</f>
        <v>0.29346064814814815</v>
      </c>
      <c r="Z137" s="10">
        <f>IFERROR(TIMEVALUE(Table2[[#This Row],[Ra]]),0)</f>
        <v>0</v>
      </c>
      <c r="AA137" t="str">
        <f t="shared" si="9"/>
        <v>x</v>
      </c>
      <c r="AB137" s="105">
        <f t="shared" si="10"/>
        <v>0</v>
      </c>
      <c r="AC137" s="12" t="str">
        <f>IF(VLOOKUP(A137,Data_NV!$A:$I,7,0)="Không","",IF(OR(AND(Y137=0,Z137=0),AND(Y137&lt;&gt;0,Z137&lt;&gt;0)),"","Quên chấm công"))</f>
        <v/>
      </c>
      <c r="AD137" s="12">
        <f>IF(VLOOKUP(A137,Data_NV!$A:$I,7,0)="Không",0,IF(AND(Y137=0,Z137=0),0,IF(X137&lt;=Z137,0,ROUNDDOWN((X137-Z137)*24*60,0))))</f>
        <v>0</v>
      </c>
      <c r="AE137" s="12">
        <f>IF(VLOOKUP(A137,Data_NV!$A:$I,6,0)="Không",0,IF(Z137&lt;=X137,0,ROUNDDOWN((Z137-X137)*24*60,0)))</f>
        <v>0</v>
      </c>
      <c r="AF137" s="26">
        <f t="shared" si="11"/>
        <v>0</v>
      </c>
      <c r="AG137" s="27" t="str">
        <f>IF(AC137="","",IF(COUNTIFS($AC$3:AC137,"Quên chấm công",$S$3:S137,S137)&gt;3,"Không chấm công do vi phạm quá 3 lần",IF(COUNTIFS($AC$3:AC137,"Quên chấm công",$S$3:S137,S137)&gt;2,"Trừ toàn bộ chuyên cần tháng do vi phạm lần 3",IF(COUNTIFS($AC$3:AC137,"Quên chấm công",$S$3:S137,S137)&gt;1,"Trừ 1/2 ngày lương",50000))))</f>
        <v/>
      </c>
      <c r="AH137" s="12" t="str">
        <f>IF(AF137=0,"",IF(COUNTIFS($AF$3:AF137,"&gt;0",$S$3:S137,S137)&gt;3,"Trừ toàn bộ chuyên cần tháng",""))</f>
        <v/>
      </c>
      <c r="AI137" s="12"/>
    </row>
    <row r="138" spans="1:35" x14ac:dyDescent="0.25">
      <c r="A138" s="4" t="s">
        <v>198</v>
      </c>
      <c r="B138" s="1" t="s">
        <v>199</v>
      </c>
      <c r="C138" s="1" t="s">
        <v>20</v>
      </c>
      <c r="D138" s="1" t="s">
        <v>80</v>
      </c>
      <c r="E138" s="1" t="s">
        <v>22</v>
      </c>
      <c r="F138" s="1" t="s">
        <v>23</v>
      </c>
      <c r="G138" s="1" t="s">
        <v>12</v>
      </c>
      <c r="H138" s="1" t="s">
        <v>210</v>
      </c>
      <c r="I138" s="1" t="s">
        <v>24</v>
      </c>
      <c r="J138" s="1" t="s">
        <v>25</v>
      </c>
      <c r="K138" s="1" t="s">
        <v>25</v>
      </c>
      <c r="L138" s="1" t="s">
        <v>26</v>
      </c>
      <c r="M138" s="1" t="s">
        <v>25</v>
      </c>
      <c r="N138" s="1" t="s">
        <v>25</v>
      </c>
      <c r="O138" s="1" t="s">
        <v>25</v>
      </c>
      <c r="P138" s="1" t="s">
        <v>25</v>
      </c>
      <c r="Q138" s="1" t="s">
        <v>25</v>
      </c>
      <c r="R138" s="85" t="str">
        <f t="shared" si="8"/>
        <v>1345916</v>
      </c>
      <c r="S138" t="str">
        <f>VLOOKUP(A138,Data_NV!$A:$C,3,0)</f>
        <v xml:space="preserve"> Nguyễn Quốc Minh   </v>
      </c>
      <c r="T138" t="str">
        <f>VLOOKUP(A138,Data_NV!$A:$E,4,0)</f>
        <v>Vận Hành</v>
      </c>
      <c r="U138" s="82">
        <f>DATEVALUE(Table2[[#This Row],[Ngày]])</f>
        <v>45916</v>
      </c>
      <c r="V138" t="str">
        <f>VLOOKUP(A138,Data_NV!$A:$E,5,0)</f>
        <v>Đang làm việc</v>
      </c>
      <c r="W138" s="10">
        <f>VLOOKUP(A138,Data_NV!$A:$I,8,0)</f>
        <v>0.3125</v>
      </c>
      <c r="X138" s="10">
        <f>VLOOKUP(A138,Data_NV!$A:$I,9,0)</f>
        <v>0.6875</v>
      </c>
      <c r="Y138" s="10">
        <f>IFERROR(TIMEVALUE(Table2[[#This Row],[Vào]]),0)</f>
        <v>0.30541666666666667</v>
      </c>
      <c r="Z138" s="10">
        <f>IFERROR(TIMEVALUE(Table2[[#This Row],[Ra]]),0)</f>
        <v>0</v>
      </c>
      <c r="AA138" t="str">
        <f t="shared" si="9"/>
        <v>x</v>
      </c>
      <c r="AB138" s="105">
        <f t="shared" si="10"/>
        <v>0</v>
      </c>
      <c r="AC138" s="12" t="str">
        <f>IF(VLOOKUP(A138,Data_NV!$A:$I,7,0)="Không","",IF(OR(AND(Y138=0,Z138=0),AND(Y138&lt;&gt;0,Z138&lt;&gt;0)),"","Quên chấm công"))</f>
        <v/>
      </c>
      <c r="AD138" s="12">
        <f>IF(VLOOKUP(A138,Data_NV!$A:$I,7,0)="Không",0,IF(AND(Y138=0,Z138=0),0,IF(X138&lt;=Z138,0,ROUNDDOWN((X138-Z138)*24*60,0))))</f>
        <v>0</v>
      </c>
      <c r="AE138" s="12">
        <f>IF(VLOOKUP(A138,Data_NV!$A:$I,6,0)="Không",0,IF(Z138&lt;=X138,0,ROUNDDOWN((Z138-X138)*24*60,0)))</f>
        <v>0</v>
      </c>
      <c r="AF138" s="26">
        <f t="shared" si="11"/>
        <v>0</v>
      </c>
      <c r="AG138" s="27" t="str">
        <f>IF(AC138="","",IF(COUNTIFS($AC$3:AC138,"Quên chấm công",$S$3:S138,S138)&gt;3,"Không chấm công do vi phạm quá 3 lần",IF(COUNTIFS($AC$3:AC138,"Quên chấm công",$S$3:S138,S138)&gt;2,"Trừ toàn bộ chuyên cần tháng do vi phạm lần 3",IF(COUNTIFS($AC$3:AC138,"Quên chấm công",$S$3:S138,S138)&gt;1,"Trừ 1/2 ngày lương",50000))))</f>
        <v/>
      </c>
      <c r="AH138" s="12" t="str">
        <f>IF(AF138=0,"",IF(COUNTIFS($AF$3:AF138,"&gt;0",$S$3:S138,S138)&gt;3,"Trừ toàn bộ chuyên cần tháng",""))</f>
        <v/>
      </c>
      <c r="AI138" s="12"/>
    </row>
    <row r="139" spans="1:35" x14ac:dyDescent="0.25">
      <c r="A139" s="4" t="s">
        <v>198</v>
      </c>
      <c r="B139" s="1" t="s">
        <v>199</v>
      </c>
      <c r="C139" s="1" t="s">
        <v>20</v>
      </c>
      <c r="D139" s="1" t="s">
        <v>85</v>
      </c>
      <c r="E139" s="1" t="s">
        <v>22</v>
      </c>
      <c r="F139" s="1" t="s">
        <v>23</v>
      </c>
      <c r="G139" s="1" t="s">
        <v>12</v>
      </c>
      <c r="H139" s="1" t="s">
        <v>211</v>
      </c>
      <c r="I139" s="1" t="s">
        <v>24</v>
      </c>
      <c r="J139" s="1" t="s">
        <v>25</v>
      </c>
      <c r="K139" s="1" t="s">
        <v>25</v>
      </c>
      <c r="L139" s="1" t="s">
        <v>26</v>
      </c>
      <c r="M139" s="1" t="s">
        <v>25</v>
      </c>
      <c r="N139" s="1" t="s">
        <v>25</v>
      </c>
      <c r="O139" s="1" t="s">
        <v>25</v>
      </c>
      <c r="P139" s="1" t="s">
        <v>25</v>
      </c>
      <c r="Q139" s="1" t="s">
        <v>25</v>
      </c>
      <c r="R139" s="85" t="str">
        <f t="shared" si="8"/>
        <v>1345917</v>
      </c>
      <c r="S139" t="str">
        <f>VLOOKUP(A139,Data_NV!$A:$C,3,0)</f>
        <v xml:space="preserve"> Nguyễn Quốc Minh   </v>
      </c>
      <c r="T139" t="str">
        <f>VLOOKUP(A139,Data_NV!$A:$E,4,0)</f>
        <v>Vận Hành</v>
      </c>
      <c r="U139" s="82">
        <f>DATEVALUE(Table2[[#This Row],[Ngày]])</f>
        <v>45917</v>
      </c>
      <c r="V139" t="str">
        <f>VLOOKUP(A139,Data_NV!$A:$E,5,0)</f>
        <v>Đang làm việc</v>
      </c>
      <c r="W139" s="10">
        <f>VLOOKUP(A139,Data_NV!$A:$I,8,0)</f>
        <v>0.3125</v>
      </c>
      <c r="X139" s="10">
        <f>VLOOKUP(A139,Data_NV!$A:$I,9,0)</f>
        <v>0.6875</v>
      </c>
      <c r="Y139" s="10">
        <f>IFERROR(TIMEVALUE(Table2[[#This Row],[Vào]]),0)</f>
        <v>0.30524305555555553</v>
      </c>
      <c r="Z139" s="10">
        <f>IFERROR(TIMEVALUE(Table2[[#This Row],[Ra]]),0)</f>
        <v>0</v>
      </c>
      <c r="AA139" t="str">
        <f t="shared" si="9"/>
        <v>x</v>
      </c>
      <c r="AB139" s="105">
        <f t="shared" si="10"/>
        <v>0</v>
      </c>
      <c r="AC139" s="12" t="str">
        <f>IF(VLOOKUP(A139,Data_NV!$A:$I,7,0)="Không","",IF(OR(AND(Y139=0,Z139=0),AND(Y139&lt;&gt;0,Z139&lt;&gt;0)),"","Quên chấm công"))</f>
        <v/>
      </c>
      <c r="AD139" s="12">
        <f>IF(VLOOKUP(A139,Data_NV!$A:$I,7,0)="Không",0,IF(AND(Y139=0,Z139=0),0,IF(X139&lt;=Z139,0,ROUNDDOWN((X139-Z139)*24*60,0))))</f>
        <v>0</v>
      </c>
      <c r="AE139" s="12">
        <f>IF(VLOOKUP(A139,Data_NV!$A:$I,6,0)="Không",0,IF(Z139&lt;=X139,0,ROUNDDOWN((Z139-X139)*24*60,0)))</f>
        <v>0</v>
      </c>
      <c r="AF139" s="26">
        <f t="shared" si="11"/>
        <v>0</v>
      </c>
      <c r="AG139" s="27" t="str">
        <f>IF(AC139="","",IF(COUNTIFS($AC$3:AC139,"Quên chấm công",$S$3:S139,S139)&gt;3,"Không chấm công do vi phạm quá 3 lần",IF(COUNTIFS($AC$3:AC139,"Quên chấm công",$S$3:S139,S139)&gt;2,"Trừ toàn bộ chuyên cần tháng do vi phạm lần 3",IF(COUNTIFS($AC$3:AC139,"Quên chấm công",$S$3:S139,S139)&gt;1,"Trừ 1/2 ngày lương",50000))))</f>
        <v/>
      </c>
      <c r="AH139" s="12" t="str">
        <f>IF(AF139=0,"",IF(COUNTIFS($AF$3:AF139,"&gt;0",$S$3:S139,S139)&gt;3,"Trừ toàn bộ chuyên cần tháng",""))</f>
        <v/>
      </c>
      <c r="AI139" s="12"/>
    </row>
    <row r="140" spans="1:35" x14ac:dyDescent="0.25">
      <c r="A140" s="4" t="s">
        <v>198</v>
      </c>
      <c r="B140" s="1" t="s">
        <v>199</v>
      </c>
      <c r="C140" s="1" t="s">
        <v>20</v>
      </c>
      <c r="D140" s="1" t="s">
        <v>90</v>
      </c>
      <c r="E140" s="1" t="s">
        <v>22</v>
      </c>
      <c r="F140" s="1" t="s">
        <v>23</v>
      </c>
      <c r="G140" s="1" t="s">
        <v>12</v>
      </c>
      <c r="H140" s="1" t="s">
        <v>212</v>
      </c>
      <c r="I140" s="1" t="s">
        <v>24</v>
      </c>
      <c r="J140" s="1" t="s">
        <v>25</v>
      </c>
      <c r="K140" s="1" t="s">
        <v>25</v>
      </c>
      <c r="L140" s="1" t="s">
        <v>26</v>
      </c>
      <c r="M140" s="1" t="s">
        <v>25</v>
      </c>
      <c r="N140" s="1" t="s">
        <v>25</v>
      </c>
      <c r="O140" s="1" t="s">
        <v>25</v>
      </c>
      <c r="P140" s="1" t="s">
        <v>25</v>
      </c>
      <c r="Q140" s="1" t="s">
        <v>25</v>
      </c>
      <c r="R140" s="85" t="str">
        <f t="shared" si="8"/>
        <v>1345918</v>
      </c>
      <c r="S140" t="str">
        <f>VLOOKUP(A140,Data_NV!$A:$C,3,0)</f>
        <v xml:space="preserve"> Nguyễn Quốc Minh   </v>
      </c>
      <c r="T140" t="str">
        <f>VLOOKUP(A140,Data_NV!$A:$E,4,0)</f>
        <v>Vận Hành</v>
      </c>
      <c r="U140" s="82">
        <f>DATEVALUE(Table2[[#This Row],[Ngày]])</f>
        <v>45918</v>
      </c>
      <c r="V140" t="str">
        <f>VLOOKUP(A140,Data_NV!$A:$E,5,0)</f>
        <v>Đang làm việc</v>
      </c>
      <c r="W140" s="10">
        <f>VLOOKUP(A140,Data_NV!$A:$I,8,0)</f>
        <v>0.3125</v>
      </c>
      <c r="X140" s="10">
        <f>VLOOKUP(A140,Data_NV!$A:$I,9,0)</f>
        <v>0.6875</v>
      </c>
      <c r="Y140" s="10">
        <f>IFERROR(TIMEVALUE(Table2[[#This Row],[Vào]]),0)</f>
        <v>0.29633101851851851</v>
      </c>
      <c r="Z140" s="10">
        <f>IFERROR(TIMEVALUE(Table2[[#This Row],[Ra]]),0)</f>
        <v>0</v>
      </c>
      <c r="AA140" t="str">
        <f t="shared" si="9"/>
        <v>x</v>
      </c>
      <c r="AB140" s="105">
        <f t="shared" si="10"/>
        <v>0</v>
      </c>
      <c r="AC140" s="12" t="str">
        <f>IF(VLOOKUP(A140,Data_NV!$A:$I,7,0)="Không","",IF(OR(AND(Y140=0,Z140=0),AND(Y140&lt;&gt;0,Z140&lt;&gt;0)),"","Quên chấm công"))</f>
        <v/>
      </c>
      <c r="AD140" s="12">
        <f>IF(VLOOKUP(A140,Data_NV!$A:$I,7,0)="Không",0,IF(AND(Y140=0,Z140=0),0,IF(X140&lt;=Z140,0,ROUNDDOWN((X140-Z140)*24*60,0))))</f>
        <v>0</v>
      </c>
      <c r="AE140" s="12">
        <f>IF(VLOOKUP(A140,Data_NV!$A:$I,6,0)="Không",0,IF(Z140&lt;=X140,0,ROUNDDOWN((Z140-X140)*24*60,0)))</f>
        <v>0</v>
      </c>
      <c r="AF140" s="26">
        <f t="shared" si="11"/>
        <v>0</v>
      </c>
      <c r="AG140" s="27" t="str">
        <f>IF(AC140="","",IF(COUNTIFS($AC$3:AC140,"Quên chấm công",$S$3:S140,S140)&gt;3,"Không chấm công do vi phạm quá 3 lần",IF(COUNTIFS($AC$3:AC140,"Quên chấm công",$S$3:S140,S140)&gt;2,"Trừ toàn bộ chuyên cần tháng do vi phạm lần 3",IF(COUNTIFS($AC$3:AC140,"Quên chấm công",$S$3:S140,S140)&gt;1,"Trừ 1/2 ngày lương",50000))))</f>
        <v/>
      </c>
      <c r="AH140" s="12" t="str">
        <f>IF(AF140=0,"",IF(COUNTIFS($AF$3:AF140,"&gt;0",$S$3:S140,S140)&gt;3,"Trừ toàn bộ chuyên cần tháng",""))</f>
        <v/>
      </c>
      <c r="AI140" s="12"/>
    </row>
    <row r="141" spans="1:35" x14ac:dyDescent="0.25">
      <c r="A141" s="4" t="s">
        <v>198</v>
      </c>
      <c r="B141" s="1" t="s">
        <v>199</v>
      </c>
      <c r="C141" s="1" t="s">
        <v>20</v>
      </c>
      <c r="D141" s="1" t="s">
        <v>95</v>
      </c>
      <c r="E141" s="1" t="s">
        <v>22</v>
      </c>
      <c r="F141" s="1" t="s">
        <v>23</v>
      </c>
      <c r="G141" s="1" t="s">
        <v>12</v>
      </c>
      <c r="H141" s="1" t="s">
        <v>213</v>
      </c>
      <c r="I141" s="1" t="s">
        <v>24</v>
      </c>
      <c r="J141" s="1" t="s">
        <v>25</v>
      </c>
      <c r="K141" s="1" t="s">
        <v>25</v>
      </c>
      <c r="L141" s="1" t="s">
        <v>26</v>
      </c>
      <c r="M141" s="1" t="s">
        <v>25</v>
      </c>
      <c r="N141" s="1" t="s">
        <v>25</v>
      </c>
      <c r="O141" s="1" t="s">
        <v>25</v>
      </c>
      <c r="P141" s="1" t="s">
        <v>25</v>
      </c>
      <c r="Q141" s="1" t="s">
        <v>25</v>
      </c>
      <c r="R141" s="85" t="str">
        <f t="shared" si="8"/>
        <v>1345919</v>
      </c>
      <c r="S141" t="str">
        <f>VLOOKUP(A141,Data_NV!$A:$C,3,0)</f>
        <v xml:space="preserve"> Nguyễn Quốc Minh   </v>
      </c>
      <c r="T141" t="str">
        <f>VLOOKUP(A141,Data_NV!$A:$E,4,0)</f>
        <v>Vận Hành</v>
      </c>
      <c r="U141" s="82">
        <f>DATEVALUE(Table2[[#This Row],[Ngày]])</f>
        <v>45919</v>
      </c>
      <c r="V141" t="str">
        <f>VLOOKUP(A141,Data_NV!$A:$E,5,0)</f>
        <v>Đang làm việc</v>
      </c>
      <c r="W141" s="10">
        <f>VLOOKUP(A141,Data_NV!$A:$I,8,0)</f>
        <v>0.3125</v>
      </c>
      <c r="X141" s="10">
        <f>VLOOKUP(A141,Data_NV!$A:$I,9,0)</f>
        <v>0.6875</v>
      </c>
      <c r="Y141" s="10">
        <f>IFERROR(TIMEVALUE(Table2[[#This Row],[Vào]]),0)</f>
        <v>0.30031249999999998</v>
      </c>
      <c r="Z141" s="10">
        <f>IFERROR(TIMEVALUE(Table2[[#This Row],[Ra]]),0)</f>
        <v>0</v>
      </c>
      <c r="AA141" t="str">
        <f t="shared" si="9"/>
        <v>x</v>
      </c>
      <c r="AB141" s="105">
        <f t="shared" si="10"/>
        <v>0</v>
      </c>
      <c r="AC141" s="12" t="str">
        <f>IF(VLOOKUP(A141,Data_NV!$A:$I,7,0)="Không","",IF(OR(AND(Y141=0,Z141=0),AND(Y141&lt;&gt;0,Z141&lt;&gt;0)),"","Quên chấm công"))</f>
        <v/>
      </c>
      <c r="AD141" s="12">
        <f>IF(VLOOKUP(A141,Data_NV!$A:$I,7,0)="Không",0,IF(AND(Y141=0,Z141=0),0,IF(X141&lt;=Z141,0,ROUNDDOWN((X141-Z141)*24*60,0))))</f>
        <v>0</v>
      </c>
      <c r="AE141" s="12">
        <f>IF(VLOOKUP(A141,Data_NV!$A:$I,6,0)="Không",0,IF(Z141&lt;=X141,0,ROUNDDOWN((Z141-X141)*24*60,0)))</f>
        <v>0</v>
      </c>
      <c r="AF141" s="26">
        <f t="shared" si="11"/>
        <v>0</v>
      </c>
      <c r="AG141" s="27" t="str">
        <f>IF(AC141="","",IF(COUNTIFS($AC$3:AC141,"Quên chấm công",$S$3:S141,S141)&gt;3,"Không chấm công do vi phạm quá 3 lần",IF(COUNTIFS($AC$3:AC141,"Quên chấm công",$S$3:S141,S141)&gt;2,"Trừ toàn bộ chuyên cần tháng do vi phạm lần 3",IF(COUNTIFS($AC$3:AC141,"Quên chấm công",$S$3:S141,S141)&gt;1,"Trừ 1/2 ngày lương",50000))))</f>
        <v/>
      </c>
      <c r="AH141" s="12" t="str">
        <f>IF(AF141=0,"",IF(COUNTIFS($AF$3:AF141,"&gt;0",$S$3:S141,S141)&gt;3,"Trừ toàn bộ chuyên cần tháng",""))</f>
        <v/>
      </c>
      <c r="AI141" s="12"/>
    </row>
    <row r="142" spans="1:35" x14ac:dyDescent="0.25">
      <c r="A142" s="4" t="s">
        <v>198</v>
      </c>
      <c r="B142" s="1" t="s">
        <v>199</v>
      </c>
      <c r="C142" s="1" t="s">
        <v>20</v>
      </c>
      <c r="D142" s="1" t="s">
        <v>100</v>
      </c>
      <c r="E142" s="1" t="s">
        <v>22</v>
      </c>
      <c r="F142" s="1" t="s">
        <v>23</v>
      </c>
      <c r="G142" s="1" t="s">
        <v>12</v>
      </c>
      <c r="H142" s="1" t="s">
        <v>214</v>
      </c>
      <c r="I142" s="1" t="s">
        <v>24</v>
      </c>
      <c r="J142" s="1" t="s">
        <v>25</v>
      </c>
      <c r="K142" s="1" t="s">
        <v>25</v>
      </c>
      <c r="L142" s="1" t="s">
        <v>26</v>
      </c>
      <c r="M142" s="1" t="s">
        <v>25</v>
      </c>
      <c r="N142" s="1" t="s">
        <v>25</v>
      </c>
      <c r="O142" s="1" t="s">
        <v>25</v>
      </c>
      <c r="P142" s="1" t="s">
        <v>25</v>
      </c>
      <c r="Q142" s="1" t="s">
        <v>25</v>
      </c>
      <c r="R142" s="85" t="str">
        <f t="shared" si="8"/>
        <v>1345920</v>
      </c>
      <c r="S142" t="str">
        <f>VLOOKUP(A142,Data_NV!$A:$C,3,0)</f>
        <v xml:space="preserve"> Nguyễn Quốc Minh   </v>
      </c>
      <c r="T142" t="str">
        <f>VLOOKUP(A142,Data_NV!$A:$E,4,0)</f>
        <v>Vận Hành</v>
      </c>
      <c r="U142" s="82">
        <f>DATEVALUE(Table2[[#This Row],[Ngày]])</f>
        <v>45920</v>
      </c>
      <c r="V142" t="str">
        <f>VLOOKUP(A142,Data_NV!$A:$E,5,0)</f>
        <v>Đang làm việc</v>
      </c>
      <c r="W142" s="10">
        <f>VLOOKUP(A142,Data_NV!$A:$I,8,0)</f>
        <v>0.3125</v>
      </c>
      <c r="X142" s="10">
        <f>VLOOKUP(A142,Data_NV!$A:$I,9,0)</f>
        <v>0.6875</v>
      </c>
      <c r="Y142" s="10">
        <f>IFERROR(TIMEVALUE(Table2[[#This Row],[Vào]]),0)</f>
        <v>0.30405092592592592</v>
      </c>
      <c r="Z142" s="10">
        <f>IFERROR(TIMEVALUE(Table2[[#This Row],[Ra]]),0)</f>
        <v>0</v>
      </c>
      <c r="AA142" t="str">
        <f t="shared" si="9"/>
        <v>x</v>
      </c>
      <c r="AB142" s="105">
        <f t="shared" si="10"/>
        <v>0</v>
      </c>
      <c r="AC142" s="12" t="str">
        <f>IF(VLOOKUP(A142,Data_NV!$A:$I,7,0)="Không","",IF(OR(AND(Y142=0,Z142=0),AND(Y142&lt;&gt;0,Z142&lt;&gt;0)),"","Quên chấm công"))</f>
        <v/>
      </c>
      <c r="AD142" s="12">
        <f>IF(VLOOKUP(A142,Data_NV!$A:$I,7,0)="Không",0,IF(AND(Y142=0,Z142=0),0,IF(X142&lt;=Z142,0,ROUNDDOWN((X142-Z142)*24*60,0))))</f>
        <v>0</v>
      </c>
      <c r="AE142" s="12">
        <f>IF(VLOOKUP(A142,Data_NV!$A:$I,6,0)="Không",0,IF(Z142&lt;=X142,0,ROUNDDOWN((Z142-X142)*24*60,0)))</f>
        <v>0</v>
      </c>
      <c r="AF142" s="26">
        <f t="shared" si="11"/>
        <v>0</v>
      </c>
      <c r="AG142" s="27" t="str">
        <f>IF(AC142="","",IF(COUNTIFS($AC$3:AC142,"Quên chấm công",$S$3:S142,S142)&gt;3,"Không chấm công do vi phạm quá 3 lần",IF(COUNTIFS($AC$3:AC142,"Quên chấm công",$S$3:S142,S142)&gt;2,"Trừ toàn bộ chuyên cần tháng do vi phạm lần 3",IF(COUNTIFS($AC$3:AC142,"Quên chấm công",$S$3:S142,S142)&gt;1,"Trừ 1/2 ngày lương",50000))))</f>
        <v/>
      </c>
      <c r="AH142" s="12" t="str">
        <f>IF(AF142=0,"",IF(COUNTIFS($AF$3:AF142,"&gt;0",$S$3:S142,S142)&gt;3,"Trừ toàn bộ chuyên cần tháng",""))</f>
        <v/>
      </c>
      <c r="AI142" s="12"/>
    </row>
    <row r="143" spans="1:35" x14ac:dyDescent="0.25">
      <c r="A143" s="4" t="s">
        <v>198</v>
      </c>
      <c r="B143" s="1" t="s">
        <v>199</v>
      </c>
      <c r="C143" s="1" t="s">
        <v>20</v>
      </c>
      <c r="D143" s="1" t="s">
        <v>105</v>
      </c>
      <c r="E143" s="1" t="s">
        <v>22</v>
      </c>
      <c r="F143" s="1" t="s">
        <v>23</v>
      </c>
      <c r="G143" s="1" t="s">
        <v>12</v>
      </c>
      <c r="H143" s="1" t="s">
        <v>24</v>
      </c>
      <c r="I143" s="1" t="s">
        <v>24</v>
      </c>
      <c r="J143" s="1" t="s">
        <v>25</v>
      </c>
      <c r="K143" s="1" t="s">
        <v>25</v>
      </c>
      <c r="L143" s="1" t="s">
        <v>26</v>
      </c>
      <c r="M143" s="1" t="s">
        <v>25</v>
      </c>
      <c r="N143" s="1" t="s">
        <v>25</v>
      </c>
      <c r="O143" s="1" t="s">
        <v>25</v>
      </c>
      <c r="P143" s="1" t="s">
        <v>25</v>
      </c>
      <c r="Q143" s="1" t="s">
        <v>25</v>
      </c>
      <c r="R143" s="85" t="str">
        <f t="shared" si="8"/>
        <v>1345921</v>
      </c>
      <c r="S143" t="str">
        <f>VLOOKUP(A143,Data_NV!$A:$C,3,0)</f>
        <v xml:space="preserve"> Nguyễn Quốc Minh   </v>
      </c>
      <c r="T143" t="str">
        <f>VLOOKUP(A143,Data_NV!$A:$E,4,0)</f>
        <v>Vận Hành</v>
      </c>
      <c r="U143" s="82">
        <f>DATEVALUE(Table2[[#This Row],[Ngày]])</f>
        <v>45921</v>
      </c>
      <c r="V143" t="str">
        <f>VLOOKUP(A143,Data_NV!$A:$E,5,0)</f>
        <v>Đang làm việc</v>
      </c>
      <c r="W143" s="10">
        <f>VLOOKUP(A143,Data_NV!$A:$I,8,0)</f>
        <v>0.3125</v>
      </c>
      <c r="X143" s="10">
        <f>VLOOKUP(A143,Data_NV!$A:$I,9,0)</f>
        <v>0.6875</v>
      </c>
      <c r="Y143" s="10">
        <f>IFERROR(TIMEVALUE(Table2[[#This Row],[Vào]]),0)</f>
        <v>0</v>
      </c>
      <c r="Z143" s="10">
        <f>IFERROR(TIMEVALUE(Table2[[#This Row],[Ra]]),0)</f>
        <v>0</v>
      </c>
      <c r="AA143" t="str">
        <f t="shared" si="9"/>
        <v>Chủ nhật</v>
      </c>
      <c r="AB143" s="105">
        <f t="shared" si="10"/>
        <v>0</v>
      </c>
      <c r="AC143" s="12" t="str">
        <f>IF(VLOOKUP(A143,Data_NV!$A:$I,7,0)="Không","",IF(OR(AND(Y143=0,Z143=0),AND(Y143&lt;&gt;0,Z143&lt;&gt;0)),"","Quên chấm công"))</f>
        <v/>
      </c>
      <c r="AD143" s="12">
        <f>IF(VLOOKUP(A143,Data_NV!$A:$I,7,0)="Không",0,IF(AND(Y143=0,Z143=0),0,IF(X143&lt;=Z143,0,ROUNDDOWN((X143-Z143)*24*60,0))))</f>
        <v>0</v>
      </c>
      <c r="AE143" s="12">
        <f>IF(VLOOKUP(A143,Data_NV!$A:$I,6,0)="Không",0,IF(Z143&lt;=X143,0,ROUNDDOWN((Z143-X143)*24*60,0)))</f>
        <v>0</v>
      </c>
      <c r="AF143" s="26">
        <f t="shared" si="11"/>
        <v>0</v>
      </c>
      <c r="AG143" s="27" t="str">
        <f>IF(AC143="","",IF(COUNTIFS($AC$3:AC143,"Quên chấm công",$S$3:S143,S143)&gt;3,"Không chấm công do vi phạm quá 3 lần",IF(COUNTIFS($AC$3:AC143,"Quên chấm công",$S$3:S143,S143)&gt;2,"Trừ toàn bộ chuyên cần tháng do vi phạm lần 3",IF(COUNTIFS($AC$3:AC143,"Quên chấm công",$S$3:S143,S143)&gt;1,"Trừ 1/2 ngày lương",50000))))</f>
        <v/>
      </c>
      <c r="AH143" s="12" t="str">
        <f>IF(AF143=0,"",IF(COUNTIFS($AF$3:AF143,"&gt;0",$S$3:S143,S143)&gt;3,"Trừ toàn bộ chuyên cần tháng",""))</f>
        <v/>
      </c>
      <c r="AI143" s="12"/>
    </row>
    <row r="144" spans="1:35" x14ac:dyDescent="0.25">
      <c r="A144" s="4" t="s">
        <v>198</v>
      </c>
      <c r="B144" s="1" t="s">
        <v>199</v>
      </c>
      <c r="C144" s="1" t="s">
        <v>20</v>
      </c>
      <c r="D144" s="1" t="s">
        <v>106</v>
      </c>
      <c r="E144" s="1" t="s">
        <v>22</v>
      </c>
      <c r="F144" s="1" t="s">
        <v>23</v>
      </c>
      <c r="G144" s="1" t="s">
        <v>12</v>
      </c>
      <c r="H144" s="1" t="s">
        <v>215</v>
      </c>
      <c r="I144" s="1" t="s">
        <v>24</v>
      </c>
      <c r="J144" s="1" t="s">
        <v>25</v>
      </c>
      <c r="K144" s="1" t="s">
        <v>25</v>
      </c>
      <c r="L144" s="1" t="s">
        <v>26</v>
      </c>
      <c r="M144" s="1" t="s">
        <v>25</v>
      </c>
      <c r="N144" s="1" t="s">
        <v>25</v>
      </c>
      <c r="O144" s="1" t="s">
        <v>25</v>
      </c>
      <c r="P144" s="1" t="s">
        <v>25</v>
      </c>
      <c r="Q144" s="1" t="s">
        <v>25</v>
      </c>
      <c r="R144" s="85" t="str">
        <f t="shared" si="8"/>
        <v>1345922</v>
      </c>
      <c r="S144" t="str">
        <f>VLOOKUP(A144,Data_NV!$A:$C,3,0)</f>
        <v xml:space="preserve"> Nguyễn Quốc Minh   </v>
      </c>
      <c r="T144" t="str">
        <f>VLOOKUP(A144,Data_NV!$A:$E,4,0)</f>
        <v>Vận Hành</v>
      </c>
      <c r="U144" s="82">
        <f>DATEVALUE(Table2[[#This Row],[Ngày]])</f>
        <v>45922</v>
      </c>
      <c r="V144" t="str">
        <f>VLOOKUP(A144,Data_NV!$A:$E,5,0)</f>
        <v>Đang làm việc</v>
      </c>
      <c r="W144" s="10">
        <f>VLOOKUP(A144,Data_NV!$A:$I,8,0)</f>
        <v>0.3125</v>
      </c>
      <c r="X144" s="10">
        <f>VLOOKUP(A144,Data_NV!$A:$I,9,0)</f>
        <v>0.6875</v>
      </c>
      <c r="Y144" s="10">
        <f>IFERROR(TIMEVALUE(Table2[[#This Row],[Vào]]),0)</f>
        <v>0.28841435185185182</v>
      </c>
      <c r="Z144" s="10">
        <f>IFERROR(TIMEVALUE(Table2[[#This Row],[Ra]]),0)</f>
        <v>0</v>
      </c>
      <c r="AA144" t="str">
        <f t="shared" si="9"/>
        <v>x</v>
      </c>
      <c r="AB144" s="105">
        <f t="shared" si="10"/>
        <v>0</v>
      </c>
      <c r="AC144" s="12" t="str">
        <f>IF(VLOOKUP(A144,Data_NV!$A:$I,7,0)="Không","",IF(OR(AND(Y144=0,Z144=0),AND(Y144&lt;&gt;0,Z144&lt;&gt;0)),"","Quên chấm công"))</f>
        <v/>
      </c>
      <c r="AD144" s="12">
        <f>IF(VLOOKUP(A144,Data_NV!$A:$I,7,0)="Không",0,IF(AND(Y144=0,Z144=0),0,IF(X144&lt;=Z144,0,ROUNDDOWN((X144-Z144)*24*60,0))))</f>
        <v>0</v>
      </c>
      <c r="AE144" s="12">
        <f>IF(VLOOKUP(A144,Data_NV!$A:$I,6,0)="Không",0,IF(Z144&lt;=X144,0,ROUNDDOWN((Z144-X144)*24*60,0)))</f>
        <v>0</v>
      </c>
      <c r="AF144" s="26">
        <f t="shared" si="11"/>
        <v>0</v>
      </c>
      <c r="AG144" s="27" t="str">
        <f>IF(AC144="","",IF(COUNTIFS($AC$3:AC144,"Quên chấm công",$S$3:S144,S144)&gt;3,"Không chấm công do vi phạm quá 3 lần",IF(COUNTIFS($AC$3:AC144,"Quên chấm công",$S$3:S144,S144)&gt;2,"Trừ toàn bộ chuyên cần tháng do vi phạm lần 3",IF(COUNTIFS($AC$3:AC144,"Quên chấm công",$S$3:S144,S144)&gt;1,"Trừ 1/2 ngày lương",50000))))</f>
        <v/>
      </c>
      <c r="AH144" s="12" t="str">
        <f>IF(AF144=0,"",IF(COUNTIFS($AF$3:AF144,"&gt;0",$S$3:S144,S144)&gt;3,"Trừ toàn bộ chuyên cần tháng",""))</f>
        <v/>
      </c>
      <c r="AI144" s="12"/>
    </row>
    <row r="145" spans="1:35" x14ac:dyDescent="0.25">
      <c r="A145" s="4" t="s">
        <v>198</v>
      </c>
      <c r="B145" s="1" t="s">
        <v>199</v>
      </c>
      <c r="C145" s="1" t="s">
        <v>20</v>
      </c>
      <c r="D145" s="1" t="s">
        <v>111</v>
      </c>
      <c r="E145" s="1" t="s">
        <v>22</v>
      </c>
      <c r="F145" s="1" t="s">
        <v>23</v>
      </c>
      <c r="G145" s="1" t="s">
        <v>12</v>
      </c>
      <c r="H145" s="1" t="s">
        <v>216</v>
      </c>
      <c r="I145" s="1" t="s">
        <v>24</v>
      </c>
      <c r="J145" s="1" t="s">
        <v>25</v>
      </c>
      <c r="K145" s="1" t="s">
        <v>25</v>
      </c>
      <c r="L145" s="1" t="s">
        <v>26</v>
      </c>
      <c r="M145" s="1" t="s">
        <v>25</v>
      </c>
      <c r="N145" s="1" t="s">
        <v>25</v>
      </c>
      <c r="O145" s="1" t="s">
        <v>25</v>
      </c>
      <c r="P145" s="1" t="s">
        <v>25</v>
      </c>
      <c r="Q145" s="1" t="s">
        <v>25</v>
      </c>
      <c r="R145" s="85" t="str">
        <f t="shared" si="8"/>
        <v>1345923</v>
      </c>
      <c r="S145" t="str">
        <f>VLOOKUP(A145,Data_NV!$A:$C,3,0)</f>
        <v xml:space="preserve"> Nguyễn Quốc Minh   </v>
      </c>
      <c r="T145" t="str">
        <f>VLOOKUP(A145,Data_NV!$A:$E,4,0)</f>
        <v>Vận Hành</v>
      </c>
      <c r="U145" s="82">
        <f>DATEVALUE(Table2[[#This Row],[Ngày]])</f>
        <v>45923</v>
      </c>
      <c r="V145" t="str">
        <f>VLOOKUP(A145,Data_NV!$A:$E,5,0)</f>
        <v>Đang làm việc</v>
      </c>
      <c r="W145" s="10">
        <f>VLOOKUP(A145,Data_NV!$A:$I,8,0)</f>
        <v>0.3125</v>
      </c>
      <c r="X145" s="10">
        <f>VLOOKUP(A145,Data_NV!$A:$I,9,0)</f>
        <v>0.6875</v>
      </c>
      <c r="Y145" s="10">
        <f>IFERROR(TIMEVALUE(Table2[[#This Row],[Vào]]),0)</f>
        <v>0.29269675925925925</v>
      </c>
      <c r="Z145" s="10">
        <f>IFERROR(TIMEVALUE(Table2[[#This Row],[Ra]]),0)</f>
        <v>0</v>
      </c>
      <c r="AA145" t="str">
        <f t="shared" si="9"/>
        <v>x</v>
      </c>
      <c r="AB145" s="105">
        <f t="shared" si="10"/>
        <v>0</v>
      </c>
      <c r="AC145" s="12" t="str">
        <f>IF(VLOOKUP(A145,Data_NV!$A:$I,7,0)="Không","",IF(OR(AND(Y145=0,Z145=0),AND(Y145&lt;&gt;0,Z145&lt;&gt;0)),"","Quên chấm công"))</f>
        <v/>
      </c>
      <c r="AD145" s="12">
        <f>IF(VLOOKUP(A145,Data_NV!$A:$I,7,0)="Không",0,IF(AND(Y145=0,Z145=0),0,IF(X145&lt;=Z145,0,ROUNDDOWN((X145-Z145)*24*60,0))))</f>
        <v>0</v>
      </c>
      <c r="AE145" s="12">
        <f>IF(VLOOKUP(A145,Data_NV!$A:$I,6,0)="Không",0,IF(Z145&lt;=X145,0,ROUNDDOWN((Z145-X145)*24*60,0)))</f>
        <v>0</v>
      </c>
      <c r="AF145" s="26">
        <f t="shared" si="11"/>
        <v>0</v>
      </c>
      <c r="AG145" s="27" t="str">
        <f>IF(AC145="","",IF(COUNTIFS($AC$3:AC145,"Quên chấm công",$S$3:S145,S145)&gt;3,"Không chấm công do vi phạm quá 3 lần",IF(COUNTIFS($AC$3:AC145,"Quên chấm công",$S$3:S145,S145)&gt;2,"Trừ toàn bộ chuyên cần tháng do vi phạm lần 3",IF(COUNTIFS($AC$3:AC145,"Quên chấm công",$S$3:S145,S145)&gt;1,"Trừ 1/2 ngày lương",50000))))</f>
        <v/>
      </c>
      <c r="AH145" s="12" t="str">
        <f>IF(AF145=0,"",IF(COUNTIFS($AF$3:AF145,"&gt;0",$S$3:S145,S145)&gt;3,"Trừ toàn bộ chuyên cần tháng",""))</f>
        <v/>
      </c>
      <c r="AI145" s="12"/>
    </row>
    <row r="146" spans="1:35" x14ac:dyDescent="0.25">
      <c r="A146" s="4" t="s">
        <v>198</v>
      </c>
      <c r="B146" s="1" t="s">
        <v>199</v>
      </c>
      <c r="C146" s="1" t="s">
        <v>20</v>
      </c>
      <c r="D146" s="1" t="s">
        <v>116</v>
      </c>
      <c r="E146" s="1" t="s">
        <v>22</v>
      </c>
      <c r="F146" s="1" t="s">
        <v>23</v>
      </c>
      <c r="G146" s="1" t="s">
        <v>12</v>
      </c>
      <c r="H146" s="1" t="s">
        <v>217</v>
      </c>
      <c r="I146" s="1" t="s">
        <v>24</v>
      </c>
      <c r="J146" s="1" t="s">
        <v>25</v>
      </c>
      <c r="K146" s="1" t="s">
        <v>25</v>
      </c>
      <c r="L146" s="1" t="s">
        <v>26</v>
      </c>
      <c r="M146" s="1" t="s">
        <v>25</v>
      </c>
      <c r="N146" s="1" t="s">
        <v>25</v>
      </c>
      <c r="O146" s="1" t="s">
        <v>25</v>
      </c>
      <c r="P146" s="1" t="s">
        <v>25</v>
      </c>
      <c r="Q146" s="1" t="s">
        <v>25</v>
      </c>
      <c r="R146" s="85" t="str">
        <f t="shared" si="8"/>
        <v>1345924</v>
      </c>
      <c r="S146" t="str">
        <f>VLOOKUP(A146,Data_NV!$A:$C,3,0)</f>
        <v xml:space="preserve"> Nguyễn Quốc Minh   </v>
      </c>
      <c r="T146" t="str">
        <f>VLOOKUP(A146,Data_NV!$A:$E,4,0)</f>
        <v>Vận Hành</v>
      </c>
      <c r="U146" s="82">
        <f>DATEVALUE(Table2[[#This Row],[Ngày]])</f>
        <v>45924</v>
      </c>
      <c r="V146" t="str">
        <f>VLOOKUP(A146,Data_NV!$A:$E,5,0)</f>
        <v>Đang làm việc</v>
      </c>
      <c r="W146" s="10">
        <f>VLOOKUP(A146,Data_NV!$A:$I,8,0)</f>
        <v>0.3125</v>
      </c>
      <c r="X146" s="10">
        <f>VLOOKUP(A146,Data_NV!$A:$I,9,0)</f>
        <v>0.6875</v>
      </c>
      <c r="Y146" s="10">
        <f>IFERROR(TIMEVALUE(Table2[[#This Row],[Vào]]),0)</f>
        <v>0.30054398148148148</v>
      </c>
      <c r="Z146" s="10">
        <f>IFERROR(TIMEVALUE(Table2[[#This Row],[Ra]]),0)</f>
        <v>0</v>
      </c>
      <c r="AA146" t="str">
        <f t="shared" si="9"/>
        <v>x</v>
      </c>
      <c r="AB146" s="105">
        <f t="shared" si="10"/>
        <v>0</v>
      </c>
      <c r="AC146" s="12" t="str">
        <f>IF(VLOOKUP(A146,Data_NV!$A:$I,7,0)="Không","",IF(OR(AND(Y146=0,Z146=0),AND(Y146&lt;&gt;0,Z146&lt;&gt;0)),"","Quên chấm công"))</f>
        <v/>
      </c>
      <c r="AD146" s="12">
        <f>IF(VLOOKUP(A146,Data_NV!$A:$I,7,0)="Không",0,IF(AND(Y146=0,Z146=0),0,IF(X146&lt;=Z146,0,ROUNDDOWN((X146-Z146)*24*60,0))))</f>
        <v>0</v>
      </c>
      <c r="AE146" s="12">
        <f>IF(VLOOKUP(A146,Data_NV!$A:$I,6,0)="Không",0,IF(Z146&lt;=X146,0,ROUNDDOWN((Z146-X146)*24*60,0)))</f>
        <v>0</v>
      </c>
      <c r="AF146" s="26">
        <f t="shared" si="11"/>
        <v>0</v>
      </c>
      <c r="AG146" s="27" t="str">
        <f>IF(AC146="","",IF(COUNTIFS($AC$3:AC146,"Quên chấm công",$S$3:S146,S146)&gt;3,"Không chấm công do vi phạm quá 3 lần",IF(COUNTIFS($AC$3:AC146,"Quên chấm công",$S$3:S146,S146)&gt;2,"Trừ toàn bộ chuyên cần tháng do vi phạm lần 3",IF(COUNTIFS($AC$3:AC146,"Quên chấm công",$S$3:S146,S146)&gt;1,"Trừ 1/2 ngày lương",50000))))</f>
        <v/>
      </c>
      <c r="AH146" s="12" t="str">
        <f>IF(AF146=0,"",IF(COUNTIFS($AF$3:AF146,"&gt;0",$S$3:S146,S146)&gt;3,"Trừ toàn bộ chuyên cần tháng",""))</f>
        <v/>
      </c>
      <c r="AI146" s="12"/>
    </row>
    <row r="147" spans="1:35" x14ac:dyDescent="0.25">
      <c r="A147" s="4" t="s">
        <v>198</v>
      </c>
      <c r="B147" s="1" t="s">
        <v>199</v>
      </c>
      <c r="C147" s="1" t="s">
        <v>20</v>
      </c>
      <c r="D147" s="1" t="s">
        <v>121</v>
      </c>
      <c r="E147" s="1" t="s">
        <v>22</v>
      </c>
      <c r="F147" s="1" t="s">
        <v>23</v>
      </c>
      <c r="G147" s="1" t="s">
        <v>12</v>
      </c>
      <c r="H147" s="1" t="s">
        <v>86</v>
      </c>
      <c r="I147" s="1" t="s">
        <v>24</v>
      </c>
      <c r="J147" s="1" t="s">
        <v>25</v>
      </c>
      <c r="K147" s="1" t="s">
        <v>25</v>
      </c>
      <c r="L147" s="1" t="s">
        <v>26</v>
      </c>
      <c r="M147" s="1" t="s">
        <v>25</v>
      </c>
      <c r="N147" s="1" t="s">
        <v>25</v>
      </c>
      <c r="O147" s="1" t="s">
        <v>25</v>
      </c>
      <c r="P147" s="1" t="s">
        <v>25</v>
      </c>
      <c r="Q147" s="1" t="s">
        <v>25</v>
      </c>
      <c r="R147" s="85" t="str">
        <f t="shared" si="8"/>
        <v>1345925</v>
      </c>
      <c r="S147" t="str">
        <f>VLOOKUP(A147,Data_NV!$A:$C,3,0)</f>
        <v xml:space="preserve"> Nguyễn Quốc Minh   </v>
      </c>
      <c r="T147" t="str">
        <f>VLOOKUP(A147,Data_NV!$A:$E,4,0)</f>
        <v>Vận Hành</v>
      </c>
      <c r="U147" s="82">
        <f>DATEVALUE(Table2[[#This Row],[Ngày]])</f>
        <v>45925</v>
      </c>
      <c r="V147" t="str">
        <f>VLOOKUP(A147,Data_NV!$A:$E,5,0)</f>
        <v>Đang làm việc</v>
      </c>
      <c r="W147" s="10">
        <f>VLOOKUP(A147,Data_NV!$A:$I,8,0)</f>
        <v>0.3125</v>
      </c>
      <c r="X147" s="10">
        <f>VLOOKUP(A147,Data_NV!$A:$I,9,0)</f>
        <v>0.6875</v>
      </c>
      <c r="Y147" s="10">
        <f>IFERROR(TIMEVALUE(Table2[[#This Row],[Vào]]),0)</f>
        <v>0.30554398148148149</v>
      </c>
      <c r="Z147" s="10">
        <f>IFERROR(TIMEVALUE(Table2[[#This Row],[Ra]]),0)</f>
        <v>0</v>
      </c>
      <c r="AA147" t="str">
        <f t="shared" si="9"/>
        <v>x</v>
      </c>
      <c r="AB147" s="105">
        <f t="shared" si="10"/>
        <v>0</v>
      </c>
      <c r="AC147" s="12" t="str">
        <f>IF(VLOOKUP(A147,Data_NV!$A:$I,7,0)="Không","",IF(OR(AND(Y147=0,Z147=0),AND(Y147&lt;&gt;0,Z147&lt;&gt;0)),"","Quên chấm công"))</f>
        <v/>
      </c>
      <c r="AD147" s="12">
        <f>IF(VLOOKUP(A147,Data_NV!$A:$I,7,0)="Không",0,IF(AND(Y147=0,Z147=0),0,IF(X147&lt;=Z147,0,ROUNDDOWN((X147-Z147)*24*60,0))))</f>
        <v>0</v>
      </c>
      <c r="AE147" s="12">
        <f>IF(VLOOKUP(A147,Data_NV!$A:$I,6,0)="Không",0,IF(Z147&lt;=X147,0,ROUNDDOWN((Z147-X147)*24*60,0)))</f>
        <v>0</v>
      </c>
      <c r="AF147" s="26">
        <f t="shared" si="11"/>
        <v>0</v>
      </c>
      <c r="AG147" s="27" t="str">
        <f>IF(AC147="","",IF(COUNTIFS($AC$3:AC147,"Quên chấm công",$S$3:S147,S147)&gt;3,"Không chấm công do vi phạm quá 3 lần",IF(COUNTIFS($AC$3:AC147,"Quên chấm công",$S$3:S147,S147)&gt;2,"Trừ toàn bộ chuyên cần tháng do vi phạm lần 3",IF(COUNTIFS($AC$3:AC147,"Quên chấm công",$S$3:S147,S147)&gt;1,"Trừ 1/2 ngày lương",50000))))</f>
        <v/>
      </c>
      <c r="AH147" s="12" t="str">
        <f>IF(AF147=0,"",IF(COUNTIFS($AF$3:AF147,"&gt;0",$S$3:S147,S147)&gt;3,"Trừ toàn bộ chuyên cần tháng",""))</f>
        <v/>
      </c>
      <c r="AI147" s="12"/>
    </row>
    <row r="148" spans="1:35" x14ac:dyDescent="0.25">
      <c r="A148" s="4" t="s">
        <v>198</v>
      </c>
      <c r="B148" s="1" t="s">
        <v>199</v>
      </c>
      <c r="C148" s="1" t="s">
        <v>20</v>
      </c>
      <c r="D148" s="1" t="s">
        <v>123</v>
      </c>
      <c r="E148" s="1" t="s">
        <v>22</v>
      </c>
      <c r="F148" s="1" t="s">
        <v>23</v>
      </c>
      <c r="G148" s="1" t="s">
        <v>12</v>
      </c>
      <c r="H148" s="1" t="s">
        <v>218</v>
      </c>
      <c r="I148" s="1" t="s">
        <v>24</v>
      </c>
      <c r="J148" s="1" t="s">
        <v>25</v>
      </c>
      <c r="K148" s="1" t="s">
        <v>25</v>
      </c>
      <c r="L148" s="1" t="s">
        <v>26</v>
      </c>
      <c r="M148" s="1" t="s">
        <v>25</v>
      </c>
      <c r="N148" s="1" t="s">
        <v>25</v>
      </c>
      <c r="O148" s="1" t="s">
        <v>25</v>
      </c>
      <c r="P148" s="1" t="s">
        <v>25</v>
      </c>
      <c r="Q148" s="1" t="s">
        <v>25</v>
      </c>
      <c r="R148" s="85" t="str">
        <f t="shared" si="8"/>
        <v>1345926</v>
      </c>
      <c r="S148" t="str">
        <f>VLOOKUP(A148,Data_NV!$A:$C,3,0)</f>
        <v xml:space="preserve"> Nguyễn Quốc Minh   </v>
      </c>
      <c r="T148" t="str">
        <f>VLOOKUP(A148,Data_NV!$A:$E,4,0)</f>
        <v>Vận Hành</v>
      </c>
      <c r="U148" s="82">
        <f>DATEVALUE(Table2[[#This Row],[Ngày]])</f>
        <v>45926</v>
      </c>
      <c r="V148" t="str">
        <f>VLOOKUP(A148,Data_NV!$A:$E,5,0)</f>
        <v>Đang làm việc</v>
      </c>
      <c r="W148" s="10">
        <f>VLOOKUP(A148,Data_NV!$A:$I,8,0)</f>
        <v>0.3125</v>
      </c>
      <c r="X148" s="10">
        <f>VLOOKUP(A148,Data_NV!$A:$I,9,0)</f>
        <v>0.6875</v>
      </c>
      <c r="Y148" s="10">
        <f>IFERROR(TIMEVALUE(Table2[[#This Row],[Vào]]),0)</f>
        <v>0.30872685185185184</v>
      </c>
      <c r="Z148" s="10">
        <f>IFERROR(TIMEVALUE(Table2[[#This Row],[Ra]]),0)</f>
        <v>0</v>
      </c>
      <c r="AA148" t="str">
        <f t="shared" si="9"/>
        <v>x</v>
      </c>
      <c r="AB148" s="105">
        <f t="shared" si="10"/>
        <v>0</v>
      </c>
      <c r="AC148" s="12" t="str">
        <f>IF(VLOOKUP(A148,Data_NV!$A:$I,7,0)="Không","",IF(OR(AND(Y148=0,Z148=0),AND(Y148&lt;&gt;0,Z148&lt;&gt;0)),"","Quên chấm công"))</f>
        <v/>
      </c>
      <c r="AD148" s="12">
        <f>IF(VLOOKUP(A148,Data_NV!$A:$I,7,0)="Không",0,IF(AND(Y148=0,Z148=0),0,IF(X148&lt;=Z148,0,ROUNDDOWN((X148-Z148)*24*60,0))))</f>
        <v>0</v>
      </c>
      <c r="AE148" s="12">
        <f>IF(VLOOKUP(A148,Data_NV!$A:$I,6,0)="Không",0,IF(Z148&lt;=X148,0,ROUNDDOWN((Z148-X148)*24*60,0)))</f>
        <v>0</v>
      </c>
      <c r="AF148" s="26">
        <f t="shared" si="11"/>
        <v>0</v>
      </c>
      <c r="AG148" s="27" t="str">
        <f>IF(AC148="","",IF(COUNTIFS($AC$3:AC148,"Quên chấm công",$S$3:S148,S148)&gt;3,"Không chấm công do vi phạm quá 3 lần",IF(COUNTIFS($AC$3:AC148,"Quên chấm công",$S$3:S148,S148)&gt;2,"Trừ toàn bộ chuyên cần tháng do vi phạm lần 3",IF(COUNTIFS($AC$3:AC148,"Quên chấm công",$S$3:S148,S148)&gt;1,"Trừ 1/2 ngày lương",50000))))</f>
        <v/>
      </c>
      <c r="AH148" s="12" t="str">
        <f>IF(AF148=0,"",IF(COUNTIFS($AF$3:AF148,"&gt;0",$S$3:S148,S148)&gt;3,"Trừ toàn bộ chuyên cần tháng",""))</f>
        <v/>
      </c>
      <c r="AI148" s="12"/>
    </row>
    <row r="149" spans="1:35" x14ac:dyDescent="0.25">
      <c r="A149" s="4" t="s">
        <v>198</v>
      </c>
      <c r="B149" s="1" t="s">
        <v>199</v>
      </c>
      <c r="C149" s="1" t="s">
        <v>20</v>
      </c>
      <c r="D149" s="1" t="s">
        <v>125</v>
      </c>
      <c r="E149" s="1" t="s">
        <v>22</v>
      </c>
      <c r="F149" s="1" t="s">
        <v>23</v>
      </c>
      <c r="G149" s="1" t="s">
        <v>12</v>
      </c>
      <c r="H149" s="1" t="s">
        <v>219</v>
      </c>
      <c r="I149" s="1" t="s">
        <v>24</v>
      </c>
      <c r="J149" s="1" t="s">
        <v>25</v>
      </c>
      <c r="K149" s="1" t="s">
        <v>25</v>
      </c>
      <c r="L149" s="1" t="s">
        <v>26</v>
      </c>
      <c r="M149" s="1" t="s">
        <v>25</v>
      </c>
      <c r="N149" s="1" t="s">
        <v>25</v>
      </c>
      <c r="O149" s="1" t="s">
        <v>25</v>
      </c>
      <c r="P149" s="1" t="s">
        <v>25</v>
      </c>
      <c r="Q149" s="1" t="s">
        <v>25</v>
      </c>
      <c r="R149" s="85" t="str">
        <f t="shared" si="8"/>
        <v>1345927</v>
      </c>
      <c r="S149" t="str">
        <f>VLOOKUP(A149,Data_NV!$A:$C,3,0)</f>
        <v xml:space="preserve"> Nguyễn Quốc Minh   </v>
      </c>
      <c r="T149" t="str">
        <f>VLOOKUP(A149,Data_NV!$A:$E,4,0)</f>
        <v>Vận Hành</v>
      </c>
      <c r="U149" s="82">
        <f>DATEVALUE(Table2[[#This Row],[Ngày]])</f>
        <v>45927</v>
      </c>
      <c r="V149" t="str">
        <f>VLOOKUP(A149,Data_NV!$A:$E,5,0)</f>
        <v>Đang làm việc</v>
      </c>
      <c r="W149" s="10">
        <f>VLOOKUP(A149,Data_NV!$A:$I,8,0)</f>
        <v>0.3125</v>
      </c>
      <c r="X149" s="10">
        <f>VLOOKUP(A149,Data_NV!$A:$I,9,0)</f>
        <v>0.6875</v>
      </c>
      <c r="Y149" s="10">
        <f>IFERROR(TIMEVALUE(Table2[[#This Row],[Vào]]),0)</f>
        <v>0.29925925925925928</v>
      </c>
      <c r="Z149" s="10">
        <f>IFERROR(TIMEVALUE(Table2[[#This Row],[Ra]]),0)</f>
        <v>0</v>
      </c>
      <c r="AA149" t="str">
        <f t="shared" si="9"/>
        <v>x</v>
      </c>
      <c r="AB149" s="105">
        <f t="shared" si="10"/>
        <v>0</v>
      </c>
      <c r="AC149" s="12" t="str">
        <f>IF(VLOOKUP(A149,Data_NV!$A:$I,7,0)="Không","",IF(OR(AND(Y149=0,Z149=0),AND(Y149&lt;&gt;0,Z149&lt;&gt;0)),"","Quên chấm công"))</f>
        <v/>
      </c>
      <c r="AD149" s="12">
        <f>IF(VLOOKUP(A149,Data_NV!$A:$I,7,0)="Không",0,IF(AND(Y149=0,Z149=0),0,IF(X149&lt;=Z149,0,ROUNDDOWN((X149-Z149)*24*60,0))))</f>
        <v>0</v>
      </c>
      <c r="AE149" s="12">
        <f>IF(VLOOKUP(A149,Data_NV!$A:$I,6,0)="Không",0,IF(Z149&lt;=X149,0,ROUNDDOWN((Z149-X149)*24*60,0)))</f>
        <v>0</v>
      </c>
      <c r="AF149" s="26">
        <f t="shared" si="11"/>
        <v>0</v>
      </c>
      <c r="AG149" s="27" t="str">
        <f>IF(AC149="","",IF(COUNTIFS($AC$3:AC149,"Quên chấm công",$S$3:S149,S149)&gt;3,"Không chấm công do vi phạm quá 3 lần",IF(COUNTIFS($AC$3:AC149,"Quên chấm công",$S$3:S149,S149)&gt;2,"Trừ toàn bộ chuyên cần tháng do vi phạm lần 3",IF(COUNTIFS($AC$3:AC149,"Quên chấm công",$S$3:S149,S149)&gt;1,"Trừ 1/2 ngày lương",50000))))</f>
        <v/>
      </c>
      <c r="AH149" s="12" t="str">
        <f>IF(AF149=0,"",IF(COUNTIFS($AF$3:AF149,"&gt;0",$S$3:S149,S149)&gt;3,"Trừ toàn bộ chuyên cần tháng",""))</f>
        <v/>
      </c>
      <c r="AI149" s="12"/>
    </row>
    <row r="150" spans="1:35" x14ac:dyDescent="0.25">
      <c r="A150" s="4" t="s">
        <v>198</v>
      </c>
      <c r="B150" s="1" t="s">
        <v>199</v>
      </c>
      <c r="C150" s="1" t="s">
        <v>20</v>
      </c>
      <c r="D150" s="1" t="s">
        <v>130</v>
      </c>
      <c r="E150" s="1" t="s">
        <v>22</v>
      </c>
      <c r="F150" s="1" t="s">
        <v>23</v>
      </c>
      <c r="G150" s="1" t="s">
        <v>12</v>
      </c>
      <c r="H150" s="1" t="s">
        <v>24</v>
      </c>
      <c r="I150" s="1" t="s">
        <v>24</v>
      </c>
      <c r="J150" s="1" t="s">
        <v>25</v>
      </c>
      <c r="K150" s="1" t="s">
        <v>25</v>
      </c>
      <c r="L150" s="1" t="s">
        <v>26</v>
      </c>
      <c r="M150" s="1" t="s">
        <v>25</v>
      </c>
      <c r="N150" s="1" t="s">
        <v>25</v>
      </c>
      <c r="O150" s="1" t="s">
        <v>25</v>
      </c>
      <c r="P150" s="1" t="s">
        <v>25</v>
      </c>
      <c r="Q150" s="1" t="s">
        <v>25</v>
      </c>
      <c r="R150" s="85" t="str">
        <f t="shared" si="8"/>
        <v>1345928</v>
      </c>
      <c r="S150" t="str">
        <f>VLOOKUP(A150,Data_NV!$A:$C,3,0)</f>
        <v xml:space="preserve"> Nguyễn Quốc Minh   </v>
      </c>
      <c r="T150" t="str">
        <f>VLOOKUP(A150,Data_NV!$A:$E,4,0)</f>
        <v>Vận Hành</v>
      </c>
      <c r="U150" s="82">
        <f>DATEVALUE(Table2[[#This Row],[Ngày]])</f>
        <v>45928</v>
      </c>
      <c r="V150" t="str">
        <f>VLOOKUP(A150,Data_NV!$A:$E,5,0)</f>
        <v>Đang làm việc</v>
      </c>
      <c r="W150" s="10">
        <f>VLOOKUP(A150,Data_NV!$A:$I,8,0)</f>
        <v>0.3125</v>
      </c>
      <c r="X150" s="10">
        <f>VLOOKUP(A150,Data_NV!$A:$I,9,0)</f>
        <v>0.6875</v>
      </c>
      <c r="Y150" s="10">
        <f>IFERROR(TIMEVALUE(Table2[[#This Row],[Vào]]),0)</f>
        <v>0</v>
      </c>
      <c r="Z150" s="10">
        <f>IFERROR(TIMEVALUE(Table2[[#This Row],[Ra]]),0)</f>
        <v>0</v>
      </c>
      <c r="AA150" t="str">
        <f t="shared" si="9"/>
        <v>Chủ nhật</v>
      </c>
      <c r="AB150" s="105">
        <f t="shared" si="10"/>
        <v>0</v>
      </c>
      <c r="AC150" s="12" t="str">
        <f>IF(VLOOKUP(A150,Data_NV!$A:$I,7,0)="Không","",IF(OR(AND(Y150=0,Z150=0),AND(Y150&lt;&gt;0,Z150&lt;&gt;0)),"","Quên chấm công"))</f>
        <v/>
      </c>
      <c r="AD150" s="12">
        <f>IF(VLOOKUP(A150,Data_NV!$A:$I,7,0)="Không",0,IF(AND(Y150=0,Z150=0),0,IF(X150&lt;=Z150,0,ROUNDDOWN((X150-Z150)*24*60,0))))</f>
        <v>0</v>
      </c>
      <c r="AE150" s="12">
        <f>IF(VLOOKUP(A150,Data_NV!$A:$I,6,0)="Không",0,IF(Z150&lt;=X150,0,ROUNDDOWN((Z150-X150)*24*60,0)))</f>
        <v>0</v>
      </c>
      <c r="AF150" s="26">
        <f t="shared" si="11"/>
        <v>0</v>
      </c>
      <c r="AG150" s="27" t="str">
        <f>IF(AC150="","",IF(COUNTIFS($AC$3:AC150,"Quên chấm công",$S$3:S150,S150)&gt;3,"Không chấm công do vi phạm quá 3 lần",IF(COUNTIFS($AC$3:AC150,"Quên chấm công",$S$3:S150,S150)&gt;2,"Trừ toàn bộ chuyên cần tháng do vi phạm lần 3",IF(COUNTIFS($AC$3:AC150,"Quên chấm công",$S$3:S150,S150)&gt;1,"Trừ 1/2 ngày lương",50000))))</f>
        <v/>
      </c>
      <c r="AH150" s="12" t="str">
        <f>IF(AF150=0,"",IF(COUNTIFS($AF$3:AF150,"&gt;0",$S$3:S150,S150)&gt;3,"Trừ toàn bộ chuyên cần tháng",""))</f>
        <v/>
      </c>
      <c r="AI150" s="12"/>
    </row>
    <row r="151" spans="1:35" x14ac:dyDescent="0.25">
      <c r="A151" s="4" t="s">
        <v>198</v>
      </c>
      <c r="B151" s="1" t="s">
        <v>199</v>
      </c>
      <c r="C151" s="1" t="s">
        <v>20</v>
      </c>
      <c r="D151" s="1" t="s">
        <v>131</v>
      </c>
      <c r="E151" s="1" t="s">
        <v>22</v>
      </c>
      <c r="F151" s="1" t="s">
        <v>23</v>
      </c>
      <c r="G151" s="1" t="s">
        <v>12</v>
      </c>
      <c r="H151" s="1" t="s">
        <v>220</v>
      </c>
      <c r="I151" s="1" t="s">
        <v>24</v>
      </c>
      <c r="J151" s="1" t="s">
        <v>25</v>
      </c>
      <c r="K151" s="1" t="s">
        <v>25</v>
      </c>
      <c r="L151" s="1" t="s">
        <v>26</v>
      </c>
      <c r="M151" s="1" t="s">
        <v>25</v>
      </c>
      <c r="N151" s="1" t="s">
        <v>25</v>
      </c>
      <c r="O151" s="1" t="s">
        <v>25</v>
      </c>
      <c r="P151" s="1" t="s">
        <v>25</v>
      </c>
      <c r="Q151" s="1" t="s">
        <v>25</v>
      </c>
      <c r="R151" s="85" t="str">
        <f t="shared" si="8"/>
        <v>1345929</v>
      </c>
      <c r="S151" t="str">
        <f>VLOOKUP(A151,Data_NV!$A:$C,3,0)</f>
        <v xml:space="preserve"> Nguyễn Quốc Minh   </v>
      </c>
      <c r="T151" t="str">
        <f>VLOOKUP(A151,Data_NV!$A:$E,4,0)</f>
        <v>Vận Hành</v>
      </c>
      <c r="U151" s="82">
        <f>DATEVALUE(Table2[[#This Row],[Ngày]])</f>
        <v>45929</v>
      </c>
      <c r="V151" t="str">
        <f>VLOOKUP(A151,Data_NV!$A:$E,5,0)</f>
        <v>Đang làm việc</v>
      </c>
      <c r="W151" s="10">
        <f>VLOOKUP(A151,Data_NV!$A:$I,8,0)</f>
        <v>0.3125</v>
      </c>
      <c r="X151" s="10">
        <f>VLOOKUP(A151,Data_NV!$A:$I,9,0)</f>
        <v>0.6875</v>
      </c>
      <c r="Y151" s="10">
        <f>IFERROR(TIMEVALUE(Table2[[#This Row],[Vào]]),0)</f>
        <v>0.32969907407407406</v>
      </c>
      <c r="Z151" s="10">
        <f>IFERROR(TIMEVALUE(Table2[[#This Row],[Ra]]),0)</f>
        <v>0</v>
      </c>
      <c r="AA151" t="str">
        <f t="shared" si="9"/>
        <v>x</v>
      </c>
      <c r="AB151" s="105">
        <f t="shared" si="10"/>
        <v>24.766666666666648</v>
      </c>
      <c r="AC151" s="12" t="str">
        <f>IF(VLOOKUP(A151,Data_NV!$A:$I,7,0)="Không","",IF(OR(AND(Y151=0,Z151=0),AND(Y151&lt;&gt;0,Z151&lt;&gt;0)),"","Quên chấm công"))</f>
        <v/>
      </c>
      <c r="AD151" s="12">
        <f>IF(VLOOKUP(A151,Data_NV!$A:$I,7,0)="Không",0,IF(AND(Y151=0,Z151=0),0,IF(X151&lt;=Z151,0,ROUNDDOWN((X151-Z151)*24*60,0))))</f>
        <v>0</v>
      </c>
      <c r="AE151" s="12">
        <f>IF(VLOOKUP(A151,Data_NV!$A:$I,6,0)="Không",0,IF(Z151&lt;=X151,0,ROUNDDOWN((Z151-X151)*24*60,0)))</f>
        <v>0</v>
      </c>
      <c r="AF151" s="26">
        <f t="shared" si="11"/>
        <v>50000</v>
      </c>
      <c r="AG151" s="27" t="str">
        <f>IF(AC151="","",IF(COUNTIFS($AC$3:AC151,"Quên chấm công",$S$3:S151,S151)&gt;3,"Không chấm công do vi phạm quá 3 lần",IF(COUNTIFS($AC$3:AC151,"Quên chấm công",$S$3:S151,S151)&gt;2,"Trừ toàn bộ chuyên cần tháng do vi phạm lần 3",IF(COUNTIFS($AC$3:AC151,"Quên chấm công",$S$3:S151,S151)&gt;1,"Trừ 1/2 ngày lương",50000))))</f>
        <v/>
      </c>
      <c r="AH151" s="12" t="str">
        <f>IF(AF151=0,"",IF(COUNTIFS($AF$3:AF151,"&gt;0",$S$3:S151,S151)&gt;3,"Trừ toàn bộ chuyên cần tháng",""))</f>
        <v/>
      </c>
      <c r="AI151" s="12"/>
    </row>
    <row r="152" spans="1:35" x14ac:dyDescent="0.25">
      <c r="A152" s="4" t="s">
        <v>198</v>
      </c>
      <c r="B152" s="1" t="s">
        <v>199</v>
      </c>
      <c r="C152" s="1" t="s">
        <v>20</v>
      </c>
      <c r="D152" s="1" t="s">
        <v>136</v>
      </c>
      <c r="E152" s="1" t="s">
        <v>22</v>
      </c>
      <c r="F152" s="1" t="s">
        <v>23</v>
      </c>
      <c r="G152" s="1" t="s">
        <v>12</v>
      </c>
      <c r="H152" s="1" t="s">
        <v>24</v>
      </c>
      <c r="I152" s="1" t="s">
        <v>24</v>
      </c>
      <c r="J152" s="1" t="s">
        <v>25</v>
      </c>
      <c r="K152" s="1" t="s">
        <v>25</v>
      </c>
      <c r="L152" s="1" t="s">
        <v>26</v>
      </c>
      <c r="M152" s="1" t="s">
        <v>25</v>
      </c>
      <c r="N152" s="1" t="s">
        <v>25</v>
      </c>
      <c r="O152" s="1" t="s">
        <v>25</v>
      </c>
      <c r="P152" s="1" t="s">
        <v>25</v>
      </c>
      <c r="Q152" s="1" t="s">
        <v>25</v>
      </c>
      <c r="R152" s="85" t="str">
        <f t="shared" si="8"/>
        <v>1345930</v>
      </c>
      <c r="S152" t="str">
        <f>VLOOKUP(A152,Data_NV!$A:$C,3,0)</f>
        <v xml:space="preserve"> Nguyễn Quốc Minh   </v>
      </c>
      <c r="T152" t="str">
        <f>VLOOKUP(A152,Data_NV!$A:$E,4,0)</f>
        <v>Vận Hành</v>
      </c>
      <c r="U152" s="82">
        <f>DATEVALUE(Table2[[#This Row],[Ngày]])</f>
        <v>45930</v>
      </c>
      <c r="V152" t="str">
        <f>VLOOKUP(A152,Data_NV!$A:$E,5,0)</f>
        <v>Đang làm việc</v>
      </c>
      <c r="W152" s="10">
        <f>VLOOKUP(A152,Data_NV!$A:$I,8,0)</f>
        <v>0.3125</v>
      </c>
      <c r="X152" s="10">
        <f>VLOOKUP(A152,Data_NV!$A:$I,9,0)</f>
        <v>0.6875</v>
      </c>
      <c r="Y152" s="10">
        <f>IFERROR(TIMEVALUE(Table2[[#This Row],[Vào]]),0)</f>
        <v>0</v>
      </c>
      <c r="Z152" s="10">
        <f>IFERROR(TIMEVALUE(Table2[[#This Row],[Ra]]),0)</f>
        <v>0</v>
      </c>
      <c r="AA152" t="str">
        <f t="shared" si="9"/>
        <v/>
      </c>
      <c r="AB152" s="105">
        <f t="shared" si="10"/>
        <v>0</v>
      </c>
      <c r="AC152" s="12" t="str">
        <f>IF(VLOOKUP(A152,Data_NV!$A:$I,7,0)="Không","",IF(OR(AND(Y152=0,Z152=0),AND(Y152&lt;&gt;0,Z152&lt;&gt;0)),"","Quên chấm công"))</f>
        <v/>
      </c>
      <c r="AD152" s="12">
        <f>IF(VLOOKUP(A152,Data_NV!$A:$I,7,0)="Không",0,IF(AND(Y152=0,Z152=0),0,IF(X152&lt;=Z152,0,ROUNDDOWN((X152-Z152)*24*60,0))))</f>
        <v>0</v>
      </c>
      <c r="AE152" s="12">
        <f>IF(VLOOKUP(A152,Data_NV!$A:$I,6,0)="Không",0,IF(Z152&lt;=X152,0,ROUNDDOWN((Z152-X152)*24*60,0)))</f>
        <v>0</v>
      </c>
      <c r="AF152" s="26">
        <f t="shared" si="11"/>
        <v>0</v>
      </c>
      <c r="AG152" s="27" t="str">
        <f>IF(AC152="","",IF(COUNTIFS($AC$3:AC152,"Quên chấm công",$S$3:S152,S152)&gt;3,"Không chấm công do vi phạm quá 3 lần",IF(COUNTIFS($AC$3:AC152,"Quên chấm công",$S$3:S152,S152)&gt;2,"Trừ toàn bộ chuyên cần tháng do vi phạm lần 3",IF(COUNTIFS($AC$3:AC152,"Quên chấm công",$S$3:S152,S152)&gt;1,"Trừ 1/2 ngày lương",50000))))</f>
        <v/>
      </c>
      <c r="AH152" s="12" t="str">
        <f>IF(AF152=0,"",IF(COUNTIFS($AF$3:AF152,"&gt;0",$S$3:S152,S152)&gt;3,"Trừ toàn bộ chuyên cần tháng",""))</f>
        <v/>
      </c>
      <c r="AI152" s="12"/>
    </row>
    <row r="153" spans="1:35" x14ac:dyDescent="0.25">
      <c r="A153" s="4" t="s">
        <v>231</v>
      </c>
      <c r="B153" s="1" t="s">
        <v>232</v>
      </c>
      <c r="C153" s="1" t="s">
        <v>20</v>
      </c>
      <c r="D153" s="1" t="s">
        <v>21</v>
      </c>
      <c r="E153" s="1" t="s">
        <v>22</v>
      </c>
      <c r="F153" s="1" t="s">
        <v>23</v>
      </c>
      <c r="G153" s="1" t="s">
        <v>12</v>
      </c>
      <c r="H153" s="1" t="s">
        <v>24</v>
      </c>
      <c r="I153" s="1" t="s">
        <v>24</v>
      </c>
      <c r="J153" s="1" t="s">
        <v>25</v>
      </c>
      <c r="K153" s="1" t="s">
        <v>25</v>
      </c>
      <c r="L153" s="1" t="s">
        <v>26</v>
      </c>
      <c r="M153" s="1" t="s">
        <v>25</v>
      </c>
      <c r="N153" s="1" t="s">
        <v>25</v>
      </c>
      <c r="O153" s="1" t="s">
        <v>25</v>
      </c>
      <c r="P153" s="1" t="s">
        <v>25</v>
      </c>
      <c r="Q153" s="1" t="s">
        <v>25</v>
      </c>
      <c r="R153" s="85" t="str">
        <f t="shared" si="8"/>
        <v>1945901</v>
      </c>
      <c r="S153" t="str">
        <f>VLOOKUP(A153,Data_NV!$A:$C,3,0)</f>
        <v xml:space="preserve"> Hứa Thị Ngọc Thơ  </v>
      </c>
      <c r="T153" t="str">
        <f>VLOOKUP(A153,Data_NV!$A:$E,4,0)</f>
        <v>Kinh doanh</v>
      </c>
      <c r="U153" s="82">
        <f>DATEVALUE(Table2[[#This Row],[Ngày]])</f>
        <v>45901</v>
      </c>
      <c r="V153" t="str">
        <f>VLOOKUP(A153,Data_NV!$A:$E,5,0)</f>
        <v>Đang làm việc</v>
      </c>
      <c r="W153" s="10">
        <f>VLOOKUP(A153,Data_NV!$A:$I,8,0)</f>
        <v>0.33333333333333331</v>
      </c>
      <c r="X153" s="10">
        <f>VLOOKUP(A153,Data_NV!$A:$I,9,0)</f>
        <v>0.70833333333333337</v>
      </c>
      <c r="Y153" s="10">
        <f>IFERROR(TIMEVALUE(Table2[[#This Row],[Vào]]),0)</f>
        <v>0</v>
      </c>
      <c r="Z153" s="10">
        <f>IFERROR(TIMEVALUE(Table2[[#This Row],[Ra]]),0)</f>
        <v>0</v>
      </c>
      <c r="AA153" s="97" t="s">
        <v>1349</v>
      </c>
      <c r="AB153" s="105">
        <f t="shared" si="10"/>
        <v>0</v>
      </c>
      <c r="AC153" s="12" t="str">
        <f>IF(VLOOKUP(A153,Data_NV!$A:$I,7,0)="Không","",IF(OR(AND(Y153=0,Z153=0),AND(Y153&lt;&gt;0,Z153&lt;&gt;0)),"","Quên chấm công"))</f>
        <v/>
      </c>
      <c r="AD153" s="12">
        <f>IF(VLOOKUP(A153,Data_NV!$A:$I,7,0)="Không",0,IF(AND(Y153=0,Z153=0),0,IF(X153&lt;=Z153,0,ROUNDDOWN((X153-Z153)*24*60,0))))</f>
        <v>0</v>
      </c>
      <c r="AE153" s="12">
        <f>IF(VLOOKUP(A153,Data_NV!$A:$I,6,0)="Không",0,IF(Z153&lt;=X153,0,ROUNDDOWN((Z153-X153)*24*60,0)))</f>
        <v>0</v>
      </c>
      <c r="AF153" s="26">
        <f t="shared" si="11"/>
        <v>0</v>
      </c>
      <c r="AG153" s="27" t="str">
        <f>IF(AC153="","",IF(COUNTIFS($AC$3:AC153,"Quên chấm công",$S$3:S153,S153)&gt;3,"Không chấm công do vi phạm quá 3 lần",IF(COUNTIFS($AC$3:AC153,"Quên chấm công",$S$3:S153,S153)&gt;2,"Trừ toàn bộ chuyên cần tháng do vi phạm lần 3",IF(COUNTIFS($AC$3:AC153,"Quên chấm công",$S$3:S153,S153)&gt;1,"Trừ 1/2 ngày lương",50000))))</f>
        <v/>
      </c>
      <c r="AH153" s="12" t="str">
        <f>IF(AF153=0,"",IF(COUNTIFS($AF$3:AF153,"&gt;0",$S$3:S153,S153)&gt;3,"Trừ toàn bộ chuyên cần tháng",""))</f>
        <v/>
      </c>
      <c r="AI153" s="98" t="s">
        <v>1369</v>
      </c>
    </row>
    <row r="154" spans="1:35" x14ac:dyDescent="0.25">
      <c r="A154" s="4" t="s">
        <v>231</v>
      </c>
      <c r="B154" s="1" t="s">
        <v>232</v>
      </c>
      <c r="C154" s="1" t="s">
        <v>20</v>
      </c>
      <c r="D154" s="1" t="s">
        <v>27</v>
      </c>
      <c r="E154" s="1" t="s">
        <v>22</v>
      </c>
      <c r="F154" s="1" t="s">
        <v>23</v>
      </c>
      <c r="G154" s="1" t="s">
        <v>12</v>
      </c>
      <c r="H154" s="1" t="s">
        <v>24</v>
      </c>
      <c r="I154" s="1" t="s">
        <v>24</v>
      </c>
      <c r="J154" s="1" t="s">
        <v>25</v>
      </c>
      <c r="K154" s="1" t="s">
        <v>25</v>
      </c>
      <c r="L154" s="1" t="s">
        <v>26</v>
      </c>
      <c r="M154" s="1" t="s">
        <v>25</v>
      </c>
      <c r="N154" s="1" t="s">
        <v>25</v>
      </c>
      <c r="O154" s="1" t="s">
        <v>25</v>
      </c>
      <c r="P154" s="1" t="s">
        <v>25</v>
      </c>
      <c r="Q154" s="1" t="s">
        <v>25</v>
      </c>
      <c r="R154" s="85" t="str">
        <f t="shared" si="8"/>
        <v>1945902</v>
      </c>
      <c r="S154" t="str">
        <f>VLOOKUP(A154,Data_NV!$A:$C,3,0)</f>
        <v xml:space="preserve"> Hứa Thị Ngọc Thơ  </v>
      </c>
      <c r="T154" t="str">
        <f>VLOOKUP(A154,Data_NV!$A:$E,4,0)</f>
        <v>Kinh doanh</v>
      </c>
      <c r="U154" s="82">
        <f>DATEVALUE(Table2[[#This Row],[Ngày]])</f>
        <v>45902</v>
      </c>
      <c r="V154" t="str">
        <f>VLOOKUP(A154,Data_NV!$A:$E,5,0)</f>
        <v>Đang làm việc</v>
      </c>
      <c r="W154" s="10">
        <f>VLOOKUP(A154,Data_NV!$A:$I,8,0)</f>
        <v>0.33333333333333331</v>
      </c>
      <c r="X154" s="10">
        <f>VLOOKUP(A154,Data_NV!$A:$I,9,0)</f>
        <v>0.70833333333333337</v>
      </c>
      <c r="Y154" s="10">
        <f>IFERROR(TIMEVALUE(Table2[[#This Row],[Vào]]),0)</f>
        <v>0</v>
      </c>
      <c r="Z154" s="10">
        <f>IFERROR(TIMEVALUE(Table2[[#This Row],[Ra]]),0)</f>
        <v>0</v>
      </c>
      <c r="AA154" s="97" t="s">
        <v>1349</v>
      </c>
      <c r="AB154" s="105">
        <f t="shared" si="10"/>
        <v>0</v>
      </c>
      <c r="AC154" s="12" t="str">
        <f>IF(VLOOKUP(A154,Data_NV!$A:$I,7,0)="Không","",IF(OR(AND(Y154=0,Z154=0),AND(Y154&lt;&gt;0,Z154&lt;&gt;0)),"","Quên chấm công"))</f>
        <v/>
      </c>
      <c r="AD154" s="12">
        <f>IF(VLOOKUP(A154,Data_NV!$A:$I,7,0)="Không",0,IF(AND(Y154=0,Z154=0),0,IF(X154&lt;=Z154,0,ROUNDDOWN((X154-Z154)*24*60,0))))</f>
        <v>0</v>
      </c>
      <c r="AE154" s="12">
        <f>IF(VLOOKUP(A154,Data_NV!$A:$I,6,0)="Không",0,IF(Z154&lt;=X154,0,ROUNDDOWN((Z154-X154)*24*60,0)))</f>
        <v>0</v>
      </c>
      <c r="AF154" s="26">
        <f t="shared" si="11"/>
        <v>0</v>
      </c>
      <c r="AG154" s="27" t="str">
        <f>IF(AC154="","",IF(COUNTIFS($AC$3:AC154,"Quên chấm công",$S$3:S154,S154)&gt;3,"Không chấm công do vi phạm quá 3 lần",IF(COUNTIFS($AC$3:AC154,"Quên chấm công",$S$3:S154,S154)&gt;2,"Trừ toàn bộ chuyên cần tháng do vi phạm lần 3",IF(COUNTIFS($AC$3:AC154,"Quên chấm công",$S$3:S154,S154)&gt;1,"Trừ 1/2 ngày lương",50000))))</f>
        <v/>
      </c>
      <c r="AH154" s="12" t="str">
        <f>IF(AF154=0,"",IF(COUNTIFS($AF$3:AF154,"&gt;0",$S$3:S154,S154)&gt;3,"Trừ toàn bộ chuyên cần tháng",""))</f>
        <v/>
      </c>
      <c r="AI154" s="98" t="s">
        <v>1369</v>
      </c>
    </row>
    <row r="155" spans="1:35" x14ac:dyDescent="0.25">
      <c r="A155" s="4" t="s">
        <v>231</v>
      </c>
      <c r="B155" s="1" t="s">
        <v>232</v>
      </c>
      <c r="C155" s="1" t="s">
        <v>20</v>
      </c>
      <c r="D155" s="1" t="s">
        <v>28</v>
      </c>
      <c r="E155" s="1" t="s">
        <v>22</v>
      </c>
      <c r="F155" s="1" t="s">
        <v>23</v>
      </c>
      <c r="G155" s="1" t="s">
        <v>12</v>
      </c>
      <c r="H155" s="1" t="s">
        <v>233</v>
      </c>
      <c r="I155" s="1" t="s">
        <v>24</v>
      </c>
      <c r="J155" s="1" t="s">
        <v>25</v>
      </c>
      <c r="K155" s="1" t="s">
        <v>25</v>
      </c>
      <c r="L155" s="1" t="s">
        <v>26</v>
      </c>
      <c r="M155" s="1" t="s">
        <v>25</v>
      </c>
      <c r="N155" s="1" t="s">
        <v>25</v>
      </c>
      <c r="O155" s="1" t="s">
        <v>25</v>
      </c>
      <c r="P155" s="1" t="s">
        <v>25</v>
      </c>
      <c r="Q155" s="1" t="s">
        <v>25</v>
      </c>
      <c r="R155" s="85" t="str">
        <f t="shared" si="8"/>
        <v>1945903</v>
      </c>
      <c r="S155" t="str">
        <f>VLOOKUP(A155,Data_NV!$A:$C,3,0)</f>
        <v xml:space="preserve"> Hứa Thị Ngọc Thơ  </v>
      </c>
      <c r="T155" t="str">
        <f>VLOOKUP(A155,Data_NV!$A:$E,4,0)</f>
        <v>Kinh doanh</v>
      </c>
      <c r="U155" s="82">
        <f>DATEVALUE(Table2[[#This Row],[Ngày]])</f>
        <v>45903</v>
      </c>
      <c r="V155" t="str">
        <f>VLOOKUP(A155,Data_NV!$A:$E,5,0)</f>
        <v>Đang làm việc</v>
      </c>
      <c r="W155" s="10">
        <f>VLOOKUP(A155,Data_NV!$A:$I,8,0)</f>
        <v>0.33333333333333331</v>
      </c>
      <c r="X155" s="10">
        <f>VLOOKUP(A155,Data_NV!$A:$I,9,0)</f>
        <v>0.70833333333333337</v>
      </c>
      <c r="Y155" s="10">
        <f>IFERROR(TIMEVALUE(Table2[[#This Row],[Vào]]),0)</f>
        <v>0.32128472222222221</v>
      </c>
      <c r="Z155" s="10">
        <f>IFERROR(TIMEVALUE(Table2[[#This Row],[Ra]]),0)</f>
        <v>0</v>
      </c>
      <c r="AA155" t="str">
        <f t="shared" si="9"/>
        <v>x</v>
      </c>
      <c r="AB155" s="105">
        <f t="shared" si="10"/>
        <v>0</v>
      </c>
      <c r="AC155" s="12" t="str">
        <f>IF(VLOOKUP(A155,Data_NV!$A:$I,7,0)="Không","",IF(OR(AND(Y155=0,Z155=0),AND(Y155&lt;&gt;0,Z155&lt;&gt;0)),"","Quên chấm công"))</f>
        <v/>
      </c>
      <c r="AD155" s="12">
        <f>IF(VLOOKUP(A155,Data_NV!$A:$I,7,0)="Không",0,IF(AND(Y155=0,Z155=0),0,IF(X155&lt;=Z155,0,ROUNDDOWN((X155-Z155)*24*60,0))))</f>
        <v>0</v>
      </c>
      <c r="AE155" s="12">
        <f>IF(VLOOKUP(A155,Data_NV!$A:$I,6,0)="Không",0,IF(Z155&lt;=X155,0,ROUNDDOWN((Z155-X155)*24*60,0)))</f>
        <v>0</v>
      </c>
      <c r="AF155" s="26">
        <f t="shared" si="11"/>
        <v>0</v>
      </c>
      <c r="AG155" s="27" t="str">
        <f>IF(AC155="","",IF(COUNTIFS($AC$3:AC155,"Quên chấm công",$S$3:S155,S155)&gt;3,"Không chấm công do vi phạm quá 3 lần",IF(COUNTIFS($AC$3:AC155,"Quên chấm công",$S$3:S155,S155)&gt;2,"Trừ toàn bộ chuyên cần tháng do vi phạm lần 3",IF(COUNTIFS($AC$3:AC155,"Quên chấm công",$S$3:S155,S155)&gt;1,"Trừ 1/2 ngày lương",50000))))</f>
        <v/>
      </c>
      <c r="AH155" s="12" t="str">
        <f>IF(AF155=0,"",IF(COUNTIFS($AF$3:AF155,"&gt;0",$S$3:S155,S155)&gt;3,"Trừ toàn bộ chuyên cần tháng",""))</f>
        <v/>
      </c>
      <c r="AI155" s="12"/>
    </row>
    <row r="156" spans="1:35" x14ac:dyDescent="0.25">
      <c r="A156" s="4" t="s">
        <v>231</v>
      </c>
      <c r="B156" s="1" t="s">
        <v>232</v>
      </c>
      <c r="C156" s="1" t="s">
        <v>20</v>
      </c>
      <c r="D156" s="1" t="s">
        <v>35</v>
      </c>
      <c r="E156" s="1" t="s">
        <v>22</v>
      </c>
      <c r="F156" s="1" t="s">
        <v>23</v>
      </c>
      <c r="G156" s="1" t="s">
        <v>12</v>
      </c>
      <c r="H156" s="1" t="s">
        <v>234</v>
      </c>
      <c r="I156" s="1" t="s">
        <v>24</v>
      </c>
      <c r="J156" s="1" t="s">
        <v>25</v>
      </c>
      <c r="K156" s="1" t="s">
        <v>25</v>
      </c>
      <c r="L156" s="1" t="s">
        <v>26</v>
      </c>
      <c r="M156" s="1" t="s">
        <v>25</v>
      </c>
      <c r="N156" s="1" t="s">
        <v>25</v>
      </c>
      <c r="O156" s="1" t="s">
        <v>25</v>
      </c>
      <c r="P156" s="1" t="s">
        <v>25</v>
      </c>
      <c r="Q156" s="1" t="s">
        <v>25</v>
      </c>
      <c r="R156" s="85" t="str">
        <f t="shared" si="8"/>
        <v>1945904</v>
      </c>
      <c r="S156" t="str">
        <f>VLOOKUP(A156,Data_NV!$A:$C,3,0)</f>
        <v xml:space="preserve"> Hứa Thị Ngọc Thơ  </v>
      </c>
      <c r="T156" t="str">
        <f>VLOOKUP(A156,Data_NV!$A:$E,4,0)</f>
        <v>Kinh doanh</v>
      </c>
      <c r="U156" s="82">
        <f>DATEVALUE(Table2[[#This Row],[Ngày]])</f>
        <v>45904</v>
      </c>
      <c r="V156" t="str">
        <f>VLOOKUP(A156,Data_NV!$A:$E,5,0)</f>
        <v>Đang làm việc</v>
      </c>
      <c r="W156" s="10">
        <f>VLOOKUP(A156,Data_NV!$A:$I,8,0)</f>
        <v>0.33333333333333331</v>
      </c>
      <c r="X156" s="10">
        <f>VLOOKUP(A156,Data_NV!$A:$I,9,0)</f>
        <v>0.70833333333333337</v>
      </c>
      <c r="Y156" s="10">
        <f>IFERROR(TIMEVALUE(Table2[[#This Row],[Vào]]),0)</f>
        <v>0.33109953703703704</v>
      </c>
      <c r="Z156" s="10">
        <f>IFERROR(TIMEVALUE(Table2[[#This Row],[Ra]]),0)</f>
        <v>0</v>
      </c>
      <c r="AA156" t="str">
        <f t="shared" si="9"/>
        <v>x</v>
      </c>
      <c r="AB156" s="105">
        <f t="shared" si="10"/>
        <v>0</v>
      </c>
      <c r="AC156" s="12" t="str">
        <f>IF(VLOOKUP(A156,Data_NV!$A:$I,7,0)="Không","",IF(OR(AND(Y156=0,Z156=0),AND(Y156&lt;&gt;0,Z156&lt;&gt;0)),"","Quên chấm công"))</f>
        <v/>
      </c>
      <c r="AD156" s="12">
        <f>IF(VLOOKUP(A156,Data_NV!$A:$I,7,0)="Không",0,IF(AND(Y156=0,Z156=0),0,IF(X156&lt;=Z156,0,ROUNDDOWN((X156-Z156)*24*60,0))))</f>
        <v>0</v>
      </c>
      <c r="AE156" s="12">
        <f>IF(VLOOKUP(A156,Data_NV!$A:$I,6,0)="Không",0,IF(Z156&lt;=X156,0,ROUNDDOWN((Z156-X156)*24*60,0)))</f>
        <v>0</v>
      </c>
      <c r="AF156" s="26">
        <f t="shared" si="11"/>
        <v>0</v>
      </c>
      <c r="AG156" s="27" t="str">
        <f>IF(AC156="","",IF(COUNTIFS($AC$3:AC156,"Quên chấm công",$S$3:S156,S156)&gt;3,"Không chấm công do vi phạm quá 3 lần",IF(COUNTIFS($AC$3:AC156,"Quên chấm công",$S$3:S156,S156)&gt;2,"Trừ toàn bộ chuyên cần tháng do vi phạm lần 3",IF(COUNTIFS($AC$3:AC156,"Quên chấm công",$S$3:S156,S156)&gt;1,"Trừ 1/2 ngày lương",50000))))</f>
        <v/>
      </c>
      <c r="AH156" s="12" t="str">
        <f>IF(AF156=0,"",IF(COUNTIFS($AF$3:AF156,"&gt;0",$S$3:S156,S156)&gt;3,"Trừ toàn bộ chuyên cần tháng",""))</f>
        <v/>
      </c>
      <c r="AI156" s="12"/>
    </row>
    <row r="157" spans="1:35" x14ac:dyDescent="0.25">
      <c r="A157" s="4" t="s">
        <v>231</v>
      </c>
      <c r="B157" s="1" t="s">
        <v>232</v>
      </c>
      <c r="C157" s="1" t="s">
        <v>20</v>
      </c>
      <c r="D157" s="1" t="s">
        <v>37</v>
      </c>
      <c r="E157" s="1" t="s">
        <v>22</v>
      </c>
      <c r="F157" s="1" t="s">
        <v>23</v>
      </c>
      <c r="G157" s="1" t="s">
        <v>12</v>
      </c>
      <c r="H157" s="1" t="s">
        <v>235</v>
      </c>
      <c r="I157" s="1" t="s">
        <v>24</v>
      </c>
      <c r="J157" s="1" t="s">
        <v>25</v>
      </c>
      <c r="K157" s="1" t="s">
        <v>25</v>
      </c>
      <c r="L157" s="1" t="s">
        <v>26</v>
      </c>
      <c r="M157" s="1" t="s">
        <v>25</v>
      </c>
      <c r="N157" s="1" t="s">
        <v>25</v>
      </c>
      <c r="O157" s="1" t="s">
        <v>25</v>
      </c>
      <c r="P157" s="1" t="s">
        <v>25</v>
      </c>
      <c r="Q157" s="1" t="s">
        <v>25</v>
      </c>
      <c r="R157" s="85" t="str">
        <f t="shared" si="8"/>
        <v>1945905</v>
      </c>
      <c r="S157" t="str">
        <f>VLOOKUP(A157,Data_NV!$A:$C,3,0)</f>
        <v xml:space="preserve"> Hứa Thị Ngọc Thơ  </v>
      </c>
      <c r="T157" t="str">
        <f>VLOOKUP(A157,Data_NV!$A:$E,4,0)</f>
        <v>Kinh doanh</v>
      </c>
      <c r="U157" s="82">
        <f>DATEVALUE(Table2[[#This Row],[Ngày]])</f>
        <v>45905</v>
      </c>
      <c r="V157" t="str">
        <f>VLOOKUP(A157,Data_NV!$A:$E,5,0)</f>
        <v>Đang làm việc</v>
      </c>
      <c r="W157" s="10">
        <f>VLOOKUP(A157,Data_NV!$A:$I,8,0)</f>
        <v>0.33333333333333331</v>
      </c>
      <c r="X157" s="10">
        <f>VLOOKUP(A157,Data_NV!$A:$I,9,0)</f>
        <v>0.70833333333333337</v>
      </c>
      <c r="Y157" s="10">
        <f>IFERROR(TIMEVALUE(Table2[[#This Row],[Vào]]),0)</f>
        <v>0.32405092592592594</v>
      </c>
      <c r="Z157" s="10">
        <f>IFERROR(TIMEVALUE(Table2[[#This Row],[Ra]]),0)</f>
        <v>0</v>
      </c>
      <c r="AA157" t="str">
        <f t="shared" si="9"/>
        <v>x</v>
      </c>
      <c r="AB157" s="105">
        <f t="shared" si="10"/>
        <v>0</v>
      </c>
      <c r="AC157" s="12" t="str">
        <f>IF(VLOOKUP(A157,Data_NV!$A:$I,7,0)="Không","",IF(OR(AND(Y157=0,Z157=0),AND(Y157&lt;&gt;0,Z157&lt;&gt;0)),"","Quên chấm công"))</f>
        <v/>
      </c>
      <c r="AD157" s="12">
        <f>IF(VLOOKUP(A157,Data_NV!$A:$I,7,0)="Không",0,IF(AND(Y157=0,Z157=0),0,IF(X157&lt;=Z157,0,ROUNDDOWN((X157-Z157)*24*60,0))))</f>
        <v>0</v>
      </c>
      <c r="AE157" s="12">
        <f>IF(VLOOKUP(A157,Data_NV!$A:$I,6,0)="Không",0,IF(Z157&lt;=X157,0,ROUNDDOWN((Z157-X157)*24*60,0)))</f>
        <v>0</v>
      </c>
      <c r="AF157" s="26">
        <f t="shared" si="11"/>
        <v>0</v>
      </c>
      <c r="AG157" s="27" t="str">
        <f>IF(AC157="","",IF(COUNTIFS($AC$3:AC157,"Quên chấm công",$S$3:S157,S157)&gt;3,"Không chấm công do vi phạm quá 3 lần",IF(COUNTIFS($AC$3:AC157,"Quên chấm công",$S$3:S157,S157)&gt;2,"Trừ toàn bộ chuyên cần tháng do vi phạm lần 3",IF(COUNTIFS($AC$3:AC157,"Quên chấm công",$S$3:S157,S157)&gt;1,"Trừ 1/2 ngày lương",50000))))</f>
        <v/>
      </c>
      <c r="AH157" s="12" t="str">
        <f>IF(AF157=0,"",IF(COUNTIFS($AF$3:AF157,"&gt;0",$S$3:S157,S157)&gt;3,"Trừ toàn bộ chuyên cần tháng",""))</f>
        <v/>
      </c>
      <c r="AI157" s="12"/>
    </row>
    <row r="158" spans="1:35" x14ac:dyDescent="0.25">
      <c r="A158" s="4" t="s">
        <v>231</v>
      </c>
      <c r="B158" s="1" t="s">
        <v>232</v>
      </c>
      <c r="C158" s="1" t="s">
        <v>20</v>
      </c>
      <c r="D158" s="1" t="s">
        <v>42</v>
      </c>
      <c r="E158" s="1" t="s">
        <v>22</v>
      </c>
      <c r="F158" s="1" t="s">
        <v>23</v>
      </c>
      <c r="G158" s="1" t="s">
        <v>12</v>
      </c>
      <c r="H158" s="1" t="s">
        <v>236</v>
      </c>
      <c r="I158" s="1" t="s">
        <v>24</v>
      </c>
      <c r="J158" s="1" t="s">
        <v>25</v>
      </c>
      <c r="K158" s="1" t="s">
        <v>25</v>
      </c>
      <c r="L158" s="1" t="s">
        <v>26</v>
      </c>
      <c r="M158" s="1" t="s">
        <v>25</v>
      </c>
      <c r="N158" s="1" t="s">
        <v>25</v>
      </c>
      <c r="O158" s="1" t="s">
        <v>25</v>
      </c>
      <c r="P158" s="1" t="s">
        <v>25</v>
      </c>
      <c r="Q158" s="1" t="s">
        <v>25</v>
      </c>
      <c r="R158" s="85" t="str">
        <f t="shared" si="8"/>
        <v>1945906</v>
      </c>
      <c r="S158" t="str">
        <f>VLOOKUP(A158,Data_NV!$A:$C,3,0)</f>
        <v xml:space="preserve"> Hứa Thị Ngọc Thơ  </v>
      </c>
      <c r="T158" t="str">
        <f>VLOOKUP(A158,Data_NV!$A:$E,4,0)</f>
        <v>Kinh doanh</v>
      </c>
      <c r="U158" s="82">
        <f>DATEVALUE(Table2[[#This Row],[Ngày]])</f>
        <v>45906</v>
      </c>
      <c r="V158" t="str">
        <f>VLOOKUP(A158,Data_NV!$A:$E,5,0)</f>
        <v>Đang làm việc</v>
      </c>
      <c r="W158" s="10">
        <f>VLOOKUP(A158,Data_NV!$A:$I,8,0)</f>
        <v>0.33333333333333331</v>
      </c>
      <c r="X158" s="10">
        <f>VLOOKUP(A158,Data_NV!$A:$I,9,0)</f>
        <v>0.70833333333333337</v>
      </c>
      <c r="Y158" s="10">
        <f>IFERROR(TIMEVALUE(Table2[[#This Row],[Vào]]),0)</f>
        <v>0.32665509259259257</v>
      </c>
      <c r="Z158" s="10">
        <f>IFERROR(TIMEVALUE(Table2[[#This Row],[Ra]]),0)</f>
        <v>0</v>
      </c>
      <c r="AA158" t="str">
        <f t="shared" si="9"/>
        <v>x</v>
      </c>
      <c r="AB158" s="105">
        <f t="shared" si="10"/>
        <v>0</v>
      </c>
      <c r="AC158" s="12" t="str">
        <f>IF(VLOOKUP(A158,Data_NV!$A:$I,7,0)="Không","",IF(OR(AND(Y158=0,Z158=0),AND(Y158&lt;&gt;0,Z158&lt;&gt;0)),"","Quên chấm công"))</f>
        <v/>
      </c>
      <c r="AD158" s="12">
        <f>IF(VLOOKUP(A158,Data_NV!$A:$I,7,0)="Không",0,IF(AND(Y158=0,Z158=0),0,IF(X158&lt;=Z158,0,ROUNDDOWN((X158-Z158)*24*60,0))))</f>
        <v>0</v>
      </c>
      <c r="AE158" s="12">
        <f>IF(VLOOKUP(A158,Data_NV!$A:$I,6,0)="Không",0,IF(Z158&lt;=X158,0,ROUNDDOWN((Z158-X158)*24*60,0)))</f>
        <v>0</v>
      </c>
      <c r="AF158" s="26">
        <f t="shared" si="11"/>
        <v>0</v>
      </c>
      <c r="AG158" s="27" t="str">
        <f>IF(AC158="","",IF(COUNTIFS($AC$3:AC158,"Quên chấm công",$S$3:S158,S158)&gt;3,"Không chấm công do vi phạm quá 3 lần",IF(COUNTIFS($AC$3:AC158,"Quên chấm công",$S$3:S158,S158)&gt;2,"Trừ toàn bộ chuyên cần tháng do vi phạm lần 3",IF(COUNTIFS($AC$3:AC158,"Quên chấm công",$S$3:S158,S158)&gt;1,"Trừ 1/2 ngày lương",50000))))</f>
        <v/>
      </c>
      <c r="AH158" s="12" t="str">
        <f>IF(AF158=0,"",IF(COUNTIFS($AF$3:AF158,"&gt;0",$S$3:S158,S158)&gt;3,"Trừ toàn bộ chuyên cần tháng",""))</f>
        <v/>
      </c>
      <c r="AI158" s="12"/>
    </row>
    <row r="159" spans="1:35" x14ac:dyDescent="0.25">
      <c r="A159" s="4" t="s">
        <v>231</v>
      </c>
      <c r="B159" s="1" t="s">
        <v>232</v>
      </c>
      <c r="C159" s="1" t="s">
        <v>20</v>
      </c>
      <c r="D159" s="1" t="s">
        <v>47</v>
      </c>
      <c r="E159" s="1" t="s">
        <v>22</v>
      </c>
      <c r="F159" s="1" t="s">
        <v>23</v>
      </c>
      <c r="G159" s="1" t="s">
        <v>12</v>
      </c>
      <c r="H159" s="1" t="s">
        <v>24</v>
      </c>
      <c r="I159" s="1" t="s">
        <v>24</v>
      </c>
      <c r="J159" s="1" t="s">
        <v>25</v>
      </c>
      <c r="K159" s="1" t="s">
        <v>25</v>
      </c>
      <c r="L159" s="1" t="s">
        <v>26</v>
      </c>
      <c r="M159" s="1" t="s">
        <v>25</v>
      </c>
      <c r="N159" s="1" t="s">
        <v>25</v>
      </c>
      <c r="O159" s="1" t="s">
        <v>25</v>
      </c>
      <c r="P159" s="1" t="s">
        <v>25</v>
      </c>
      <c r="Q159" s="1" t="s">
        <v>25</v>
      </c>
      <c r="R159" s="85" t="str">
        <f t="shared" si="8"/>
        <v>1945907</v>
      </c>
      <c r="S159" t="str">
        <f>VLOOKUP(A159,Data_NV!$A:$C,3,0)</f>
        <v xml:space="preserve"> Hứa Thị Ngọc Thơ  </v>
      </c>
      <c r="T159" t="str">
        <f>VLOOKUP(A159,Data_NV!$A:$E,4,0)</f>
        <v>Kinh doanh</v>
      </c>
      <c r="U159" s="82">
        <f>DATEVALUE(Table2[[#This Row],[Ngày]])</f>
        <v>45907</v>
      </c>
      <c r="V159" t="str">
        <f>VLOOKUP(A159,Data_NV!$A:$E,5,0)</f>
        <v>Đang làm việc</v>
      </c>
      <c r="W159" s="10">
        <f>VLOOKUP(A159,Data_NV!$A:$I,8,0)</f>
        <v>0.33333333333333331</v>
      </c>
      <c r="X159" s="10">
        <f>VLOOKUP(A159,Data_NV!$A:$I,9,0)</f>
        <v>0.70833333333333337</v>
      </c>
      <c r="Y159" s="10">
        <f>IFERROR(TIMEVALUE(Table2[[#This Row],[Vào]]),0)</f>
        <v>0</v>
      </c>
      <c r="Z159" s="10">
        <f>IFERROR(TIMEVALUE(Table2[[#This Row],[Ra]]),0)</f>
        <v>0</v>
      </c>
      <c r="AA159" t="str">
        <f t="shared" si="9"/>
        <v>Chủ nhật</v>
      </c>
      <c r="AB159" s="105">
        <f t="shared" si="10"/>
        <v>0</v>
      </c>
      <c r="AC159" s="12" t="str">
        <f>IF(VLOOKUP(A159,Data_NV!$A:$I,7,0)="Không","",IF(OR(AND(Y159=0,Z159=0),AND(Y159&lt;&gt;0,Z159&lt;&gt;0)),"","Quên chấm công"))</f>
        <v/>
      </c>
      <c r="AD159" s="12">
        <f>IF(VLOOKUP(A159,Data_NV!$A:$I,7,0)="Không",0,IF(AND(Y159=0,Z159=0),0,IF(X159&lt;=Z159,0,ROUNDDOWN((X159-Z159)*24*60,0))))</f>
        <v>0</v>
      </c>
      <c r="AE159" s="12">
        <f>IF(VLOOKUP(A159,Data_NV!$A:$I,6,0)="Không",0,IF(Z159&lt;=X159,0,ROUNDDOWN((Z159-X159)*24*60,0)))</f>
        <v>0</v>
      </c>
      <c r="AF159" s="26">
        <f t="shared" si="11"/>
        <v>0</v>
      </c>
      <c r="AG159" s="27" t="str">
        <f>IF(AC159="","",IF(COUNTIFS($AC$3:AC159,"Quên chấm công",$S$3:S159,S159)&gt;3,"Không chấm công do vi phạm quá 3 lần",IF(COUNTIFS($AC$3:AC159,"Quên chấm công",$S$3:S159,S159)&gt;2,"Trừ toàn bộ chuyên cần tháng do vi phạm lần 3",IF(COUNTIFS($AC$3:AC159,"Quên chấm công",$S$3:S159,S159)&gt;1,"Trừ 1/2 ngày lương",50000))))</f>
        <v/>
      </c>
      <c r="AH159" s="12" t="str">
        <f>IF(AF159=0,"",IF(COUNTIFS($AF$3:AF159,"&gt;0",$S$3:S159,S159)&gt;3,"Trừ toàn bộ chuyên cần tháng",""))</f>
        <v/>
      </c>
      <c r="AI159" s="12"/>
    </row>
    <row r="160" spans="1:35" x14ac:dyDescent="0.25">
      <c r="A160" s="4" t="s">
        <v>231</v>
      </c>
      <c r="B160" s="1" t="s">
        <v>232</v>
      </c>
      <c r="C160" s="1" t="s">
        <v>20</v>
      </c>
      <c r="D160" s="1" t="s">
        <v>48</v>
      </c>
      <c r="E160" s="1" t="s">
        <v>22</v>
      </c>
      <c r="F160" s="1" t="s">
        <v>23</v>
      </c>
      <c r="G160" s="1" t="s">
        <v>12</v>
      </c>
      <c r="H160" s="1" t="s">
        <v>24</v>
      </c>
      <c r="I160" s="1" t="s">
        <v>24</v>
      </c>
      <c r="J160" s="1" t="s">
        <v>25</v>
      </c>
      <c r="K160" s="1" t="s">
        <v>25</v>
      </c>
      <c r="L160" s="1" t="s">
        <v>26</v>
      </c>
      <c r="M160" s="1" t="s">
        <v>25</v>
      </c>
      <c r="N160" s="1" t="s">
        <v>25</v>
      </c>
      <c r="O160" s="1" t="s">
        <v>25</v>
      </c>
      <c r="P160" s="1" t="s">
        <v>25</v>
      </c>
      <c r="Q160" s="1" t="s">
        <v>25</v>
      </c>
      <c r="R160" s="85" t="str">
        <f t="shared" si="8"/>
        <v>1945908</v>
      </c>
      <c r="S160" t="str">
        <f>VLOOKUP(A160,Data_NV!$A:$C,3,0)</f>
        <v xml:space="preserve"> Hứa Thị Ngọc Thơ  </v>
      </c>
      <c r="T160" t="str">
        <f>VLOOKUP(A160,Data_NV!$A:$E,4,0)</f>
        <v>Kinh doanh</v>
      </c>
      <c r="U160" s="82">
        <f>DATEVALUE(Table2[[#This Row],[Ngày]])</f>
        <v>45908</v>
      </c>
      <c r="V160" t="str">
        <f>VLOOKUP(A160,Data_NV!$A:$E,5,0)</f>
        <v>Đang làm việc</v>
      </c>
      <c r="W160" s="10">
        <f>VLOOKUP(A160,Data_NV!$A:$I,8,0)</f>
        <v>0.33333333333333331</v>
      </c>
      <c r="X160" s="10">
        <f>VLOOKUP(A160,Data_NV!$A:$I,9,0)</f>
        <v>0.70833333333333337</v>
      </c>
      <c r="Y160" s="10">
        <f>IFERROR(TIMEVALUE(Table2[[#This Row],[Vào]]),0)</f>
        <v>0</v>
      </c>
      <c r="Z160" s="10">
        <f>IFERROR(TIMEVALUE(Table2[[#This Row],[Ra]]),0)</f>
        <v>0</v>
      </c>
      <c r="AA160" t="s">
        <v>1347</v>
      </c>
      <c r="AB160" s="105">
        <f t="shared" si="10"/>
        <v>0</v>
      </c>
      <c r="AC160" s="12" t="str">
        <f>IF(VLOOKUP(A160,Data_NV!$A:$I,7,0)="Không","",IF(OR(AND(Y160=0,Z160=0),AND(Y160&lt;&gt;0,Z160&lt;&gt;0)),"","Quên chấm công"))</f>
        <v/>
      </c>
      <c r="AD160" s="12">
        <f>IF(VLOOKUP(A160,Data_NV!$A:$I,7,0)="Không",0,IF(AND(Y160=0,Z160=0),0,IF(X160&lt;=Z160,0,ROUNDDOWN((X160-Z160)*24*60,0))))</f>
        <v>0</v>
      </c>
      <c r="AE160" s="12">
        <f>IF(VLOOKUP(A160,Data_NV!$A:$I,6,0)="Không",0,IF(Z160&lt;=X160,0,ROUNDDOWN((Z160-X160)*24*60,0)))</f>
        <v>0</v>
      </c>
      <c r="AF160" s="26">
        <f t="shared" si="11"/>
        <v>0</v>
      </c>
      <c r="AG160" s="27" t="str">
        <f>IF(AC160="","",IF(COUNTIFS($AC$3:AC160,"Quên chấm công",$S$3:S160,S160)&gt;3,"Không chấm công do vi phạm quá 3 lần",IF(COUNTIFS($AC$3:AC160,"Quên chấm công",$S$3:S160,S160)&gt;2,"Trừ toàn bộ chuyên cần tháng do vi phạm lần 3",IF(COUNTIFS($AC$3:AC160,"Quên chấm công",$S$3:S160,S160)&gt;1,"Trừ 1/2 ngày lương",50000))))</f>
        <v/>
      </c>
      <c r="AH160" s="12" t="str">
        <f>IF(AF160=0,"",IF(COUNTIFS($AF$3:AF160,"&gt;0",$S$3:S160,S160)&gt;3,"Trừ toàn bộ chuyên cần tháng",""))</f>
        <v/>
      </c>
      <c r="AI160" s="12" t="s">
        <v>1371</v>
      </c>
    </row>
    <row r="161" spans="1:35" x14ac:dyDescent="0.25">
      <c r="A161" s="4" t="s">
        <v>231</v>
      </c>
      <c r="B161" s="1" t="s">
        <v>232</v>
      </c>
      <c r="C161" s="1" t="s">
        <v>20</v>
      </c>
      <c r="D161" s="1" t="s">
        <v>53</v>
      </c>
      <c r="E161" s="1" t="s">
        <v>22</v>
      </c>
      <c r="F161" s="1" t="s">
        <v>23</v>
      </c>
      <c r="G161" s="1" t="s">
        <v>12</v>
      </c>
      <c r="H161" s="1" t="s">
        <v>237</v>
      </c>
      <c r="I161" s="1" t="s">
        <v>24</v>
      </c>
      <c r="J161" s="1" t="s">
        <v>25</v>
      </c>
      <c r="K161" s="1" t="s">
        <v>25</v>
      </c>
      <c r="L161" s="1" t="s">
        <v>26</v>
      </c>
      <c r="M161" s="1" t="s">
        <v>25</v>
      </c>
      <c r="N161" s="1" t="s">
        <v>25</v>
      </c>
      <c r="O161" s="1" t="s">
        <v>25</v>
      </c>
      <c r="P161" s="1" t="s">
        <v>25</v>
      </c>
      <c r="Q161" s="1" t="s">
        <v>25</v>
      </c>
      <c r="R161" s="85" t="str">
        <f t="shared" si="8"/>
        <v>1945909</v>
      </c>
      <c r="S161" t="str">
        <f>VLOOKUP(A161,Data_NV!$A:$C,3,0)</f>
        <v xml:space="preserve"> Hứa Thị Ngọc Thơ  </v>
      </c>
      <c r="T161" t="str">
        <f>VLOOKUP(A161,Data_NV!$A:$E,4,0)</f>
        <v>Kinh doanh</v>
      </c>
      <c r="U161" s="82">
        <f>DATEVALUE(Table2[[#This Row],[Ngày]])</f>
        <v>45909</v>
      </c>
      <c r="V161" t="str">
        <f>VLOOKUP(A161,Data_NV!$A:$E,5,0)</f>
        <v>Đang làm việc</v>
      </c>
      <c r="W161" s="10">
        <f>VLOOKUP(A161,Data_NV!$A:$I,8,0)</f>
        <v>0.33333333333333331</v>
      </c>
      <c r="X161" s="10">
        <f>VLOOKUP(A161,Data_NV!$A:$I,9,0)</f>
        <v>0.70833333333333337</v>
      </c>
      <c r="Y161" s="10">
        <f>IFERROR(TIMEVALUE(Table2[[#This Row],[Vào]]),0)</f>
        <v>0.32870370370370372</v>
      </c>
      <c r="Z161" s="10">
        <f>IFERROR(TIMEVALUE(Table2[[#This Row],[Ra]]),0)</f>
        <v>0</v>
      </c>
      <c r="AA161" t="str">
        <f t="shared" si="9"/>
        <v>x</v>
      </c>
      <c r="AB161" s="105">
        <f t="shared" si="10"/>
        <v>0</v>
      </c>
      <c r="AC161" s="12" t="str">
        <f>IF(VLOOKUP(A161,Data_NV!$A:$I,7,0)="Không","",IF(OR(AND(Y161=0,Z161=0),AND(Y161&lt;&gt;0,Z161&lt;&gt;0)),"","Quên chấm công"))</f>
        <v/>
      </c>
      <c r="AD161" s="12">
        <f>IF(VLOOKUP(A161,Data_NV!$A:$I,7,0)="Không",0,IF(AND(Y161=0,Z161=0),0,IF(X161&lt;=Z161,0,ROUNDDOWN((X161-Z161)*24*60,0))))</f>
        <v>0</v>
      </c>
      <c r="AE161" s="12">
        <f>IF(VLOOKUP(A161,Data_NV!$A:$I,6,0)="Không",0,IF(Z161&lt;=X161,0,ROUNDDOWN((Z161-X161)*24*60,0)))</f>
        <v>0</v>
      </c>
      <c r="AF161" s="26">
        <f t="shared" si="11"/>
        <v>0</v>
      </c>
      <c r="AG161" s="27" t="str">
        <f>IF(AC161="","",IF(COUNTIFS($AC$3:AC161,"Quên chấm công",$S$3:S161,S161)&gt;3,"Không chấm công do vi phạm quá 3 lần",IF(COUNTIFS($AC$3:AC161,"Quên chấm công",$S$3:S161,S161)&gt;2,"Trừ toàn bộ chuyên cần tháng do vi phạm lần 3",IF(COUNTIFS($AC$3:AC161,"Quên chấm công",$S$3:S161,S161)&gt;1,"Trừ 1/2 ngày lương",50000))))</f>
        <v/>
      </c>
      <c r="AH161" s="12" t="str">
        <f>IF(AF161=0,"",IF(COUNTIFS($AF$3:AF161,"&gt;0",$S$3:S161,S161)&gt;3,"Trừ toàn bộ chuyên cần tháng",""))</f>
        <v/>
      </c>
      <c r="AI161" s="12"/>
    </row>
    <row r="162" spans="1:35" x14ac:dyDescent="0.25">
      <c r="A162" s="4" t="s">
        <v>231</v>
      </c>
      <c r="B162" s="1" t="s">
        <v>232</v>
      </c>
      <c r="C162" s="1" t="s">
        <v>20</v>
      </c>
      <c r="D162" s="1" t="s">
        <v>58</v>
      </c>
      <c r="E162" s="1" t="s">
        <v>22</v>
      </c>
      <c r="F162" s="1" t="s">
        <v>23</v>
      </c>
      <c r="G162" s="1" t="s">
        <v>12</v>
      </c>
      <c r="H162" s="1" t="s">
        <v>238</v>
      </c>
      <c r="I162" s="1" t="s">
        <v>24</v>
      </c>
      <c r="J162" s="1" t="s">
        <v>25</v>
      </c>
      <c r="K162" s="1" t="s">
        <v>25</v>
      </c>
      <c r="L162" s="1" t="s">
        <v>26</v>
      </c>
      <c r="M162" s="1" t="s">
        <v>25</v>
      </c>
      <c r="N162" s="1" t="s">
        <v>25</v>
      </c>
      <c r="O162" s="1" t="s">
        <v>25</v>
      </c>
      <c r="P162" s="1" t="s">
        <v>25</v>
      </c>
      <c r="Q162" s="1" t="s">
        <v>25</v>
      </c>
      <c r="R162" s="85" t="str">
        <f t="shared" si="8"/>
        <v>1945910</v>
      </c>
      <c r="S162" t="str">
        <f>VLOOKUP(A162,Data_NV!$A:$C,3,0)</f>
        <v xml:space="preserve"> Hứa Thị Ngọc Thơ  </v>
      </c>
      <c r="T162" t="str">
        <f>VLOOKUP(A162,Data_NV!$A:$E,4,0)</f>
        <v>Kinh doanh</v>
      </c>
      <c r="U162" s="82">
        <f>DATEVALUE(Table2[[#This Row],[Ngày]])</f>
        <v>45910</v>
      </c>
      <c r="V162" t="str">
        <f>VLOOKUP(A162,Data_NV!$A:$E,5,0)</f>
        <v>Đang làm việc</v>
      </c>
      <c r="W162" s="10">
        <f>VLOOKUP(A162,Data_NV!$A:$I,8,0)</f>
        <v>0.33333333333333331</v>
      </c>
      <c r="X162" s="10">
        <f>VLOOKUP(A162,Data_NV!$A:$I,9,0)</f>
        <v>0.70833333333333337</v>
      </c>
      <c r="Y162" s="10">
        <f>IFERROR(TIMEVALUE(Table2[[#This Row],[Vào]]),0)</f>
        <v>0.3244097222222222</v>
      </c>
      <c r="Z162" s="10">
        <f>IFERROR(TIMEVALUE(Table2[[#This Row],[Ra]]),0)</f>
        <v>0</v>
      </c>
      <c r="AA162" t="str">
        <f t="shared" si="9"/>
        <v>x</v>
      </c>
      <c r="AB162" s="105">
        <f t="shared" si="10"/>
        <v>0</v>
      </c>
      <c r="AC162" s="12" t="str">
        <f>IF(VLOOKUP(A162,Data_NV!$A:$I,7,0)="Không","",IF(OR(AND(Y162=0,Z162=0),AND(Y162&lt;&gt;0,Z162&lt;&gt;0)),"","Quên chấm công"))</f>
        <v/>
      </c>
      <c r="AD162" s="12">
        <f>IF(VLOOKUP(A162,Data_NV!$A:$I,7,0)="Không",0,IF(AND(Y162=0,Z162=0),0,IF(X162&lt;=Z162,0,ROUNDDOWN((X162-Z162)*24*60,0))))</f>
        <v>0</v>
      </c>
      <c r="AE162" s="12">
        <f>IF(VLOOKUP(A162,Data_NV!$A:$I,6,0)="Không",0,IF(Z162&lt;=X162,0,ROUNDDOWN((Z162-X162)*24*60,0)))</f>
        <v>0</v>
      </c>
      <c r="AF162" s="26">
        <f t="shared" si="11"/>
        <v>0</v>
      </c>
      <c r="AG162" s="27" t="str">
        <f>IF(AC162="","",IF(COUNTIFS($AC$3:AC162,"Quên chấm công",$S$3:S162,S162)&gt;3,"Không chấm công do vi phạm quá 3 lần",IF(COUNTIFS($AC$3:AC162,"Quên chấm công",$S$3:S162,S162)&gt;2,"Trừ toàn bộ chuyên cần tháng do vi phạm lần 3",IF(COUNTIFS($AC$3:AC162,"Quên chấm công",$S$3:S162,S162)&gt;1,"Trừ 1/2 ngày lương",50000))))</f>
        <v/>
      </c>
      <c r="AH162" s="12" t="str">
        <f>IF(AF162=0,"",IF(COUNTIFS($AF$3:AF162,"&gt;0",$S$3:S162,S162)&gt;3,"Trừ toàn bộ chuyên cần tháng",""))</f>
        <v/>
      </c>
      <c r="AI162" s="12"/>
    </row>
    <row r="163" spans="1:35" x14ac:dyDescent="0.25">
      <c r="A163" s="4" t="s">
        <v>231</v>
      </c>
      <c r="B163" s="1" t="s">
        <v>232</v>
      </c>
      <c r="C163" s="1" t="s">
        <v>20</v>
      </c>
      <c r="D163" s="1" t="s">
        <v>63</v>
      </c>
      <c r="E163" s="1" t="s">
        <v>22</v>
      </c>
      <c r="F163" s="1" t="s">
        <v>23</v>
      </c>
      <c r="G163" s="1" t="s">
        <v>12</v>
      </c>
      <c r="H163" s="1" t="s">
        <v>239</v>
      </c>
      <c r="I163" s="1" t="s">
        <v>24</v>
      </c>
      <c r="J163" s="1" t="s">
        <v>25</v>
      </c>
      <c r="K163" s="1" t="s">
        <v>25</v>
      </c>
      <c r="L163" s="1" t="s">
        <v>26</v>
      </c>
      <c r="M163" s="1" t="s">
        <v>25</v>
      </c>
      <c r="N163" s="1" t="s">
        <v>25</v>
      </c>
      <c r="O163" s="1" t="s">
        <v>25</v>
      </c>
      <c r="P163" s="1" t="s">
        <v>25</v>
      </c>
      <c r="Q163" s="1" t="s">
        <v>25</v>
      </c>
      <c r="R163" s="85" t="str">
        <f t="shared" si="8"/>
        <v>1945911</v>
      </c>
      <c r="S163" t="str">
        <f>VLOOKUP(A163,Data_NV!$A:$C,3,0)</f>
        <v xml:space="preserve"> Hứa Thị Ngọc Thơ  </v>
      </c>
      <c r="T163" t="str">
        <f>VLOOKUP(A163,Data_NV!$A:$E,4,0)</f>
        <v>Kinh doanh</v>
      </c>
      <c r="U163" s="82">
        <f>DATEVALUE(Table2[[#This Row],[Ngày]])</f>
        <v>45911</v>
      </c>
      <c r="V163" t="str">
        <f>VLOOKUP(A163,Data_NV!$A:$E,5,0)</f>
        <v>Đang làm việc</v>
      </c>
      <c r="W163" s="10">
        <f>VLOOKUP(A163,Data_NV!$A:$I,8,0)</f>
        <v>0.33333333333333331</v>
      </c>
      <c r="X163" s="10">
        <f>VLOOKUP(A163,Data_NV!$A:$I,9,0)</f>
        <v>0.70833333333333337</v>
      </c>
      <c r="Y163" s="10">
        <f>IFERROR(TIMEVALUE(Table2[[#This Row],[Vào]]),0)</f>
        <v>0.33310185185185187</v>
      </c>
      <c r="Z163" s="10">
        <f>IFERROR(TIMEVALUE(Table2[[#This Row],[Ra]]),0)</f>
        <v>0</v>
      </c>
      <c r="AA163" t="str">
        <f t="shared" si="9"/>
        <v>x</v>
      </c>
      <c r="AB163" s="105">
        <f t="shared" si="10"/>
        <v>0</v>
      </c>
      <c r="AC163" s="12" t="str">
        <f>IF(VLOOKUP(A163,Data_NV!$A:$I,7,0)="Không","",IF(OR(AND(Y163=0,Z163=0),AND(Y163&lt;&gt;0,Z163&lt;&gt;0)),"","Quên chấm công"))</f>
        <v/>
      </c>
      <c r="AD163" s="12">
        <f>IF(VLOOKUP(A163,Data_NV!$A:$I,7,0)="Không",0,IF(AND(Y163=0,Z163=0),0,IF(X163&lt;=Z163,0,ROUNDDOWN((X163-Z163)*24*60,0))))</f>
        <v>0</v>
      </c>
      <c r="AE163" s="12">
        <f>IF(VLOOKUP(A163,Data_NV!$A:$I,6,0)="Không",0,IF(Z163&lt;=X163,0,ROUNDDOWN((Z163-X163)*24*60,0)))</f>
        <v>0</v>
      </c>
      <c r="AF163" s="26">
        <f t="shared" si="11"/>
        <v>0</v>
      </c>
      <c r="AG163" s="27" t="str">
        <f>IF(AC163="","",IF(COUNTIFS($AC$3:AC163,"Quên chấm công",$S$3:S163,S163)&gt;3,"Không chấm công do vi phạm quá 3 lần",IF(COUNTIFS($AC$3:AC163,"Quên chấm công",$S$3:S163,S163)&gt;2,"Trừ toàn bộ chuyên cần tháng do vi phạm lần 3",IF(COUNTIFS($AC$3:AC163,"Quên chấm công",$S$3:S163,S163)&gt;1,"Trừ 1/2 ngày lương",50000))))</f>
        <v/>
      </c>
      <c r="AH163" s="12" t="str">
        <f>IF(AF163=0,"",IF(COUNTIFS($AF$3:AF163,"&gt;0",$S$3:S163,S163)&gt;3,"Trừ toàn bộ chuyên cần tháng",""))</f>
        <v/>
      </c>
      <c r="AI163" s="12"/>
    </row>
    <row r="164" spans="1:35" x14ac:dyDescent="0.25">
      <c r="A164" s="4" t="s">
        <v>231</v>
      </c>
      <c r="B164" s="1" t="s">
        <v>232</v>
      </c>
      <c r="C164" s="1" t="s">
        <v>20</v>
      </c>
      <c r="D164" s="1" t="s">
        <v>67</v>
      </c>
      <c r="E164" s="1" t="s">
        <v>22</v>
      </c>
      <c r="F164" s="1" t="s">
        <v>23</v>
      </c>
      <c r="G164" s="1" t="s">
        <v>12</v>
      </c>
      <c r="H164" s="1" t="s">
        <v>240</v>
      </c>
      <c r="I164" s="1" t="s">
        <v>24</v>
      </c>
      <c r="J164" s="1" t="s">
        <v>241</v>
      </c>
      <c r="K164" s="1" t="s">
        <v>25</v>
      </c>
      <c r="L164" s="1" t="s">
        <v>26</v>
      </c>
      <c r="M164" s="1" t="s">
        <v>25</v>
      </c>
      <c r="N164" s="1" t="s">
        <v>25</v>
      </c>
      <c r="O164" s="1" t="s">
        <v>25</v>
      </c>
      <c r="P164" s="1" t="s">
        <v>25</v>
      </c>
      <c r="Q164" s="1" t="s">
        <v>25</v>
      </c>
      <c r="R164" s="85" t="str">
        <f t="shared" si="8"/>
        <v>1945912</v>
      </c>
      <c r="S164" t="str">
        <f>VLOOKUP(A164,Data_NV!$A:$C,3,0)</f>
        <v xml:space="preserve"> Hứa Thị Ngọc Thơ  </v>
      </c>
      <c r="T164" t="str">
        <f>VLOOKUP(A164,Data_NV!$A:$E,4,0)</f>
        <v>Kinh doanh</v>
      </c>
      <c r="U164" s="82">
        <f>DATEVALUE(Table2[[#This Row],[Ngày]])</f>
        <v>45912</v>
      </c>
      <c r="V164" t="str">
        <f>VLOOKUP(A164,Data_NV!$A:$E,5,0)</f>
        <v>Đang làm việc</v>
      </c>
      <c r="W164" s="10">
        <f>VLOOKUP(A164,Data_NV!$A:$I,8,0)</f>
        <v>0.33333333333333331</v>
      </c>
      <c r="X164" s="10">
        <f>VLOOKUP(A164,Data_NV!$A:$I,9,0)</f>
        <v>0.70833333333333337</v>
      </c>
      <c r="Y164" s="10">
        <f>IFERROR(TIMEVALUE(Table2[[#This Row],[Vào]]),0)</f>
        <v>0.34086805555555555</v>
      </c>
      <c r="Z164" s="10">
        <f>IFERROR(TIMEVALUE(Table2[[#This Row],[Ra]]),0)</f>
        <v>0</v>
      </c>
      <c r="AA164" t="str">
        <f t="shared" si="9"/>
        <v>x</v>
      </c>
      <c r="AB164" s="105">
        <f t="shared" si="10"/>
        <v>10.850000000000017</v>
      </c>
      <c r="AC164" s="12" t="str">
        <f>IF(VLOOKUP(A164,Data_NV!$A:$I,7,0)="Không","",IF(OR(AND(Y164=0,Z164=0),AND(Y164&lt;&gt;0,Z164&lt;&gt;0)),"","Quên chấm công"))</f>
        <v/>
      </c>
      <c r="AD164" s="12">
        <f>IF(VLOOKUP(A164,Data_NV!$A:$I,7,0)="Không",0,IF(AND(Y164=0,Z164=0),0,IF(X164&lt;=Z164,0,ROUNDDOWN((X164-Z164)*24*60,0))))</f>
        <v>0</v>
      </c>
      <c r="AE164" s="12">
        <f>IF(VLOOKUP(A164,Data_NV!$A:$I,6,0)="Không",0,IF(Z164&lt;=X164,0,ROUNDDOWN((Z164-X164)*24*60,0)))</f>
        <v>0</v>
      </c>
      <c r="AF164" s="26">
        <f t="shared" si="11"/>
        <v>30000</v>
      </c>
      <c r="AG164" s="27" t="str">
        <f>IF(AC164="","",IF(COUNTIFS($AC$3:AC164,"Quên chấm công",$S$3:S164,S164)&gt;3,"Không chấm công do vi phạm quá 3 lần",IF(COUNTIFS($AC$3:AC164,"Quên chấm công",$S$3:S164,S164)&gt;2,"Trừ toàn bộ chuyên cần tháng do vi phạm lần 3",IF(COUNTIFS($AC$3:AC164,"Quên chấm công",$S$3:S164,S164)&gt;1,"Trừ 1/2 ngày lương",50000))))</f>
        <v/>
      </c>
      <c r="AH164" s="12" t="str">
        <f>IF(AF164=0,"",IF(COUNTIFS($AF$3:AF164,"&gt;0",$S$3:S164,S164)&gt;3,"Trừ toàn bộ chuyên cần tháng",""))</f>
        <v/>
      </c>
      <c r="AI164" s="12"/>
    </row>
    <row r="165" spans="1:35" x14ac:dyDescent="0.25">
      <c r="A165" s="4" t="s">
        <v>231</v>
      </c>
      <c r="B165" s="1" t="s">
        <v>232</v>
      </c>
      <c r="C165" s="1" t="s">
        <v>20</v>
      </c>
      <c r="D165" s="1" t="s">
        <v>69</v>
      </c>
      <c r="E165" s="1" t="s">
        <v>22</v>
      </c>
      <c r="F165" s="1" t="s">
        <v>23</v>
      </c>
      <c r="G165" s="1" t="s">
        <v>12</v>
      </c>
      <c r="H165" s="1" t="s">
        <v>242</v>
      </c>
      <c r="I165" s="1" t="s">
        <v>24</v>
      </c>
      <c r="J165" s="1" t="s">
        <v>25</v>
      </c>
      <c r="K165" s="1" t="s">
        <v>25</v>
      </c>
      <c r="L165" s="1" t="s">
        <v>26</v>
      </c>
      <c r="M165" s="1" t="s">
        <v>25</v>
      </c>
      <c r="N165" s="1" t="s">
        <v>25</v>
      </c>
      <c r="O165" s="1" t="s">
        <v>25</v>
      </c>
      <c r="P165" s="1" t="s">
        <v>25</v>
      </c>
      <c r="Q165" s="1" t="s">
        <v>25</v>
      </c>
      <c r="R165" s="85" t="str">
        <f t="shared" si="8"/>
        <v>1945913</v>
      </c>
      <c r="S165" t="str">
        <f>VLOOKUP(A165,Data_NV!$A:$C,3,0)</f>
        <v xml:space="preserve"> Hứa Thị Ngọc Thơ  </v>
      </c>
      <c r="T165" t="str">
        <f>VLOOKUP(A165,Data_NV!$A:$E,4,0)</f>
        <v>Kinh doanh</v>
      </c>
      <c r="U165" s="82">
        <f>DATEVALUE(Table2[[#This Row],[Ngày]])</f>
        <v>45913</v>
      </c>
      <c r="V165" t="str">
        <f>VLOOKUP(A165,Data_NV!$A:$E,5,0)</f>
        <v>Đang làm việc</v>
      </c>
      <c r="W165" s="10">
        <f>VLOOKUP(A165,Data_NV!$A:$I,8,0)</f>
        <v>0.33333333333333331</v>
      </c>
      <c r="X165" s="10">
        <f>VLOOKUP(A165,Data_NV!$A:$I,9,0)</f>
        <v>0.70833333333333337</v>
      </c>
      <c r="Y165" s="10">
        <f>IFERROR(TIMEVALUE(Table2[[#This Row],[Vào]]),0)</f>
        <v>0.31722222222222224</v>
      </c>
      <c r="Z165" s="10">
        <f>IFERROR(TIMEVALUE(Table2[[#This Row],[Ra]]),0)</f>
        <v>0</v>
      </c>
      <c r="AA165" t="s">
        <v>1355</v>
      </c>
      <c r="AB165" s="105">
        <f t="shared" si="10"/>
        <v>0</v>
      </c>
      <c r="AC165" s="12" t="str">
        <f>IF(VLOOKUP(A165,Data_NV!$A:$I,7,0)="Không","",IF(OR(AND(Y165=0,Z165=0),AND(Y165&lt;&gt;0,Z165&lt;&gt;0)),"","Quên chấm công"))</f>
        <v/>
      </c>
      <c r="AD165" s="12">
        <f>IF(VLOOKUP(A165,Data_NV!$A:$I,7,0)="Không",0,IF(AND(Y165=0,Z165=0),0,IF(X165&lt;=Z165,0,ROUNDDOWN((X165-Z165)*24*60,0))))</f>
        <v>0</v>
      </c>
      <c r="AE165" s="12">
        <f>IF(VLOOKUP(A165,Data_NV!$A:$I,6,0)="Không",0,IF(Z165&lt;=X165,0,ROUNDDOWN((Z165-X165)*24*60,0)))</f>
        <v>0</v>
      </c>
      <c r="AF165" s="26">
        <f t="shared" si="11"/>
        <v>0</v>
      </c>
      <c r="AG165" s="27" t="str">
        <f>IF(AC165="","",IF(COUNTIFS($AC$3:AC165,"Quên chấm công",$S$3:S165,S165)&gt;3,"Không chấm công do vi phạm quá 3 lần",IF(COUNTIFS($AC$3:AC165,"Quên chấm công",$S$3:S165,S165)&gt;2,"Trừ toàn bộ chuyên cần tháng do vi phạm lần 3",IF(COUNTIFS($AC$3:AC165,"Quên chấm công",$S$3:S165,S165)&gt;1,"Trừ 1/2 ngày lương",50000))))</f>
        <v/>
      </c>
      <c r="AH165" s="12" t="str">
        <f>IF(AF165=0,"",IF(COUNTIFS($AF$3:AF165,"&gt;0",$S$3:S165,S165)&gt;3,"Trừ toàn bộ chuyên cần tháng",""))</f>
        <v/>
      </c>
      <c r="AI165" s="12" t="s">
        <v>1372</v>
      </c>
    </row>
    <row r="166" spans="1:35" x14ac:dyDescent="0.25">
      <c r="A166" s="4" t="s">
        <v>231</v>
      </c>
      <c r="B166" s="1" t="s">
        <v>232</v>
      </c>
      <c r="C166" s="1" t="s">
        <v>20</v>
      </c>
      <c r="D166" s="1" t="s">
        <v>74</v>
      </c>
      <c r="E166" s="1" t="s">
        <v>22</v>
      </c>
      <c r="F166" s="1" t="s">
        <v>23</v>
      </c>
      <c r="G166" s="1" t="s">
        <v>12</v>
      </c>
      <c r="H166" s="1" t="s">
        <v>24</v>
      </c>
      <c r="I166" s="1" t="s">
        <v>24</v>
      </c>
      <c r="J166" s="1" t="s">
        <v>25</v>
      </c>
      <c r="K166" s="1" t="s">
        <v>25</v>
      </c>
      <c r="L166" s="1" t="s">
        <v>26</v>
      </c>
      <c r="M166" s="1" t="s">
        <v>25</v>
      </c>
      <c r="N166" s="1" t="s">
        <v>25</v>
      </c>
      <c r="O166" s="1" t="s">
        <v>25</v>
      </c>
      <c r="P166" s="1" t="s">
        <v>25</v>
      </c>
      <c r="Q166" s="1" t="s">
        <v>25</v>
      </c>
      <c r="R166" s="85" t="str">
        <f t="shared" si="8"/>
        <v>1945914</v>
      </c>
      <c r="S166" t="str">
        <f>VLOOKUP(A166,Data_NV!$A:$C,3,0)</f>
        <v xml:space="preserve"> Hứa Thị Ngọc Thơ  </v>
      </c>
      <c r="T166" t="str">
        <f>VLOOKUP(A166,Data_NV!$A:$E,4,0)</f>
        <v>Kinh doanh</v>
      </c>
      <c r="U166" s="82">
        <f>DATEVALUE(Table2[[#This Row],[Ngày]])</f>
        <v>45914</v>
      </c>
      <c r="V166" t="str">
        <f>VLOOKUP(A166,Data_NV!$A:$E,5,0)</f>
        <v>Đang làm việc</v>
      </c>
      <c r="W166" s="10">
        <f>VLOOKUP(A166,Data_NV!$A:$I,8,0)</f>
        <v>0.33333333333333331</v>
      </c>
      <c r="X166" s="10">
        <f>VLOOKUP(A166,Data_NV!$A:$I,9,0)</f>
        <v>0.70833333333333337</v>
      </c>
      <c r="Y166" s="10">
        <f>IFERROR(TIMEVALUE(Table2[[#This Row],[Vào]]),0)</f>
        <v>0</v>
      </c>
      <c r="Z166" s="10">
        <f>IFERROR(TIMEVALUE(Table2[[#This Row],[Ra]]),0)</f>
        <v>0</v>
      </c>
      <c r="AA166" t="str">
        <f t="shared" si="9"/>
        <v>Chủ nhật</v>
      </c>
      <c r="AB166" s="105">
        <f t="shared" si="10"/>
        <v>0</v>
      </c>
      <c r="AC166" s="12" t="str">
        <f>IF(VLOOKUP(A166,Data_NV!$A:$I,7,0)="Không","",IF(OR(AND(Y166=0,Z166=0),AND(Y166&lt;&gt;0,Z166&lt;&gt;0)),"","Quên chấm công"))</f>
        <v/>
      </c>
      <c r="AD166" s="12">
        <f>IF(VLOOKUP(A166,Data_NV!$A:$I,7,0)="Không",0,IF(AND(Y166=0,Z166=0),0,IF(X166&lt;=Z166,0,ROUNDDOWN((X166-Z166)*24*60,0))))</f>
        <v>0</v>
      </c>
      <c r="AE166" s="12">
        <f>IF(VLOOKUP(A166,Data_NV!$A:$I,6,0)="Không",0,IF(Z166&lt;=X166,0,ROUNDDOWN((Z166-X166)*24*60,0)))</f>
        <v>0</v>
      </c>
      <c r="AF166" s="26">
        <f t="shared" si="11"/>
        <v>0</v>
      </c>
      <c r="AG166" s="27" t="str">
        <f>IF(AC166="","",IF(COUNTIFS($AC$3:AC166,"Quên chấm công",$S$3:S166,S166)&gt;3,"Không chấm công do vi phạm quá 3 lần",IF(COUNTIFS($AC$3:AC166,"Quên chấm công",$S$3:S166,S166)&gt;2,"Trừ toàn bộ chuyên cần tháng do vi phạm lần 3",IF(COUNTIFS($AC$3:AC166,"Quên chấm công",$S$3:S166,S166)&gt;1,"Trừ 1/2 ngày lương",50000))))</f>
        <v/>
      </c>
      <c r="AH166" s="12" t="str">
        <f>IF(AF166=0,"",IF(COUNTIFS($AF$3:AF166,"&gt;0",$S$3:S166,S166)&gt;3,"Trừ toàn bộ chuyên cần tháng",""))</f>
        <v/>
      </c>
      <c r="AI166" s="12"/>
    </row>
    <row r="167" spans="1:35" x14ac:dyDescent="0.25">
      <c r="A167" s="4" t="s">
        <v>231</v>
      </c>
      <c r="B167" s="1" t="s">
        <v>232</v>
      </c>
      <c r="C167" s="1" t="s">
        <v>20</v>
      </c>
      <c r="D167" s="1" t="s">
        <v>75</v>
      </c>
      <c r="E167" s="1" t="s">
        <v>22</v>
      </c>
      <c r="F167" s="1" t="s">
        <v>23</v>
      </c>
      <c r="G167" s="1" t="s">
        <v>12</v>
      </c>
      <c r="H167" s="1" t="s">
        <v>24</v>
      </c>
      <c r="I167" s="1" t="s">
        <v>24</v>
      </c>
      <c r="J167" s="1" t="s">
        <v>25</v>
      </c>
      <c r="K167" s="1" t="s">
        <v>25</v>
      </c>
      <c r="L167" s="1" t="s">
        <v>26</v>
      </c>
      <c r="M167" s="1" t="s">
        <v>25</v>
      </c>
      <c r="N167" s="1" t="s">
        <v>25</v>
      </c>
      <c r="O167" s="1" t="s">
        <v>25</v>
      </c>
      <c r="P167" s="1" t="s">
        <v>25</v>
      </c>
      <c r="Q167" s="1" t="s">
        <v>25</v>
      </c>
      <c r="R167" s="85" t="str">
        <f t="shared" si="8"/>
        <v>1945915</v>
      </c>
      <c r="S167" t="str">
        <f>VLOOKUP(A167,Data_NV!$A:$C,3,0)</f>
        <v xml:space="preserve"> Hứa Thị Ngọc Thơ  </v>
      </c>
      <c r="T167" t="str">
        <f>VLOOKUP(A167,Data_NV!$A:$E,4,0)</f>
        <v>Kinh doanh</v>
      </c>
      <c r="U167" s="82">
        <f>DATEVALUE(Table2[[#This Row],[Ngày]])</f>
        <v>45915</v>
      </c>
      <c r="V167" t="str">
        <f>VLOOKUP(A167,Data_NV!$A:$E,5,0)</f>
        <v>Đang làm việc</v>
      </c>
      <c r="W167" s="10">
        <f>VLOOKUP(A167,Data_NV!$A:$I,8,0)</f>
        <v>0.33333333333333331</v>
      </c>
      <c r="X167" s="10">
        <f>VLOOKUP(A167,Data_NV!$A:$I,9,0)</f>
        <v>0.70833333333333337</v>
      </c>
      <c r="Y167" s="10">
        <f>IFERROR(TIMEVALUE(Table2[[#This Row],[Vào]]),0)</f>
        <v>0</v>
      </c>
      <c r="Z167" s="10">
        <f>IFERROR(TIMEVALUE(Table2[[#This Row],[Ra]]),0)</f>
        <v>0</v>
      </c>
      <c r="AA167" t="s">
        <v>1347</v>
      </c>
      <c r="AB167" s="105">
        <f t="shared" si="10"/>
        <v>0</v>
      </c>
      <c r="AC167" s="12" t="str">
        <f>IF(VLOOKUP(A167,Data_NV!$A:$I,7,0)="Không","",IF(OR(AND(Y167=0,Z167=0),AND(Y167&lt;&gt;0,Z167&lt;&gt;0)),"","Quên chấm công"))</f>
        <v/>
      </c>
      <c r="AD167" s="12">
        <f>IF(VLOOKUP(A167,Data_NV!$A:$I,7,0)="Không",0,IF(AND(Y167=0,Z167=0),0,IF(X167&lt;=Z167,0,ROUNDDOWN((X167-Z167)*24*60,0))))</f>
        <v>0</v>
      </c>
      <c r="AE167" s="12">
        <f>IF(VLOOKUP(A167,Data_NV!$A:$I,6,0)="Không",0,IF(Z167&lt;=X167,0,ROUNDDOWN((Z167-X167)*24*60,0)))</f>
        <v>0</v>
      </c>
      <c r="AF167" s="26">
        <f t="shared" si="11"/>
        <v>0</v>
      </c>
      <c r="AG167" s="27" t="str">
        <f>IF(AC167="","",IF(COUNTIFS($AC$3:AC167,"Quên chấm công",$S$3:S167,S167)&gt;3,"Không chấm công do vi phạm quá 3 lần",IF(COUNTIFS($AC$3:AC167,"Quên chấm công",$S$3:S167,S167)&gt;2,"Trừ toàn bộ chuyên cần tháng do vi phạm lần 3",IF(COUNTIFS($AC$3:AC167,"Quên chấm công",$S$3:S167,S167)&gt;1,"Trừ 1/2 ngày lương",50000))))</f>
        <v/>
      </c>
      <c r="AH167" s="12" t="str">
        <f>IF(AF167=0,"",IF(COUNTIFS($AF$3:AF167,"&gt;0",$S$3:S167,S167)&gt;3,"Trừ toàn bộ chuyên cần tháng",""))</f>
        <v/>
      </c>
      <c r="AI167" s="12" t="s">
        <v>1371</v>
      </c>
    </row>
    <row r="168" spans="1:35" x14ac:dyDescent="0.25">
      <c r="A168" s="4" t="s">
        <v>231</v>
      </c>
      <c r="B168" s="1" t="s">
        <v>232</v>
      </c>
      <c r="C168" s="1" t="s">
        <v>20</v>
      </c>
      <c r="D168" s="1" t="s">
        <v>80</v>
      </c>
      <c r="E168" s="1" t="s">
        <v>22</v>
      </c>
      <c r="F168" s="1" t="s">
        <v>23</v>
      </c>
      <c r="G168" s="1" t="s">
        <v>12</v>
      </c>
      <c r="H168" s="1" t="s">
        <v>243</v>
      </c>
      <c r="I168" s="1" t="s">
        <v>24</v>
      </c>
      <c r="J168" s="1" t="s">
        <v>25</v>
      </c>
      <c r="K168" s="1" t="s">
        <v>25</v>
      </c>
      <c r="L168" s="1" t="s">
        <v>26</v>
      </c>
      <c r="M168" s="1" t="s">
        <v>25</v>
      </c>
      <c r="N168" s="1" t="s">
        <v>25</v>
      </c>
      <c r="O168" s="1" t="s">
        <v>25</v>
      </c>
      <c r="P168" s="1" t="s">
        <v>25</v>
      </c>
      <c r="Q168" s="1" t="s">
        <v>25</v>
      </c>
      <c r="R168" s="85" t="str">
        <f t="shared" si="8"/>
        <v>1945916</v>
      </c>
      <c r="S168" t="str">
        <f>VLOOKUP(A168,Data_NV!$A:$C,3,0)</f>
        <v xml:space="preserve"> Hứa Thị Ngọc Thơ  </v>
      </c>
      <c r="T168" t="str">
        <f>VLOOKUP(A168,Data_NV!$A:$E,4,0)</f>
        <v>Kinh doanh</v>
      </c>
      <c r="U168" s="82">
        <f>DATEVALUE(Table2[[#This Row],[Ngày]])</f>
        <v>45916</v>
      </c>
      <c r="V168" t="str">
        <f>VLOOKUP(A168,Data_NV!$A:$E,5,0)</f>
        <v>Đang làm việc</v>
      </c>
      <c r="W168" s="10">
        <f>VLOOKUP(A168,Data_NV!$A:$I,8,0)</f>
        <v>0.33333333333333331</v>
      </c>
      <c r="X168" s="10">
        <f>VLOOKUP(A168,Data_NV!$A:$I,9,0)</f>
        <v>0.70833333333333337</v>
      </c>
      <c r="Y168" s="10">
        <f>IFERROR(TIMEVALUE(Table2[[#This Row],[Vào]]),0)</f>
        <v>0.33089120370370373</v>
      </c>
      <c r="Z168" s="10">
        <f>IFERROR(TIMEVALUE(Table2[[#This Row],[Ra]]),0)</f>
        <v>0</v>
      </c>
      <c r="AA168" t="str">
        <f t="shared" si="9"/>
        <v>x</v>
      </c>
      <c r="AB168" s="105">
        <f t="shared" si="10"/>
        <v>0</v>
      </c>
      <c r="AC168" s="12" t="str">
        <f>IF(VLOOKUP(A168,Data_NV!$A:$I,7,0)="Không","",IF(OR(AND(Y168=0,Z168=0),AND(Y168&lt;&gt;0,Z168&lt;&gt;0)),"","Quên chấm công"))</f>
        <v/>
      </c>
      <c r="AD168" s="12">
        <f>IF(VLOOKUP(A168,Data_NV!$A:$I,7,0)="Không",0,IF(AND(Y168=0,Z168=0),0,IF(X168&lt;=Z168,0,ROUNDDOWN((X168-Z168)*24*60,0))))</f>
        <v>0</v>
      </c>
      <c r="AE168" s="12">
        <f>IF(VLOOKUP(A168,Data_NV!$A:$I,6,0)="Không",0,IF(Z168&lt;=X168,0,ROUNDDOWN((Z168-X168)*24*60,0)))</f>
        <v>0</v>
      </c>
      <c r="AF168" s="26">
        <f t="shared" si="11"/>
        <v>0</v>
      </c>
      <c r="AG168" s="27" t="str">
        <f>IF(AC168="","",IF(COUNTIFS($AC$3:AC168,"Quên chấm công",$S$3:S168,S168)&gt;3,"Không chấm công do vi phạm quá 3 lần",IF(COUNTIFS($AC$3:AC168,"Quên chấm công",$S$3:S168,S168)&gt;2,"Trừ toàn bộ chuyên cần tháng do vi phạm lần 3",IF(COUNTIFS($AC$3:AC168,"Quên chấm công",$S$3:S168,S168)&gt;1,"Trừ 1/2 ngày lương",50000))))</f>
        <v/>
      </c>
      <c r="AH168" s="12" t="str">
        <f>IF(AF168=0,"",IF(COUNTIFS($AF$3:AF168,"&gt;0",$S$3:S168,S168)&gt;3,"Trừ toàn bộ chuyên cần tháng",""))</f>
        <v/>
      </c>
      <c r="AI168" s="12"/>
    </row>
    <row r="169" spans="1:35" x14ac:dyDescent="0.25">
      <c r="A169" s="4" t="s">
        <v>231</v>
      </c>
      <c r="B169" s="1" t="s">
        <v>232</v>
      </c>
      <c r="C169" s="1" t="s">
        <v>20</v>
      </c>
      <c r="D169" s="1" t="s">
        <v>85</v>
      </c>
      <c r="E169" s="1" t="s">
        <v>22</v>
      </c>
      <c r="F169" s="1" t="s">
        <v>23</v>
      </c>
      <c r="G169" s="1" t="s">
        <v>12</v>
      </c>
      <c r="H169" s="1" t="s">
        <v>244</v>
      </c>
      <c r="I169" s="1" t="s">
        <v>24</v>
      </c>
      <c r="J169" s="1" t="s">
        <v>25</v>
      </c>
      <c r="K169" s="1" t="s">
        <v>25</v>
      </c>
      <c r="L169" s="1" t="s">
        <v>26</v>
      </c>
      <c r="M169" s="1" t="s">
        <v>25</v>
      </c>
      <c r="N169" s="1" t="s">
        <v>25</v>
      </c>
      <c r="O169" s="1" t="s">
        <v>25</v>
      </c>
      <c r="P169" s="1" t="s">
        <v>25</v>
      </c>
      <c r="Q169" s="1" t="s">
        <v>25</v>
      </c>
      <c r="R169" s="85" t="str">
        <f t="shared" si="8"/>
        <v>1945917</v>
      </c>
      <c r="S169" t="str">
        <f>VLOOKUP(A169,Data_NV!$A:$C,3,0)</f>
        <v xml:space="preserve"> Hứa Thị Ngọc Thơ  </v>
      </c>
      <c r="T169" t="str">
        <f>VLOOKUP(A169,Data_NV!$A:$E,4,0)</f>
        <v>Kinh doanh</v>
      </c>
      <c r="U169" s="82">
        <f>DATEVALUE(Table2[[#This Row],[Ngày]])</f>
        <v>45917</v>
      </c>
      <c r="V169" t="str">
        <f>VLOOKUP(A169,Data_NV!$A:$E,5,0)</f>
        <v>Đang làm việc</v>
      </c>
      <c r="W169" s="10">
        <f>VLOOKUP(A169,Data_NV!$A:$I,8,0)</f>
        <v>0.33333333333333331</v>
      </c>
      <c r="X169" s="10">
        <f>VLOOKUP(A169,Data_NV!$A:$I,9,0)</f>
        <v>0.70833333333333337</v>
      </c>
      <c r="Y169" s="10">
        <f>IFERROR(TIMEVALUE(Table2[[#This Row],[Vào]]),0)</f>
        <v>0.32961805555555557</v>
      </c>
      <c r="Z169" s="10">
        <f>IFERROR(TIMEVALUE(Table2[[#This Row],[Ra]]),0)</f>
        <v>0</v>
      </c>
      <c r="AA169" t="str">
        <f t="shared" si="9"/>
        <v>x</v>
      </c>
      <c r="AB169" s="105">
        <f t="shared" si="10"/>
        <v>0</v>
      </c>
      <c r="AC169" s="12" t="str">
        <f>IF(VLOOKUP(A169,Data_NV!$A:$I,7,0)="Không","",IF(OR(AND(Y169=0,Z169=0),AND(Y169&lt;&gt;0,Z169&lt;&gt;0)),"","Quên chấm công"))</f>
        <v/>
      </c>
      <c r="AD169" s="12">
        <f>IF(VLOOKUP(A169,Data_NV!$A:$I,7,0)="Không",0,IF(AND(Y169=0,Z169=0),0,IF(X169&lt;=Z169,0,ROUNDDOWN((X169-Z169)*24*60,0))))</f>
        <v>0</v>
      </c>
      <c r="AE169" s="12">
        <f>IF(VLOOKUP(A169,Data_NV!$A:$I,6,0)="Không",0,IF(Z169&lt;=X169,0,ROUNDDOWN((Z169-X169)*24*60,0)))</f>
        <v>0</v>
      </c>
      <c r="AF169" s="26">
        <f t="shared" si="11"/>
        <v>0</v>
      </c>
      <c r="AG169" s="27" t="str">
        <f>IF(AC169="","",IF(COUNTIFS($AC$3:AC169,"Quên chấm công",$S$3:S169,S169)&gt;3,"Không chấm công do vi phạm quá 3 lần",IF(COUNTIFS($AC$3:AC169,"Quên chấm công",$S$3:S169,S169)&gt;2,"Trừ toàn bộ chuyên cần tháng do vi phạm lần 3",IF(COUNTIFS($AC$3:AC169,"Quên chấm công",$S$3:S169,S169)&gt;1,"Trừ 1/2 ngày lương",50000))))</f>
        <v/>
      </c>
      <c r="AH169" s="12" t="str">
        <f>IF(AF169=0,"",IF(COUNTIFS($AF$3:AF169,"&gt;0",$S$3:S169,S169)&gt;3,"Trừ toàn bộ chuyên cần tháng",""))</f>
        <v/>
      </c>
      <c r="AI169" s="12"/>
    </row>
    <row r="170" spans="1:35" x14ac:dyDescent="0.25">
      <c r="A170" s="4" t="s">
        <v>231</v>
      </c>
      <c r="B170" s="1" t="s">
        <v>232</v>
      </c>
      <c r="C170" s="1" t="s">
        <v>20</v>
      </c>
      <c r="D170" s="1" t="s">
        <v>90</v>
      </c>
      <c r="E170" s="1" t="s">
        <v>22</v>
      </c>
      <c r="F170" s="1" t="s">
        <v>23</v>
      </c>
      <c r="G170" s="1" t="s">
        <v>12</v>
      </c>
      <c r="H170" s="1" t="s">
        <v>245</v>
      </c>
      <c r="I170" s="1" t="s">
        <v>24</v>
      </c>
      <c r="J170" s="1" t="s">
        <v>25</v>
      </c>
      <c r="K170" s="1" t="s">
        <v>25</v>
      </c>
      <c r="L170" s="1" t="s">
        <v>26</v>
      </c>
      <c r="M170" s="1" t="s">
        <v>25</v>
      </c>
      <c r="N170" s="1" t="s">
        <v>25</v>
      </c>
      <c r="O170" s="1" t="s">
        <v>25</v>
      </c>
      <c r="P170" s="1" t="s">
        <v>25</v>
      </c>
      <c r="Q170" s="1" t="s">
        <v>25</v>
      </c>
      <c r="R170" s="85" t="str">
        <f t="shared" si="8"/>
        <v>1945918</v>
      </c>
      <c r="S170" t="str">
        <f>VLOOKUP(A170,Data_NV!$A:$C,3,0)</f>
        <v xml:space="preserve"> Hứa Thị Ngọc Thơ  </v>
      </c>
      <c r="T170" t="str">
        <f>VLOOKUP(A170,Data_NV!$A:$E,4,0)</f>
        <v>Kinh doanh</v>
      </c>
      <c r="U170" s="82">
        <f>DATEVALUE(Table2[[#This Row],[Ngày]])</f>
        <v>45918</v>
      </c>
      <c r="V170" t="str">
        <f>VLOOKUP(A170,Data_NV!$A:$E,5,0)</f>
        <v>Đang làm việc</v>
      </c>
      <c r="W170" s="10">
        <f>VLOOKUP(A170,Data_NV!$A:$I,8,0)</f>
        <v>0.33333333333333331</v>
      </c>
      <c r="X170" s="10">
        <f>VLOOKUP(A170,Data_NV!$A:$I,9,0)</f>
        <v>0.70833333333333337</v>
      </c>
      <c r="Y170" s="10">
        <f>IFERROR(TIMEVALUE(Table2[[#This Row],[Vào]]),0)</f>
        <v>0.32814814814814813</v>
      </c>
      <c r="Z170" s="10">
        <f>IFERROR(TIMEVALUE(Table2[[#This Row],[Ra]]),0)</f>
        <v>0</v>
      </c>
      <c r="AA170" t="str">
        <f t="shared" si="9"/>
        <v>x</v>
      </c>
      <c r="AB170" s="105">
        <f t="shared" si="10"/>
        <v>0</v>
      </c>
      <c r="AC170" s="12" t="str">
        <f>IF(VLOOKUP(A170,Data_NV!$A:$I,7,0)="Không","",IF(OR(AND(Y170=0,Z170=0),AND(Y170&lt;&gt;0,Z170&lt;&gt;0)),"","Quên chấm công"))</f>
        <v/>
      </c>
      <c r="AD170" s="12">
        <f>IF(VLOOKUP(A170,Data_NV!$A:$I,7,0)="Không",0,IF(AND(Y170=0,Z170=0),0,IF(X170&lt;=Z170,0,ROUNDDOWN((X170-Z170)*24*60,0))))</f>
        <v>0</v>
      </c>
      <c r="AE170" s="12">
        <f>IF(VLOOKUP(A170,Data_NV!$A:$I,6,0)="Không",0,IF(Z170&lt;=X170,0,ROUNDDOWN((Z170-X170)*24*60,0)))</f>
        <v>0</v>
      </c>
      <c r="AF170" s="26">
        <f t="shared" si="11"/>
        <v>0</v>
      </c>
      <c r="AG170" s="27" t="str">
        <f>IF(AC170="","",IF(COUNTIFS($AC$3:AC170,"Quên chấm công",$S$3:S170,S170)&gt;3,"Không chấm công do vi phạm quá 3 lần",IF(COUNTIFS($AC$3:AC170,"Quên chấm công",$S$3:S170,S170)&gt;2,"Trừ toàn bộ chuyên cần tháng do vi phạm lần 3",IF(COUNTIFS($AC$3:AC170,"Quên chấm công",$S$3:S170,S170)&gt;1,"Trừ 1/2 ngày lương",50000))))</f>
        <v/>
      </c>
      <c r="AH170" s="12" t="str">
        <f>IF(AF170=0,"",IF(COUNTIFS($AF$3:AF170,"&gt;0",$S$3:S170,S170)&gt;3,"Trừ toàn bộ chuyên cần tháng",""))</f>
        <v/>
      </c>
      <c r="AI170" s="12"/>
    </row>
    <row r="171" spans="1:35" x14ac:dyDescent="0.25">
      <c r="A171" s="4" t="s">
        <v>231</v>
      </c>
      <c r="B171" s="1" t="s">
        <v>232</v>
      </c>
      <c r="C171" s="1" t="s">
        <v>20</v>
      </c>
      <c r="D171" s="1" t="s">
        <v>95</v>
      </c>
      <c r="E171" s="1" t="s">
        <v>22</v>
      </c>
      <c r="F171" s="1" t="s">
        <v>23</v>
      </c>
      <c r="G171" s="1" t="s">
        <v>12</v>
      </c>
      <c r="H171" s="1" t="s">
        <v>246</v>
      </c>
      <c r="I171" s="1" t="s">
        <v>24</v>
      </c>
      <c r="J171" s="1" t="s">
        <v>25</v>
      </c>
      <c r="K171" s="1" t="s">
        <v>25</v>
      </c>
      <c r="L171" s="1" t="s">
        <v>26</v>
      </c>
      <c r="M171" s="1" t="s">
        <v>25</v>
      </c>
      <c r="N171" s="1" t="s">
        <v>25</v>
      </c>
      <c r="O171" s="1" t="s">
        <v>25</v>
      </c>
      <c r="P171" s="1" t="s">
        <v>25</v>
      </c>
      <c r="Q171" s="1" t="s">
        <v>25</v>
      </c>
      <c r="R171" s="85" t="str">
        <f t="shared" si="8"/>
        <v>1945919</v>
      </c>
      <c r="S171" t="str">
        <f>VLOOKUP(A171,Data_NV!$A:$C,3,0)</f>
        <v xml:space="preserve"> Hứa Thị Ngọc Thơ  </v>
      </c>
      <c r="T171" t="str">
        <f>VLOOKUP(A171,Data_NV!$A:$E,4,0)</f>
        <v>Kinh doanh</v>
      </c>
      <c r="U171" s="82">
        <f>DATEVALUE(Table2[[#This Row],[Ngày]])</f>
        <v>45919</v>
      </c>
      <c r="V171" t="str">
        <f>VLOOKUP(A171,Data_NV!$A:$E,5,0)</f>
        <v>Đang làm việc</v>
      </c>
      <c r="W171" s="10">
        <f>VLOOKUP(A171,Data_NV!$A:$I,8,0)</f>
        <v>0.33333333333333331</v>
      </c>
      <c r="X171" s="10">
        <f>VLOOKUP(A171,Data_NV!$A:$I,9,0)</f>
        <v>0.70833333333333337</v>
      </c>
      <c r="Y171" s="10">
        <f>IFERROR(TIMEVALUE(Table2[[#This Row],[Vào]]),0)</f>
        <v>0.32903935185185185</v>
      </c>
      <c r="Z171" s="10">
        <f>IFERROR(TIMEVALUE(Table2[[#This Row],[Ra]]),0)</f>
        <v>0</v>
      </c>
      <c r="AA171" t="str">
        <f t="shared" si="9"/>
        <v>x</v>
      </c>
      <c r="AB171" s="105">
        <f t="shared" si="10"/>
        <v>0</v>
      </c>
      <c r="AC171" s="12" t="str">
        <f>IF(VLOOKUP(A171,Data_NV!$A:$I,7,0)="Không","",IF(OR(AND(Y171=0,Z171=0),AND(Y171&lt;&gt;0,Z171&lt;&gt;0)),"","Quên chấm công"))</f>
        <v/>
      </c>
      <c r="AD171" s="12">
        <f>IF(VLOOKUP(A171,Data_NV!$A:$I,7,0)="Không",0,IF(AND(Y171=0,Z171=0),0,IF(X171&lt;=Z171,0,ROUNDDOWN((X171-Z171)*24*60,0))))</f>
        <v>0</v>
      </c>
      <c r="AE171" s="12">
        <f>IF(VLOOKUP(A171,Data_NV!$A:$I,6,0)="Không",0,IF(Z171&lt;=X171,0,ROUNDDOWN((Z171-X171)*24*60,0)))</f>
        <v>0</v>
      </c>
      <c r="AF171" s="26">
        <f t="shared" si="11"/>
        <v>0</v>
      </c>
      <c r="AG171" s="27" t="str">
        <f>IF(AC171="","",IF(COUNTIFS($AC$3:AC171,"Quên chấm công",$S$3:S171,S171)&gt;3,"Không chấm công do vi phạm quá 3 lần",IF(COUNTIFS($AC$3:AC171,"Quên chấm công",$S$3:S171,S171)&gt;2,"Trừ toàn bộ chuyên cần tháng do vi phạm lần 3",IF(COUNTIFS($AC$3:AC171,"Quên chấm công",$S$3:S171,S171)&gt;1,"Trừ 1/2 ngày lương",50000))))</f>
        <v/>
      </c>
      <c r="AH171" s="12" t="str">
        <f>IF(AF171=0,"",IF(COUNTIFS($AF$3:AF171,"&gt;0",$S$3:S171,S171)&gt;3,"Trừ toàn bộ chuyên cần tháng",""))</f>
        <v/>
      </c>
      <c r="AI171" s="12"/>
    </row>
    <row r="172" spans="1:35" x14ac:dyDescent="0.25">
      <c r="A172" s="4" t="s">
        <v>231</v>
      </c>
      <c r="B172" s="1" t="s">
        <v>232</v>
      </c>
      <c r="C172" s="1" t="s">
        <v>20</v>
      </c>
      <c r="D172" s="1" t="s">
        <v>100</v>
      </c>
      <c r="E172" s="1" t="s">
        <v>22</v>
      </c>
      <c r="F172" s="1" t="s">
        <v>23</v>
      </c>
      <c r="G172" s="1" t="s">
        <v>12</v>
      </c>
      <c r="H172" s="1" t="s">
        <v>24</v>
      </c>
      <c r="I172" s="1" t="s">
        <v>24</v>
      </c>
      <c r="J172" s="1" t="s">
        <v>25</v>
      </c>
      <c r="K172" s="1" t="s">
        <v>25</v>
      </c>
      <c r="L172" s="1" t="s">
        <v>26</v>
      </c>
      <c r="M172" s="1" t="s">
        <v>25</v>
      </c>
      <c r="N172" s="1" t="s">
        <v>25</v>
      </c>
      <c r="O172" s="1" t="s">
        <v>25</v>
      </c>
      <c r="P172" s="1" t="s">
        <v>25</v>
      </c>
      <c r="Q172" s="1" t="s">
        <v>25</v>
      </c>
      <c r="R172" s="85" t="str">
        <f t="shared" si="8"/>
        <v>1945920</v>
      </c>
      <c r="S172" t="str">
        <f>VLOOKUP(A172,Data_NV!$A:$C,3,0)</f>
        <v xml:space="preserve"> Hứa Thị Ngọc Thơ  </v>
      </c>
      <c r="T172" t="str">
        <f>VLOOKUP(A172,Data_NV!$A:$E,4,0)</f>
        <v>Kinh doanh</v>
      </c>
      <c r="U172" s="82">
        <f>DATEVALUE(Table2[[#This Row],[Ngày]])</f>
        <v>45920</v>
      </c>
      <c r="V172" t="str">
        <f>VLOOKUP(A172,Data_NV!$A:$E,5,0)</f>
        <v>Đang làm việc</v>
      </c>
      <c r="W172" s="10">
        <f>VLOOKUP(A172,Data_NV!$A:$I,8,0)</f>
        <v>0.33333333333333331</v>
      </c>
      <c r="X172" s="10">
        <f>VLOOKUP(A172,Data_NV!$A:$I,9,0)</f>
        <v>0.70833333333333337</v>
      </c>
      <c r="Y172" s="10">
        <f>IFERROR(TIMEVALUE(Table2[[#This Row],[Vào]]),0)</f>
        <v>0</v>
      </c>
      <c r="Z172" s="10">
        <f>IFERROR(TIMEVALUE(Table2[[#This Row],[Ra]]),0)</f>
        <v>0</v>
      </c>
      <c r="AA172" t="s">
        <v>1341</v>
      </c>
      <c r="AB172" s="105">
        <f t="shared" si="10"/>
        <v>0</v>
      </c>
      <c r="AC172" s="12" t="str">
        <f>IF(VLOOKUP(A172,Data_NV!$A:$I,7,0)="Không","",IF(OR(AND(Y172=0,Z172=0),AND(Y172&lt;&gt;0,Z172&lt;&gt;0)),"","Quên chấm công"))</f>
        <v/>
      </c>
      <c r="AD172" s="12">
        <f>IF(VLOOKUP(A172,Data_NV!$A:$I,7,0)="Không",0,IF(AND(Y172=0,Z172=0),0,IF(X172&lt;=Z172,0,ROUNDDOWN((X172-Z172)*24*60,0))))</f>
        <v>0</v>
      </c>
      <c r="AE172" s="12">
        <f>IF(VLOOKUP(A172,Data_NV!$A:$I,6,0)="Không",0,IF(Z172&lt;=X172,0,ROUNDDOWN((Z172-X172)*24*60,0)))</f>
        <v>0</v>
      </c>
      <c r="AF172" s="26">
        <f t="shared" si="11"/>
        <v>0</v>
      </c>
      <c r="AG172" s="27" t="str">
        <f>IF(AC172="","",IF(COUNTIFS($AC$3:AC172,"Quên chấm công",$S$3:S172,S172)&gt;3,"Không chấm công do vi phạm quá 3 lần",IF(COUNTIFS($AC$3:AC172,"Quên chấm công",$S$3:S172,S172)&gt;2,"Trừ toàn bộ chuyên cần tháng do vi phạm lần 3",IF(COUNTIFS($AC$3:AC172,"Quên chấm công",$S$3:S172,S172)&gt;1,"Trừ 1/2 ngày lương",50000))))</f>
        <v/>
      </c>
      <c r="AH172" s="12" t="str">
        <f>IF(AF172=0,"",IF(COUNTIFS($AF$3:AF172,"&gt;0",$S$3:S172,S172)&gt;3,"Trừ toàn bộ chuyên cần tháng",""))</f>
        <v/>
      </c>
      <c r="AI172" s="12" t="s">
        <v>1374</v>
      </c>
    </row>
    <row r="173" spans="1:35" x14ac:dyDescent="0.25">
      <c r="A173" s="4" t="s">
        <v>231</v>
      </c>
      <c r="B173" s="1" t="s">
        <v>232</v>
      </c>
      <c r="C173" s="1" t="s">
        <v>20</v>
      </c>
      <c r="D173" s="1" t="s">
        <v>105</v>
      </c>
      <c r="E173" s="1" t="s">
        <v>22</v>
      </c>
      <c r="F173" s="1" t="s">
        <v>23</v>
      </c>
      <c r="G173" s="1" t="s">
        <v>12</v>
      </c>
      <c r="H173" s="1" t="s">
        <v>24</v>
      </c>
      <c r="I173" s="1" t="s">
        <v>24</v>
      </c>
      <c r="J173" s="1" t="s">
        <v>25</v>
      </c>
      <c r="K173" s="1" t="s">
        <v>25</v>
      </c>
      <c r="L173" s="1" t="s">
        <v>26</v>
      </c>
      <c r="M173" s="1" t="s">
        <v>25</v>
      </c>
      <c r="N173" s="1" t="s">
        <v>25</v>
      </c>
      <c r="O173" s="1" t="s">
        <v>25</v>
      </c>
      <c r="P173" s="1" t="s">
        <v>25</v>
      </c>
      <c r="Q173" s="1" t="s">
        <v>25</v>
      </c>
      <c r="R173" s="85" t="str">
        <f t="shared" si="8"/>
        <v>1945921</v>
      </c>
      <c r="S173" t="str">
        <f>VLOOKUP(A173,Data_NV!$A:$C,3,0)</f>
        <v xml:space="preserve"> Hứa Thị Ngọc Thơ  </v>
      </c>
      <c r="T173" t="str">
        <f>VLOOKUP(A173,Data_NV!$A:$E,4,0)</f>
        <v>Kinh doanh</v>
      </c>
      <c r="U173" s="82">
        <f>DATEVALUE(Table2[[#This Row],[Ngày]])</f>
        <v>45921</v>
      </c>
      <c r="V173" t="str">
        <f>VLOOKUP(A173,Data_NV!$A:$E,5,0)</f>
        <v>Đang làm việc</v>
      </c>
      <c r="W173" s="10">
        <f>VLOOKUP(A173,Data_NV!$A:$I,8,0)</f>
        <v>0.33333333333333331</v>
      </c>
      <c r="X173" s="10">
        <f>VLOOKUP(A173,Data_NV!$A:$I,9,0)</f>
        <v>0.70833333333333337</v>
      </c>
      <c r="Y173" s="10">
        <f>IFERROR(TIMEVALUE(Table2[[#This Row],[Vào]]),0)</f>
        <v>0</v>
      </c>
      <c r="Z173" s="10">
        <f>IFERROR(TIMEVALUE(Table2[[#This Row],[Ra]]),0)</f>
        <v>0</v>
      </c>
      <c r="AA173" t="str">
        <f t="shared" si="9"/>
        <v>Chủ nhật</v>
      </c>
      <c r="AB173" s="105">
        <f t="shared" si="10"/>
        <v>0</v>
      </c>
      <c r="AC173" s="12" t="str">
        <f>IF(VLOOKUP(A173,Data_NV!$A:$I,7,0)="Không","",IF(OR(AND(Y173=0,Z173=0),AND(Y173&lt;&gt;0,Z173&lt;&gt;0)),"","Quên chấm công"))</f>
        <v/>
      </c>
      <c r="AD173" s="12">
        <f>IF(VLOOKUP(A173,Data_NV!$A:$I,7,0)="Không",0,IF(AND(Y173=0,Z173=0),0,IF(X173&lt;=Z173,0,ROUNDDOWN((X173-Z173)*24*60,0))))</f>
        <v>0</v>
      </c>
      <c r="AE173" s="12">
        <f>IF(VLOOKUP(A173,Data_NV!$A:$I,6,0)="Không",0,IF(Z173&lt;=X173,0,ROUNDDOWN((Z173-X173)*24*60,0)))</f>
        <v>0</v>
      </c>
      <c r="AF173" s="26">
        <f t="shared" si="11"/>
        <v>0</v>
      </c>
      <c r="AG173" s="27" t="str">
        <f>IF(AC173="","",IF(COUNTIFS($AC$3:AC173,"Quên chấm công",$S$3:S173,S173)&gt;3,"Không chấm công do vi phạm quá 3 lần",IF(COUNTIFS($AC$3:AC173,"Quên chấm công",$S$3:S173,S173)&gt;2,"Trừ toàn bộ chuyên cần tháng do vi phạm lần 3",IF(COUNTIFS($AC$3:AC173,"Quên chấm công",$S$3:S173,S173)&gt;1,"Trừ 1/2 ngày lương",50000))))</f>
        <v/>
      </c>
      <c r="AH173" s="12" t="str">
        <f>IF(AF173=0,"",IF(COUNTIFS($AF$3:AF173,"&gt;0",$S$3:S173,S173)&gt;3,"Trừ toàn bộ chuyên cần tháng",""))</f>
        <v/>
      </c>
      <c r="AI173" s="12"/>
    </row>
    <row r="174" spans="1:35" x14ac:dyDescent="0.25">
      <c r="A174" s="4" t="s">
        <v>231</v>
      </c>
      <c r="B174" s="1" t="s">
        <v>232</v>
      </c>
      <c r="C174" s="1" t="s">
        <v>20</v>
      </c>
      <c r="D174" s="1" t="s">
        <v>106</v>
      </c>
      <c r="E174" s="1" t="s">
        <v>22</v>
      </c>
      <c r="F174" s="1" t="s">
        <v>23</v>
      </c>
      <c r="G174" s="1" t="s">
        <v>12</v>
      </c>
      <c r="H174" s="1" t="s">
        <v>247</v>
      </c>
      <c r="I174" s="1" t="s">
        <v>24</v>
      </c>
      <c r="J174" s="1" t="s">
        <v>248</v>
      </c>
      <c r="K174" s="1" t="s">
        <v>25</v>
      </c>
      <c r="L174" s="1" t="s">
        <v>26</v>
      </c>
      <c r="M174" s="1" t="s">
        <v>25</v>
      </c>
      <c r="N174" s="1" t="s">
        <v>25</v>
      </c>
      <c r="O174" s="1" t="s">
        <v>25</v>
      </c>
      <c r="P174" s="1" t="s">
        <v>25</v>
      </c>
      <c r="Q174" s="1" t="s">
        <v>25</v>
      </c>
      <c r="R174" s="85" t="str">
        <f t="shared" si="8"/>
        <v>1945922</v>
      </c>
      <c r="S174" t="str">
        <f>VLOOKUP(A174,Data_NV!$A:$C,3,0)</f>
        <v xml:space="preserve"> Hứa Thị Ngọc Thơ  </v>
      </c>
      <c r="T174" t="str">
        <f>VLOOKUP(A174,Data_NV!$A:$E,4,0)</f>
        <v>Kinh doanh</v>
      </c>
      <c r="U174" s="82">
        <f>DATEVALUE(Table2[[#This Row],[Ngày]])</f>
        <v>45922</v>
      </c>
      <c r="V174" t="str">
        <f>VLOOKUP(A174,Data_NV!$A:$E,5,0)</f>
        <v>Đang làm việc</v>
      </c>
      <c r="W174" s="10">
        <f>VLOOKUP(A174,Data_NV!$A:$I,8,0)</f>
        <v>0.33333333333333331</v>
      </c>
      <c r="X174" s="10">
        <f>VLOOKUP(A174,Data_NV!$A:$I,9,0)</f>
        <v>0.70833333333333337</v>
      </c>
      <c r="Y174" s="10">
        <f>IFERROR(TIMEVALUE(Table2[[#This Row],[Vào]]),0)</f>
        <v>0.33829861111111109</v>
      </c>
      <c r="Z174" s="10">
        <f>IFERROR(TIMEVALUE(Table2[[#This Row],[Ra]]),0)</f>
        <v>0</v>
      </c>
      <c r="AA174" t="str">
        <f t="shared" si="9"/>
        <v>x</v>
      </c>
      <c r="AB174" s="105">
        <f t="shared" si="10"/>
        <v>7.1499999999999986</v>
      </c>
      <c r="AC174" s="12" t="str">
        <f>IF(VLOOKUP(A174,Data_NV!$A:$I,7,0)="Không","",IF(OR(AND(Y174=0,Z174=0),AND(Y174&lt;&gt;0,Z174&lt;&gt;0)),"","Quên chấm công"))</f>
        <v/>
      </c>
      <c r="AD174" s="12">
        <f>IF(VLOOKUP(A174,Data_NV!$A:$I,7,0)="Không",0,IF(AND(Y174=0,Z174=0),0,IF(X174&lt;=Z174,0,ROUNDDOWN((X174-Z174)*24*60,0))))</f>
        <v>0</v>
      </c>
      <c r="AE174" s="12">
        <f>IF(VLOOKUP(A174,Data_NV!$A:$I,6,0)="Không",0,IF(Z174&lt;=X174,0,ROUNDDOWN((Z174-X174)*24*60,0)))</f>
        <v>0</v>
      </c>
      <c r="AF174" s="26">
        <f t="shared" si="11"/>
        <v>30000</v>
      </c>
      <c r="AG174" s="27" t="str">
        <f>IF(AC174="","",IF(COUNTIFS($AC$3:AC174,"Quên chấm công",$S$3:S174,S174)&gt;3,"Không chấm công do vi phạm quá 3 lần",IF(COUNTIFS($AC$3:AC174,"Quên chấm công",$S$3:S174,S174)&gt;2,"Trừ toàn bộ chuyên cần tháng do vi phạm lần 3",IF(COUNTIFS($AC$3:AC174,"Quên chấm công",$S$3:S174,S174)&gt;1,"Trừ 1/2 ngày lương",50000))))</f>
        <v/>
      </c>
      <c r="AH174" s="12" t="str">
        <f>IF(AF174=0,"",IF(COUNTIFS($AF$3:AF174,"&gt;0",$S$3:S174,S174)&gt;3,"Trừ toàn bộ chuyên cần tháng",""))</f>
        <v/>
      </c>
      <c r="AI174" s="12"/>
    </row>
    <row r="175" spans="1:35" x14ac:dyDescent="0.25">
      <c r="A175" s="4" t="s">
        <v>231</v>
      </c>
      <c r="B175" s="1" t="s">
        <v>232</v>
      </c>
      <c r="C175" s="1" t="s">
        <v>20</v>
      </c>
      <c r="D175" s="1" t="s">
        <v>111</v>
      </c>
      <c r="E175" s="1" t="s">
        <v>22</v>
      </c>
      <c r="F175" s="1" t="s">
        <v>23</v>
      </c>
      <c r="G175" s="1" t="s">
        <v>12</v>
      </c>
      <c r="H175" s="1" t="s">
        <v>249</v>
      </c>
      <c r="I175" s="1" t="s">
        <v>24</v>
      </c>
      <c r="J175" s="1" t="s">
        <v>25</v>
      </c>
      <c r="K175" s="1" t="s">
        <v>25</v>
      </c>
      <c r="L175" s="1" t="s">
        <v>26</v>
      </c>
      <c r="M175" s="1" t="s">
        <v>25</v>
      </c>
      <c r="N175" s="1" t="s">
        <v>25</v>
      </c>
      <c r="O175" s="1" t="s">
        <v>25</v>
      </c>
      <c r="P175" s="1" t="s">
        <v>25</v>
      </c>
      <c r="Q175" s="1" t="s">
        <v>25</v>
      </c>
      <c r="R175" s="85" t="str">
        <f t="shared" si="8"/>
        <v>1945923</v>
      </c>
      <c r="S175" t="str">
        <f>VLOOKUP(A175,Data_NV!$A:$C,3,0)</f>
        <v xml:space="preserve"> Hứa Thị Ngọc Thơ  </v>
      </c>
      <c r="T175" t="str">
        <f>VLOOKUP(A175,Data_NV!$A:$E,4,0)</f>
        <v>Kinh doanh</v>
      </c>
      <c r="U175" s="82">
        <f>DATEVALUE(Table2[[#This Row],[Ngày]])</f>
        <v>45923</v>
      </c>
      <c r="V175" t="str">
        <f>VLOOKUP(A175,Data_NV!$A:$E,5,0)</f>
        <v>Đang làm việc</v>
      </c>
      <c r="W175" s="10">
        <f>VLOOKUP(A175,Data_NV!$A:$I,8,0)</f>
        <v>0.33333333333333331</v>
      </c>
      <c r="X175" s="10">
        <f>VLOOKUP(A175,Data_NV!$A:$I,9,0)</f>
        <v>0.70833333333333337</v>
      </c>
      <c r="Y175" s="10">
        <f>IFERROR(TIMEVALUE(Table2[[#This Row],[Vào]]),0)</f>
        <v>0.33156249999999998</v>
      </c>
      <c r="Z175" s="10">
        <f>IFERROR(TIMEVALUE(Table2[[#This Row],[Ra]]),0)</f>
        <v>0</v>
      </c>
      <c r="AA175" t="str">
        <f t="shared" si="9"/>
        <v>x</v>
      </c>
      <c r="AB175" s="105">
        <f t="shared" si="10"/>
        <v>0</v>
      </c>
      <c r="AC175" s="12" t="str">
        <f>IF(VLOOKUP(A175,Data_NV!$A:$I,7,0)="Không","",IF(OR(AND(Y175=0,Z175=0),AND(Y175&lt;&gt;0,Z175&lt;&gt;0)),"","Quên chấm công"))</f>
        <v/>
      </c>
      <c r="AD175" s="12">
        <f>IF(VLOOKUP(A175,Data_NV!$A:$I,7,0)="Không",0,IF(AND(Y175=0,Z175=0),0,IF(X175&lt;=Z175,0,ROUNDDOWN((X175-Z175)*24*60,0))))</f>
        <v>0</v>
      </c>
      <c r="AE175" s="12">
        <f>IF(VLOOKUP(A175,Data_NV!$A:$I,6,0)="Không",0,IF(Z175&lt;=X175,0,ROUNDDOWN((Z175-X175)*24*60,0)))</f>
        <v>0</v>
      </c>
      <c r="AF175" s="26">
        <f t="shared" si="11"/>
        <v>0</v>
      </c>
      <c r="AG175" s="27" t="str">
        <f>IF(AC175="","",IF(COUNTIFS($AC$3:AC175,"Quên chấm công",$S$3:S175,S175)&gt;3,"Không chấm công do vi phạm quá 3 lần",IF(COUNTIFS($AC$3:AC175,"Quên chấm công",$S$3:S175,S175)&gt;2,"Trừ toàn bộ chuyên cần tháng do vi phạm lần 3",IF(COUNTIFS($AC$3:AC175,"Quên chấm công",$S$3:S175,S175)&gt;1,"Trừ 1/2 ngày lương",50000))))</f>
        <v/>
      </c>
      <c r="AH175" s="12" t="str">
        <f>IF(AF175=0,"",IF(COUNTIFS($AF$3:AF175,"&gt;0",$S$3:S175,S175)&gt;3,"Trừ toàn bộ chuyên cần tháng",""))</f>
        <v/>
      </c>
      <c r="AI175" s="12"/>
    </row>
    <row r="176" spans="1:35" x14ac:dyDescent="0.25">
      <c r="A176" s="4" t="s">
        <v>231</v>
      </c>
      <c r="B176" s="1" t="s">
        <v>232</v>
      </c>
      <c r="C176" s="1" t="s">
        <v>20</v>
      </c>
      <c r="D176" s="1" t="s">
        <v>116</v>
      </c>
      <c r="E176" s="1" t="s">
        <v>22</v>
      </c>
      <c r="F176" s="1" t="s">
        <v>23</v>
      </c>
      <c r="G176" s="1" t="s">
        <v>12</v>
      </c>
      <c r="H176" s="1" t="s">
        <v>250</v>
      </c>
      <c r="I176" s="1" t="s">
        <v>24</v>
      </c>
      <c r="J176" s="1" t="s">
        <v>251</v>
      </c>
      <c r="K176" s="1" t="s">
        <v>25</v>
      </c>
      <c r="L176" s="1" t="s">
        <v>26</v>
      </c>
      <c r="M176" s="1" t="s">
        <v>25</v>
      </c>
      <c r="N176" s="1" t="s">
        <v>25</v>
      </c>
      <c r="O176" s="1" t="s">
        <v>25</v>
      </c>
      <c r="P176" s="1" t="s">
        <v>25</v>
      </c>
      <c r="Q176" s="1" t="s">
        <v>25</v>
      </c>
      <c r="R176" s="85" t="str">
        <f t="shared" si="8"/>
        <v>1945924</v>
      </c>
      <c r="S176" t="str">
        <f>VLOOKUP(A176,Data_NV!$A:$C,3,0)</f>
        <v xml:space="preserve"> Hứa Thị Ngọc Thơ  </v>
      </c>
      <c r="T176" t="str">
        <f>VLOOKUP(A176,Data_NV!$A:$E,4,0)</f>
        <v>Kinh doanh</v>
      </c>
      <c r="U176" s="82">
        <f>DATEVALUE(Table2[[#This Row],[Ngày]])</f>
        <v>45924</v>
      </c>
      <c r="V176" t="str">
        <f>VLOOKUP(A176,Data_NV!$A:$E,5,0)</f>
        <v>Đang làm việc</v>
      </c>
      <c r="W176" s="10">
        <f>VLOOKUP(A176,Data_NV!$A:$I,8,0)</f>
        <v>0.33333333333333331</v>
      </c>
      <c r="X176" s="10">
        <f>VLOOKUP(A176,Data_NV!$A:$I,9,0)</f>
        <v>0.70833333333333337</v>
      </c>
      <c r="Y176" s="10">
        <f>IFERROR(TIMEVALUE(Table2[[#This Row],[Vào]]),0)</f>
        <v>0.33587962962962964</v>
      </c>
      <c r="Z176" s="10">
        <f>IFERROR(TIMEVALUE(Table2[[#This Row],[Ra]]),0)</f>
        <v>0</v>
      </c>
      <c r="AA176" t="str">
        <f t="shared" si="9"/>
        <v>x</v>
      </c>
      <c r="AB176" s="105">
        <f t="shared" si="10"/>
        <v>3.6666666666667069</v>
      </c>
      <c r="AC176" s="12" t="str">
        <f>IF(VLOOKUP(A176,Data_NV!$A:$I,7,0)="Không","",IF(OR(AND(Y176=0,Z176=0),AND(Y176&lt;&gt;0,Z176&lt;&gt;0)),"","Quên chấm công"))</f>
        <v/>
      </c>
      <c r="AD176" s="12">
        <f>IF(VLOOKUP(A176,Data_NV!$A:$I,7,0)="Không",0,IF(AND(Y176=0,Z176=0),0,IF(X176&lt;=Z176,0,ROUNDDOWN((X176-Z176)*24*60,0))))</f>
        <v>0</v>
      </c>
      <c r="AE176" s="12">
        <f>IF(VLOOKUP(A176,Data_NV!$A:$I,6,0)="Không",0,IF(Z176&lt;=X176,0,ROUNDDOWN((Z176-X176)*24*60,0)))</f>
        <v>0</v>
      </c>
      <c r="AF176" s="26">
        <f t="shared" si="11"/>
        <v>0</v>
      </c>
      <c r="AG176" s="27" t="str">
        <f>IF(AC176="","",IF(COUNTIFS($AC$3:AC176,"Quên chấm công",$S$3:S176,S176)&gt;3,"Không chấm công do vi phạm quá 3 lần",IF(COUNTIFS($AC$3:AC176,"Quên chấm công",$S$3:S176,S176)&gt;2,"Trừ toàn bộ chuyên cần tháng do vi phạm lần 3",IF(COUNTIFS($AC$3:AC176,"Quên chấm công",$S$3:S176,S176)&gt;1,"Trừ 1/2 ngày lương",50000))))</f>
        <v/>
      </c>
      <c r="AH176" s="12" t="str">
        <f>IF(AF176=0,"",IF(COUNTIFS($AF$3:AF176,"&gt;0",$S$3:S176,S176)&gt;3,"Trừ toàn bộ chuyên cần tháng",""))</f>
        <v/>
      </c>
      <c r="AI176" s="12"/>
    </row>
    <row r="177" spans="1:35" x14ac:dyDescent="0.25">
      <c r="A177" s="4" t="s">
        <v>231</v>
      </c>
      <c r="B177" s="1" t="s">
        <v>232</v>
      </c>
      <c r="C177" s="1" t="s">
        <v>20</v>
      </c>
      <c r="D177" s="1" t="s">
        <v>121</v>
      </c>
      <c r="E177" s="1" t="s">
        <v>22</v>
      </c>
      <c r="F177" s="1" t="s">
        <v>23</v>
      </c>
      <c r="G177" s="1" t="s">
        <v>12</v>
      </c>
      <c r="H177" s="1" t="s">
        <v>252</v>
      </c>
      <c r="I177" s="1" t="s">
        <v>24</v>
      </c>
      <c r="J177" s="1" t="s">
        <v>25</v>
      </c>
      <c r="K177" s="1" t="s">
        <v>25</v>
      </c>
      <c r="L177" s="1" t="s">
        <v>26</v>
      </c>
      <c r="M177" s="1" t="s">
        <v>25</v>
      </c>
      <c r="N177" s="1" t="s">
        <v>25</v>
      </c>
      <c r="O177" s="1" t="s">
        <v>25</v>
      </c>
      <c r="P177" s="1" t="s">
        <v>25</v>
      </c>
      <c r="Q177" s="1" t="s">
        <v>25</v>
      </c>
      <c r="R177" s="85" t="str">
        <f t="shared" si="8"/>
        <v>1945925</v>
      </c>
      <c r="S177" t="str">
        <f>VLOOKUP(A177,Data_NV!$A:$C,3,0)</f>
        <v xml:space="preserve"> Hứa Thị Ngọc Thơ  </v>
      </c>
      <c r="T177" t="str">
        <f>VLOOKUP(A177,Data_NV!$A:$E,4,0)</f>
        <v>Kinh doanh</v>
      </c>
      <c r="U177" s="82">
        <f>DATEVALUE(Table2[[#This Row],[Ngày]])</f>
        <v>45925</v>
      </c>
      <c r="V177" t="str">
        <f>VLOOKUP(A177,Data_NV!$A:$E,5,0)</f>
        <v>Đang làm việc</v>
      </c>
      <c r="W177" s="10">
        <f>VLOOKUP(A177,Data_NV!$A:$I,8,0)</f>
        <v>0.33333333333333331</v>
      </c>
      <c r="X177" s="10">
        <f>VLOOKUP(A177,Data_NV!$A:$I,9,0)</f>
        <v>0.70833333333333337</v>
      </c>
      <c r="Y177" s="10">
        <f>IFERROR(TIMEVALUE(Table2[[#This Row],[Vào]]),0)</f>
        <v>0.30616898148148147</v>
      </c>
      <c r="Z177" s="10">
        <f>IFERROR(TIMEVALUE(Table2[[#This Row],[Ra]]),0)</f>
        <v>0</v>
      </c>
      <c r="AA177" t="str">
        <f t="shared" si="9"/>
        <v>x</v>
      </c>
      <c r="AB177" s="105">
        <f t="shared" si="10"/>
        <v>0</v>
      </c>
      <c r="AC177" s="12" t="str">
        <f>IF(VLOOKUP(A177,Data_NV!$A:$I,7,0)="Không","",IF(OR(AND(Y177=0,Z177=0),AND(Y177&lt;&gt;0,Z177&lt;&gt;0)),"","Quên chấm công"))</f>
        <v/>
      </c>
      <c r="AD177" s="12">
        <f>IF(VLOOKUP(A177,Data_NV!$A:$I,7,0)="Không",0,IF(AND(Y177=0,Z177=0),0,IF(X177&lt;=Z177,0,ROUNDDOWN((X177-Z177)*24*60,0))))</f>
        <v>0</v>
      </c>
      <c r="AE177" s="12">
        <f>IF(VLOOKUP(A177,Data_NV!$A:$I,6,0)="Không",0,IF(Z177&lt;=X177,0,ROUNDDOWN((Z177-X177)*24*60,0)))</f>
        <v>0</v>
      </c>
      <c r="AF177" s="26">
        <f t="shared" si="11"/>
        <v>0</v>
      </c>
      <c r="AG177" s="27" t="str">
        <f>IF(AC177="","",IF(COUNTIFS($AC$3:AC177,"Quên chấm công",$S$3:S177,S177)&gt;3,"Không chấm công do vi phạm quá 3 lần",IF(COUNTIFS($AC$3:AC177,"Quên chấm công",$S$3:S177,S177)&gt;2,"Trừ toàn bộ chuyên cần tháng do vi phạm lần 3",IF(COUNTIFS($AC$3:AC177,"Quên chấm công",$S$3:S177,S177)&gt;1,"Trừ 1/2 ngày lương",50000))))</f>
        <v/>
      </c>
      <c r="AH177" s="12" t="str">
        <f>IF(AF177=0,"",IF(COUNTIFS($AF$3:AF177,"&gt;0",$S$3:S177,S177)&gt;3,"Trừ toàn bộ chuyên cần tháng",""))</f>
        <v/>
      </c>
      <c r="AI177" s="12"/>
    </row>
    <row r="178" spans="1:35" x14ac:dyDescent="0.25">
      <c r="A178" s="4" t="s">
        <v>231</v>
      </c>
      <c r="B178" s="1" t="s">
        <v>232</v>
      </c>
      <c r="C178" s="1" t="s">
        <v>20</v>
      </c>
      <c r="D178" s="1" t="s">
        <v>123</v>
      </c>
      <c r="E178" s="1" t="s">
        <v>22</v>
      </c>
      <c r="F178" s="1" t="s">
        <v>23</v>
      </c>
      <c r="G178" s="1" t="s">
        <v>12</v>
      </c>
      <c r="H178" s="1" t="s">
        <v>253</v>
      </c>
      <c r="I178" s="1" t="s">
        <v>24</v>
      </c>
      <c r="J178" s="1" t="s">
        <v>25</v>
      </c>
      <c r="K178" s="1" t="s">
        <v>25</v>
      </c>
      <c r="L178" s="1" t="s">
        <v>26</v>
      </c>
      <c r="M178" s="1" t="s">
        <v>25</v>
      </c>
      <c r="N178" s="1" t="s">
        <v>25</v>
      </c>
      <c r="O178" s="1" t="s">
        <v>25</v>
      </c>
      <c r="P178" s="1" t="s">
        <v>25</v>
      </c>
      <c r="Q178" s="1" t="s">
        <v>25</v>
      </c>
      <c r="R178" s="85" t="str">
        <f t="shared" si="8"/>
        <v>1945926</v>
      </c>
      <c r="S178" t="str">
        <f>VLOOKUP(A178,Data_NV!$A:$C,3,0)</f>
        <v xml:space="preserve"> Hứa Thị Ngọc Thơ  </v>
      </c>
      <c r="T178" t="str">
        <f>VLOOKUP(A178,Data_NV!$A:$E,4,0)</f>
        <v>Kinh doanh</v>
      </c>
      <c r="U178" s="82">
        <f>DATEVALUE(Table2[[#This Row],[Ngày]])</f>
        <v>45926</v>
      </c>
      <c r="V178" t="str">
        <f>VLOOKUP(A178,Data_NV!$A:$E,5,0)</f>
        <v>Đang làm việc</v>
      </c>
      <c r="W178" s="10">
        <f>VLOOKUP(A178,Data_NV!$A:$I,8,0)</f>
        <v>0.33333333333333331</v>
      </c>
      <c r="X178" s="10">
        <f>VLOOKUP(A178,Data_NV!$A:$I,9,0)</f>
        <v>0.70833333333333337</v>
      </c>
      <c r="Y178" s="10">
        <f>IFERROR(TIMEVALUE(Table2[[#This Row],[Vào]]),0)</f>
        <v>0.33081018518518518</v>
      </c>
      <c r="Z178" s="10">
        <f>IFERROR(TIMEVALUE(Table2[[#This Row],[Ra]]),0)</f>
        <v>0</v>
      </c>
      <c r="AA178" t="str">
        <f t="shared" si="9"/>
        <v>x</v>
      </c>
      <c r="AB178" s="105">
        <f t="shared" si="10"/>
        <v>0</v>
      </c>
      <c r="AC178" s="12" t="str">
        <f>IF(VLOOKUP(A178,Data_NV!$A:$I,7,0)="Không","",IF(OR(AND(Y178=0,Z178=0),AND(Y178&lt;&gt;0,Z178&lt;&gt;0)),"","Quên chấm công"))</f>
        <v/>
      </c>
      <c r="AD178" s="12">
        <f>IF(VLOOKUP(A178,Data_NV!$A:$I,7,0)="Không",0,IF(AND(Y178=0,Z178=0),0,IF(X178&lt;=Z178,0,ROUNDDOWN((X178-Z178)*24*60,0))))</f>
        <v>0</v>
      </c>
      <c r="AE178" s="12">
        <f>IF(VLOOKUP(A178,Data_NV!$A:$I,6,0)="Không",0,IF(Z178&lt;=X178,0,ROUNDDOWN((Z178-X178)*24*60,0)))</f>
        <v>0</v>
      </c>
      <c r="AF178" s="26">
        <f t="shared" si="11"/>
        <v>0</v>
      </c>
      <c r="AG178" s="27" t="str">
        <f>IF(AC178="","",IF(COUNTIFS($AC$3:AC178,"Quên chấm công",$S$3:S178,S178)&gt;3,"Không chấm công do vi phạm quá 3 lần",IF(COUNTIFS($AC$3:AC178,"Quên chấm công",$S$3:S178,S178)&gt;2,"Trừ toàn bộ chuyên cần tháng do vi phạm lần 3",IF(COUNTIFS($AC$3:AC178,"Quên chấm công",$S$3:S178,S178)&gt;1,"Trừ 1/2 ngày lương",50000))))</f>
        <v/>
      </c>
      <c r="AH178" s="12" t="str">
        <f>IF(AF178=0,"",IF(COUNTIFS($AF$3:AF178,"&gt;0",$S$3:S178,S178)&gt;3,"Trừ toàn bộ chuyên cần tháng",""))</f>
        <v/>
      </c>
      <c r="AI178" s="12"/>
    </row>
    <row r="179" spans="1:35" x14ac:dyDescent="0.25">
      <c r="A179" s="4" t="s">
        <v>231</v>
      </c>
      <c r="B179" s="1" t="s">
        <v>232</v>
      </c>
      <c r="C179" s="1" t="s">
        <v>20</v>
      </c>
      <c r="D179" s="1" t="s">
        <v>125</v>
      </c>
      <c r="E179" s="1" t="s">
        <v>22</v>
      </c>
      <c r="F179" s="1" t="s">
        <v>23</v>
      </c>
      <c r="G179" s="1" t="s">
        <v>12</v>
      </c>
      <c r="H179" s="1" t="s">
        <v>24</v>
      </c>
      <c r="I179" s="1" t="s">
        <v>24</v>
      </c>
      <c r="J179" s="1" t="s">
        <v>25</v>
      </c>
      <c r="K179" s="1" t="s">
        <v>25</v>
      </c>
      <c r="L179" s="1" t="s">
        <v>26</v>
      </c>
      <c r="M179" s="1" t="s">
        <v>25</v>
      </c>
      <c r="N179" s="1" t="s">
        <v>25</v>
      </c>
      <c r="O179" s="1" t="s">
        <v>25</v>
      </c>
      <c r="P179" s="1" t="s">
        <v>25</v>
      </c>
      <c r="Q179" s="1" t="s">
        <v>25</v>
      </c>
      <c r="R179" s="85" t="str">
        <f t="shared" si="8"/>
        <v>1945927</v>
      </c>
      <c r="S179" t="str">
        <f>VLOOKUP(A179,Data_NV!$A:$C,3,0)</f>
        <v xml:space="preserve"> Hứa Thị Ngọc Thơ  </v>
      </c>
      <c r="T179" t="str">
        <f>VLOOKUP(A179,Data_NV!$A:$E,4,0)</f>
        <v>Kinh doanh</v>
      </c>
      <c r="U179" s="82">
        <f>DATEVALUE(Table2[[#This Row],[Ngày]])</f>
        <v>45927</v>
      </c>
      <c r="V179" t="str">
        <f>VLOOKUP(A179,Data_NV!$A:$E,5,0)</f>
        <v>Đang làm việc</v>
      </c>
      <c r="W179" s="10">
        <f>VLOOKUP(A179,Data_NV!$A:$I,8,0)</f>
        <v>0.33333333333333331</v>
      </c>
      <c r="X179" s="10">
        <f>VLOOKUP(A179,Data_NV!$A:$I,9,0)</f>
        <v>0.70833333333333337</v>
      </c>
      <c r="Y179" s="10">
        <f>IFERROR(TIMEVALUE(Table2[[#This Row],[Vào]]),0)</f>
        <v>0</v>
      </c>
      <c r="Z179" s="10">
        <f>IFERROR(TIMEVALUE(Table2[[#This Row],[Ra]]),0)</f>
        <v>0</v>
      </c>
      <c r="AA179" t="s">
        <v>1341</v>
      </c>
      <c r="AB179" s="105">
        <f t="shared" si="10"/>
        <v>0</v>
      </c>
      <c r="AC179" s="12" t="str">
        <f>IF(VLOOKUP(A179,Data_NV!$A:$I,7,0)="Không","",IF(OR(AND(Y179=0,Z179=0),AND(Y179&lt;&gt;0,Z179&lt;&gt;0)),"","Quên chấm công"))</f>
        <v/>
      </c>
      <c r="AD179" s="12">
        <f>IF(VLOOKUP(A179,Data_NV!$A:$I,7,0)="Không",0,IF(AND(Y179=0,Z179=0),0,IF(X179&lt;=Z179,0,ROUNDDOWN((X179-Z179)*24*60,0))))</f>
        <v>0</v>
      </c>
      <c r="AE179" s="12">
        <f>IF(VLOOKUP(A179,Data_NV!$A:$I,6,0)="Không",0,IF(Z179&lt;=X179,0,ROUNDDOWN((Z179-X179)*24*60,0)))</f>
        <v>0</v>
      </c>
      <c r="AF179" s="26">
        <f t="shared" si="11"/>
        <v>0</v>
      </c>
      <c r="AG179" s="27" t="str">
        <f>IF(AC179="","",IF(COUNTIFS($AC$3:AC179,"Quên chấm công",$S$3:S179,S179)&gt;3,"Không chấm công do vi phạm quá 3 lần",IF(COUNTIFS($AC$3:AC179,"Quên chấm công",$S$3:S179,S179)&gt;2,"Trừ toàn bộ chuyên cần tháng do vi phạm lần 3",IF(COUNTIFS($AC$3:AC179,"Quên chấm công",$S$3:S179,S179)&gt;1,"Trừ 1/2 ngày lương",50000))))</f>
        <v/>
      </c>
      <c r="AH179" s="12" t="str">
        <f>IF(AF179=0,"",IF(COUNTIFS($AF$3:AF179,"&gt;0",$S$3:S179,S179)&gt;3,"Trừ toàn bộ chuyên cần tháng",""))</f>
        <v/>
      </c>
      <c r="AI179" s="12" t="s">
        <v>1375</v>
      </c>
    </row>
    <row r="180" spans="1:35" x14ac:dyDescent="0.25">
      <c r="A180" s="4" t="s">
        <v>231</v>
      </c>
      <c r="B180" s="1" t="s">
        <v>232</v>
      </c>
      <c r="C180" s="1" t="s">
        <v>20</v>
      </c>
      <c r="D180" s="1" t="s">
        <v>130</v>
      </c>
      <c r="E180" s="1" t="s">
        <v>22</v>
      </c>
      <c r="F180" s="1" t="s">
        <v>23</v>
      </c>
      <c r="G180" s="1" t="s">
        <v>12</v>
      </c>
      <c r="H180" s="1" t="s">
        <v>24</v>
      </c>
      <c r="I180" s="1" t="s">
        <v>24</v>
      </c>
      <c r="J180" s="1" t="s">
        <v>25</v>
      </c>
      <c r="K180" s="1" t="s">
        <v>25</v>
      </c>
      <c r="L180" s="1" t="s">
        <v>26</v>
      </c>
      <c r="M180" s="1" t="s">
        <v>25</v>
      </c>
      <c r="N180" s="1" t="s">
        <v>25</v>
      </c>
      <c r="O180" s="1" t="s">
        <v>25</v>
      </c>
      <c r="P180" s="1" t="s">
        <v>25</v>
      </c>
      <c r="Q180" s="1" t="s">
        <v>25</v>
      </c>
      <c r="R180" s="85" t="str">
        <f t="shared" si="8"/>
        <v>1945928</v>
      </c>
      <c r="S180" t="str">
        <f>VLOOKUP(A180,Data_NV!$A:$C,3,0)</f>
        <v xml:space="preserve"> Hứa Thị Ngọc Thơ  </v>
      </c>
      <c r="T180" t="str">
        <f>VLOOKUP(A180,Data_NV!$A:$E,4,0)</f>
        <v>Kinh doanh</v>
      </c>
      <c r="U180" s="82">
        <f>DATEVALUE(Table2[[#This Row],[Ngày]])</f>
        <v>45928</v>
      </c>
      <c r="V180" t="str">
        <f>VLOOKUP(A180,Data_NV!$A:$E,5,0)</f>
        <v>Đang làm việc</v>
      </c>
      <c r="W180" s="10">
        <f>VLOOKUP(A180,Data_NV!$A:$I,8,0)</f>
        <v>0.33333333333333331</v>
      </c>
      <c r="X180" s="10">
        <f>VLOOKUP(A180,Data_NV!$A:$I,9,0)</f>
        <v>0.70833333333333337</v>
      </c>
      <c r="Y180" s="10">
        <f>IFERROR(TIMEVALUE(Table2[[#This Row],[Vào]]),0)</f>
        <v>0</v>
      </c>
      <c r="Z180" s="10">
        <f>IFERROR(TIMEVALUE(Table2[[#This Row],[Ra]]),0)</f>
        <v>0</v>
      </c>
      <c r="AA180" t="str">
        <f t="shared" si="9"/>
        <v>Chủ nhật</v>
      </c>
      <c r="AB180" s="105">
        <f t="shared" si="10"/>
        <v>0</v>
      </c>
      <c r="AC180" s="12" t="str">
        <f>IF(VLOOKUP(A180,Data_NV!$A:$I,7,0)="Không","",IF(OR(AND(Y180=0,Z180=0),AND(Y180&lt;&gt;0,Z180&lt;&gt;0)),"","Quên chấm công"))</f>
        <v/>
      </c>
      <c r="AD180" s="12">
        <f>IF(VLOOKUP(A180,Data_NV!$A:$I,7,0)="Không",0,IF(AND(Y180=0,Z180=0),0,IF(X180&lt;=Z180,0,ROUNDDOWN((X180-Z180)*24*60,0))))</f>
        <v>0</v>
      </c>
      <c r="AE180" s="12">
        <f>IF(VLOOKUP(A180,Data_NV!$A:$I,6,0)="Không",0,IF(Z180&lt;=X180,0,ROUNDDOWN((Z180-X180)*24*60,0)))</f>
        <v>0</v>
      </c>
      <c r="AF180" s="26">
        <f t="shared" si="11"/>
        <v>0</v>
      </c>
      <c r="AG180" s="27" t="str">
        <f>IF(AC180="","",IF(COUNTIFS($AC$3:AC180,"Quên chấm công",$S$3:S180,S180)&gt;3,"Không chấm công do vi phạm quá 3 lần",IF(COUNTIFS($AC$3:AC180,"Quên chấm công",$S$3:S180,S180)&gt;2,"Trừ toàn bộ chuyên cần tháng do vi phạm lần 3",IF(COUNTIFS($AC$3:AC180,"Quên chấm công",$S$3:S180,S180)&gt;1,"Trừ 1/2 ngày lương",50000))))</f>
        <v/>
      </c>
      <c r="AH180" s="12" t="str">
        <f>IF(AF180=0,"",IF(COUNTIFS($AF$3:AF180,"&gt;0",$S$3:S180,S180)&gt;3,"Trừ toàn bộ chuyên cần tháng",""))</f>
        <v/>
      </c>
      <c r="AI180" s="12"/>
    </row>
    <row r="181" spans="1:35" x14ac:dyDescent="0.25">
      <c r="A181" s="4" t="s">
        <v>231</v>
      </c>
      <c r="B181" s="1" t="s">
        <v>232</v>
      </c>
      <c r="C181" s="1" t="s">
        <v>20</v>
      </c>
      <c r="D181" s="1" t="s">
        <v>131</v>
      </c>
      <c r="E181" s="1" t="s">
        <v>22</v>
      </c>
      <c r="F181" s="1" t="s">
        <v>23</v>
      </c>
      <c r="G181" s="1" t="s">
        <v>12</v>
      </c>
      <c r="H181" s="1" t="s">
        <v>254</v>
      </c>
      <c r="I181" s="1" t="s">
        <v>24</v>
      </c>
      <c r="J181" s="1" t="s">
        <v>25</v>
      </c>
      <c r="K181" s="1" t="s">
        <v>25</v>
      </c>
      <c r="L181" s="1" t="s">
        <v>26</v>
      </c>
      <c r="M181" s="1" t="s">
        <v>25</v>
      </c>
      <c r="N181" s="1" t="s">
        <v>25</v>
      </c>
      <c r="O181" s="1" t="s">
        <v>25</v>
      </c>
      <c r="P181" s="1" t="s">
        <v>25</v>
      </c>
      <c r="Q181" s="1" t="s">
        <v>25</v>
      </c>
      <c r="R181" s="85" t="str">
        <f t="shared" si="8"/>
        <v>1945929</v>
      </c>
      <c r="S181" t="str">
        <f>VLOOKUP(A181,Data_NV!$A:$C,3,0)</f>
        <v xml:space="preserve"> Hứa Thị Ngọc Thơ  </v>
      </c>
      <c r="T181" t="str">
        <f>VLOOKUP(A181,Data_NV!$A:$E,4,0)</f>
        <v>Kinh doanh</v>
      </c>
      <c r="U181" s="82">
        <f>DATEVALUE(Table2[[#This Row],[Ngày]])</f>
        <v>45929</v>
      </c>
      <c r="V181" t="str">
        <f>VLOOKUP(A181,Data_NV!$A:$E,5,0)</f>
        <v>Đang làm việc</v>
      </c>
      <c r="W181" s="10">
        <f>VLOOKUP(A181,Data_NV!$A:$I,8,0)</f>
        <v>0.33333333333333331</v>
      </c>
      <c r="X181" s="10">
        <f>VLOOKUP(A181,Data_NV!$A:$I,9,0)</f>
        <v>0.70833333333333337</v>
      </c>
      <c r="Y181" s="10">
        <f>IFERROR(TIMEVALUE(Table2[[#This Row],[Vào]]),0)</f>
        <v>0.32255787037037037</v>
      </c>
      <c r="Z181" s="10">
        <f>IFERROR(TIMEVALUE(Table2[[#This Row],[Ra]]),0)</f>
        <v>0</v>
      </c>
      <c r="AA181" t="str">
        <f t="shared" si="9"/>
        <v>x</v>
      </c>
      <c r="AB181" s="105">
        <f t="shared" si="10"/>
        <v>0</v>
      </c>
      <c r="AC181" s="12" t="str">
        <f>IF(VLOOKUP(A181,Data_NV!$A:$I,7,0)="Không","",IF(OR(AND(Y181=0,Z181=0),AND(Y181&lt;&gt;0,Z181&lt;&gt;0)),"","Quên chấm công"))</f>
        <v/>
      </c>
      <c r="AD181" s="12">
        <f>IF(VLOOKUP(A181,Data_NV!$A:$I,7,0)="Không",0,IF(AND(Y181=0,Z181=0),0,IF(X181&lt;=Z181,0,ROUNDDOWN((X181-Z181)*24*60,0))))</f>
        <v>0</v>
      </c>
      <c r="AE181" s="12">
        <f>IF(VLOOKUP(A181,Data_NV!$A:$I,6,0)="Không",0,IF(Z181&lt;=X181,0,ROUNDDOWN((Z181-X181)*24*60,0)))</f>
        <v>0</v>
      </c>
      <c r="AF181" s="26">
        <f t="shared" si="11"/>
        <v>0</v>
      </c>
      <c r="AG181" s="27" t="str">
        <f>IF(AC181="","",IF(COUNTIFS($AC$3:AC181,"Quên chấm công",$S$3:S181,S181)&gt;3,"Không chấm công do vi phạm quá 3 lần",IF(COUNTIFS($AC$3:AC181,"Quên chấm công",$S$3:S181,S181)&gt;2,"Trừ toàn bộ chuyên cần tháng do vi phạm lần 3",IF(COUNTIFS($AC$3:AC181,"Quên chấm công",$S$3:S181,S181)&gt;1,"Trừ 1/2 ngày lương",50000))))</f>
        <v/>
      </c>
      <c r="AH181" s="12" t="str">
        <f>IF(AF181=0,"",IF(COUNTIFS($AF$3:AF181,"&gt;0",$S$3:S181,S181)&gt;3,"Trừ toàn bộ chuyên cần tháng",""))</f>
        <v/>
      </c>
      <c r="AI181" s="12"/>
    </row>
    <row r="182" spans="1:35" x14ac:dyDescent="0.25">
      <c r="A182" s="4" t="s">
        <v>231</v>
      </c>
      <c r="B182" s="1" t="s">
        <v>232</v>
      </c>
      <c r="C182" s="1" t="s">
        <v>20</v>
      </c>
      <c r="D182" s="1" t="s">
        <v>136</v>
      </c>
      <c r="E182" s="1" t="s">
        <v>22</v>
      </c>
      <c r="F182" s="1" t="s">
        <v>23</v>
      </c>
      <c r="G182" s="1" t="s">
        <v>12</v>
      </c>
      <c r="H182" s="1" t="s">
        <v>255</v>
      </c>
      <c r="I182" s="1" t="s">
        <v>24</v>
      </c>
      <c r="J182" s="1" t="s">
        <v>25</v>
      </c>
      <c r="K182" s="1" t="s">
        <v>25</v>
      </c>
      <c r="L182" s="1" t="s">
        <v>26</v>
      </c>
      <c r="M182" s="1" t="s">
        <v>25</v>
      </c>
      <c r="N182" s="1" t="s">
        <v>25</v>
      </c>
      <c r="O182" s="1" t="s">
        <v>25</v>
      </c>
      <c r="P182" s="1" t="s">
        <v>25</v>
      </c>
      <c r="Q182" s="1" t="s">
        <v>25</v>
      </c>
      <c r="R182" s="85" t="str">
        <f t="shared" si="8"/>
        <v>1945930</v>
      </c>
      <c r="S182" t="str">
        <f>VLOOKUP(A182,Data_NV!$A:$C,3,0)</f>
        <v xml:space="preserve"> Hứa Thị Ngọc Thơ  </v>
      </c>
      <c r="T182" t="str">
        <f>VLOOKUP(A182,Data_NV!$A:$E,4,0)</f>
        <v>Kinh doanh</v>
      </c>
      <c r="U182" s="82">
        <f>DATEVALUE(Table2[[#This Row],[Ngày]])</f>
        <v>45930</v>
      </c>
      <c r="V182" t="str">
        <f>VLOOKUP(A182,Data_NV!$A:$E,5,0)</f>
        <v>Đang làm việc</v>
      </c>
      <c r="W182" s="10">
        <f>VLOOKUP(A182,Data_NV!$A:$I,8,0)</f>
        <v>0.33333333333333331</v>
      </c>
      <c r="X182" s="10">
        <f>VLOOKUP(A182,Data_NV!$A:$I,9,0)</f>
        <v>0.70833333333333337</v>
      </c>
      <c r="Y182" s="10">
        <f>IFERROR(TIMEVALUE(Table2[[#This Row],[Vào]]),0)</f>
        <v>0.32232638888888887</v>
      </c>
      <c r="Z182" s="10">
        <f>IFERROR(TIMEVALUE(Table2[[#This Row],[Ra]]),0)</f>
        <v>0</v>
      </c>
      <c r="AA182" t="str">
        <f t="shared" si="9"/>
        <v>x</v>
      </c>
      <c r="AB182" s="105">
        <f t="shared" si="10"/>
        <v>0</v>
      </c>
      <c r="AC182" s="12" t="str">
        <f>IF(VLOOKUP(A182,Data_NV!$A:$I,7,0)="Không","",IF(OR(AND(Y182=0,Z182=0),AND(Y182&lt;&gt;0,Z182&lt;&gt;0)),"","Quên chấm công"))</f>
        <v/>
      </c>
      <c r="AD182" s="12">
        <f>IF(VLOOKUP(A182,Data_NV!$A:$I,7,0)="Không",0,IF(AND(Y182=0,Z182=0),0,IF(X182&lt;=Z182,0,ROUNDDOWN((X182-Z182)*24*60,0))))</f>
        <v>0</v>
      </c>
      <c r="AE182" s="12">
        <f>IF(VLOOKUP(A182,Data_NV!$A:$I,6,0)="Không",0,IF(Z182&lt;=X182,0,ROUNDDOWN((Z182-X182)*24*60,0)))</f>
        <v>0</v>
      </c>
      <c r="AF182" s="26">
        <f t="shared" si="11"/>
        <v>0</v>
      </c>
      <c r="AG182" s="27" t="str">
        <f>IF(AC182="","",IF(COUNTIFS($AC$3:AC182,"Quên chấm công",$S$3:S182,S182)&gt;3,"Không chấm công do vi phạm quá 3 lần",IF(COUNTIFS($AC$3:AC182,"Quên chấm công",$S$3:S182,S182)&gt;2,"Trừ toàn bộ chuyên cần tháng do vi phạm lần 3",IF(COUNTIFS($AC$3:AC182,"Quên chấm công",$S$3:S182,S182)&gt;1,"Trừ 1/2 ngày lương",50000))))</f>
        <v/>
      </c>
      <c r="AH182" s="12" t="str">
        <f>IF(AF182=0,"",IF(COUNTIFS($AF$3:AF182,"&gt;0",$S$3:S182,S182)&gt;3,"Trừ toàn bộ chuyên cần tháng",""))</f>
        <v/>
      </c>
      <c r="AI182" s="12"/>
    </row>
    <row r="183" spans="1:35" x14ac:dyDescent="0.25">
      <c r="A183" s="4" t="s">
        <v>256</v>
      </c>
      <c r="B183" s="1" t="s">
        <v>257</v>
      </c>
      <c r="C183" s="1" t="s">
        <v>20</v>
      </c>
      <c r="D183" s="1" t="s">
        <v>21</v>
      </c>
      <c r="E183" s="1" t="s">
        <v>22</v>
      </c>
      <c r="F183" s="1" t="s">
        <v>23</v>
      </c>
      <c r="G183" s="1" t="s">
        <v>12</v>
      </c>
      <c r="H183" s="1" t="s">
        <v>24</v>
      </c>
      <c r="I183" s="1" t="s">
        <v>24</v>
      </c>
      <c r="J183" s="1" t="s">
        <v>25</v>
      </c>
      <c r="K183" s="1" t="s">
        <v>25</v>
      </c>
      <c r="L183" s="1" t="s">
        <v>26</v>
      </c>
      <c r="M183" s="1" t="s">
        <v>25</v>
      </c>
      <c r="N183" s="1" t="s">
        <v>25</v>
      </c>
      <c r="O183" s="1" t="s">
        <v>25</v>
      </c>
      <c r="P183" s="1" t="s">
        <v>25</v>
      </c>
      <c r="Q183" s="1" t="s">
        <v>25</v>
      </c>
      <c r="R183" s="85" t="str">
        <f t="shared" si="8"/>
        <v>245901</v>
      </c>
      <c r="S183" t="str">
        <f>VLOOKUP(A183,Data_NV!$A:$C,3,0)</f>
        <v xml:space="preserve">Trần Kỳ Tâm    </v>
      </c>
      <c r="T183" t="str">
        <f>VLOOKUP(A183,Data_NV!$A:$E,4,0)</f>
        <v>Vận Hành</v>
      </c>
      <c r="U183" s="82">
        <f>DATEVALUE(Table2[[#This Row],[Ngày]])</f>
        <v>45901</v>
      </c>
      <c r="V183" t="str">
        <f>VLOOKUP(A183,Data_NV!$A:$E,5,0)</f>
        <v>Đang làm việc</v>
      </c>
      <c r="W183" s="10">
        <f>VLOOKUP(A183,Data_NV!$A:$I,8,0)</f>
        <v>0.33333333333333331</v>
      </c>
      <c r="X183" s="10">
        <f>VLOOKUP(A183,Data_NV!$A:$I,9,0)</f>
        <v>0.70833333333333337</v>
      </c>
      <c r="Y183" s="10">
        <f>IFERROR(TIMEVALUE(Table2[[#This Row],[Vào]]),0)</f>
        <v>0</v>
      </c>
      <c r="Z183" s="10">
        <f>IFERROR(TIMEVALUE(Table2[[#This Row],[Ra]]),0)</f>
        <v>0</v>
      </c>
      <c r="AA183" s="97" t="s">
        <v>1349</v>
      </c>
      <c r="AB183" s="105">
        <f t="shared" si="10"/>
        <v>0</v>
      </c>
      <c r="AC183" s="12" t="str">
        <f>IF(VLOOKUP(A183,Data_NV!$A:$I,7,0)="Không","",IF(OR(AND(Y183=0,Z183=0),AND(Y183&lt;&gt;0,Z183&lt;&gt;0)),"","Quên chấm công"))</f>
        <v/>
      </c>
      <c r="AD183" s="12">
        <f>IF(VLOOKUP(A183,Data_NV!$A:$I,7,0)="Không",0,IF(AND(Y183=0,Z183=0),0,IF(X183&lt;=Z183,0,ROUNDDOWN((X183-Z183)*24*60,0))))</f>
        <v>0</v>
      </c>
      <c r="AE183" s="12">
        <f>IF(VLOOKUP(A183,Data_NV!$A:$I,6,0)="Không",0,IF(Z183&lt;=X183,0,ROUNDDOWN((Z183-X183)*24*60,0)))</f>
        <v>0</v>
      </c>
      <c r="AF183" s="26">
        <f t="shared" si="11"/>
        <v>0</v>
      </c>
      <c r="AG183" s="27" t="str">
        <f>IF(AC183="","",IF(COUNTIFS($AC$3:AC183,"Quên chấm công",$S$3:S183,S183)&gt;3,"Không chấm công do vi phạm quá 3 lần",IF(COUNTIFS($AC$3:AC183,"Quên chấm công",$S$3:S183,S183)&gt;2,"Trừ toàn bộ chuyên cần tháng do vi phạm lần 3",IF(COUNTIFS($AC$3:AC183,"Quên chấm công",$S$3:S183,S183)&gt;1,"Trừ 1/2 ngày lương",50000))))</f>
        <v/>
      </c>
      <c r="AH183" s="12" t="str">
        <f>IF(AF183=0,"",IF(COUNTIFS($AF$3:AF183,"&gt;0",$S$3:S183,S183)&gt;3,"Trừ toàn bộ chuyên cần tháng",""))</f>
        <v/>
      </c>
      <c r="AI183" s="98" t="s">
        <v>1369</v>
      </c>
    </row>
    <row r="184" spans="1:35" x14ac:dyDescent="0.25">
      <c r="A184" s="4" t="s">
        <v>256</v>
      </c>
      <c r="B184" s="1" t="s">
        <v>257</v>
      </c>
      <c r="C184" s="1" t="s">
        <v>20</v>
      </c>
      <c r="D184" s="1" t="s">
        <v>27</v>
      </c>
      <c r="E184" s="1" t="s">
        <v>22</v>
      </c>
      <c r="F184" s="1" t="s">
        <v>23</v>
      </c>
      <c r="G184" s="1" t="s">
        <v>12</v>
      </c>
      <c r="H184" s="1" t="s">
        <v>24</v>
      </c>
      <c r="I184" s="1" t="s">
        <v>24</v>
      </c>
      <c r="J184" s="1" t="s">
        <v>25</v>
      </c>
      <c r="K184" s="1" t="s">
        <v>25</v>
      </c>
      <c r="L184" s="1" t="s">
        <v>26</v>
      </c>
      <c r="M184" s="1" t="s">
        <v>25</v>
      </c>
      <c r="N184" s="1" t="s">
        <v>25</v>
      </c>
      <c r="O184" s="1" t="s">
        <v>25</v>
      </c>
      <c r="P184" s="1" t="s">
        <v>25</v>
      </c>
      <c r="Q184" s="1" t="s">
        <v>25</v>
      </c>
      <c r="R184" s="85" t="str">
        <f t="shared" si="8"/>
        <v>245902</v>
      </c>
      <c r="S184" t="str">
        <f>VLOOKUP(A184,Data_NV!$A:$C,3,0)</f>
        <v xml:space="preserve">Trần Kỳ Tâm    </v>
      </c>
      <c r="T184" t="str">
        <f>VLOOKUP(A184,Data_NV!$A:$E,4,0)</f>
        <v>Vận Hành</v>
      </c>
      <c r="U184" s="82">
        <f>DATEVALUE(Table2[[#This Row],[Ngày]])</f>
        <v>45902</v>
      </c>
      <c r="V184" t="str">
        <f>VLOOKUP(A184,Data_NV!$A:$E,5,0)</f>
        <v>Đang làm việc</v>
      </c>
      <c r="W184" s="10">
        <f>VLOOKUP(A184,Data_NV!$A:$I,8,0)</f>
        <v>0.33333333333333331</v>
      </c>
      <c r="X184" s="10">
        <f>VLOOKUP(A184,Data_NV!$A:$I,9,0)</f>
        <v>0.70833333333333337</v>
      </c>
      <c r="Y184" s="10">
        <f>IFERROR(TIMEVALUE(Table2[[#This Row],[Vào]]),0)</f>
        <v>0</v>
      </c>
      <c r="Z184" s="10">
        <f>IFERROR(TIMEVALUE(Table2[[#This Row],[Ra]]),0)</f>
        <v>0</v>
      </c>
      <c r="AA184" s="97" t="s">
        <v>1349</v>
      </c>
      <c r="AB184" s="105">
        <f t="shared" si="10"/>
        <v>0</v>
      </c>
      <c r="AC184" s="12" t="str">
        <f>IF(VLOOKUP(A184,Data_NV!$A:$I,7,0)="Không","",IF(OR(AND(Y184=0,Z184=0),AND(Y184&lt;&gt;0,Z184&lt;&gt;0)),"","Quên chấm công"))</f>
        <v/>
      </c>
      <c r="AD184" s="12">
        <f>IF(VLOOKUP(A184,Data_NV!$A:$I,7,0)="Không",0,IF(AND(Y184=0,Z184=0),0,IF(X184&lt;=Z184,0,ROUNDDOWN((X184-Z184)*24*60,0))))</f>
        <v>0</v>
      </c>
      <c r="AE184" s="12">
        <f>IF(VLOOKUP(A184,Data_NV!$A:$I,6,0)="Không",0,IF(Z184&lt;=X184,0,ROUNDDOWN((Z184-X184)*24*60,0)))</f>
        <v>0</v>
      </c>
      <c r="AF184" s="26">
        <f t="shared" si="11"/>
        <v>0</v>
      </c>
      <c r="AG184" s="27" t="str">
        <f>IF(AC184="","",IF(COUNTIFS($AC$3:AC184,"Quên chấm công",$S$3:S184,S184)&gt;3,"Không chấm công do vi phạm quá 3 lần",IF(COUNTIFS($AC$3:AC184,"Quên chấm công",$S$3:S184,S184)&gt;2,"Trừ toàn bộ chuyên cần tháng do vi phạm lần 3",IF(COUNTIFS($AC$3:AC184,"Quên chấm công",$S$3:S184,S184)&gt;1,"Trừ 1/2 ngày lương",50000))))</f>
        <v/>
      </c>
      <c r="AH184" s="12" t="str">
        <f>IF(AF184=0,"",IF(COUNTIFS($AF$3:AF184,"&gt;0",$S$3:S184,S184)&gt;3,"Trừ toàn bộ chuyên cần tháng",""))</f>
        <v/>
      </c>
      <c r="AI184" s="98" t="s">
        <v>1369</v>
      </c>
    </row>
    <row r="185" spans="1:35" x14ac:dyDescent="0.25">
      <c r="A185" s="4" t="s">
        <v>256</v>
      </c>
      <c r="B185" s="1" t="s">
        <v>257</v>
      </c>
      <c r="C185" s="1" t="s">
        <v>20</v>
      </c>
      <c r="D185" s="1" t="s">
        <v>28</v>
      </c>
      <c r="E185" s="1" t="s">
        <v>22</v>
      </c>
      <c r="F185" s="1" t="s">
        <v>23</v>
      </c>
      <c r="G185" s="1" t="s">
        <v>29</v>
      </c>
      <c r="H185" s="1" t="s">
        <v>258</v>
      </c>
      <c r="I185" s="1" t="s">
        <v>259</v>
      </c>
      <c r="J185" s="1" t="s">
        <v>25</v>
      </c>
      <c r="K185" s="1" t="s">
        <v>260</v>
      </c>
      <c r="L185" s="1" t="s">
        <v>25</v>
      </c>
      <c r="M185" s="1" t="s">
        <v>26</v>
      </c>
      <c r="N185" s="1" t="s">
        <v>25</v>
      </c>
      <c r="O185" s="1" t="s">
        <v>261</v>
      </c>
      <c r="P185" s="1" t="s">
        <v>25</v>
      </c>
      <c r="Q185" s="1" t="s">
        <v>25</v>
      </c>
      <c r="R185" s="85" t="str">
        <f t="shared" si="8"/>
        <v>245903</v>
      </c>
      <c r="S185" t="str">
        <f>VLOOKUP(A185,Data_NV!$A:$C,3,0)</f>
        <v xml:space="preserve">Trần Kỳ Tâm    </v>
      </c>
      <c r="T185" t="str">
        <f>VLOOKUP(A185,Data_NV!$A:$E,4,0)</f>
        <v>Vận Hành</v>
      </c>
      <c r="U185" s="82">
        <f>DATEVALUE(Table2[[#This Row],[Ngày]])</f>
        <v>45903</v>
      </c>
      <c r="V185" t="str">
        <f>VLOOKUP(A185,Data_NV!$A:$E,5,0)</f>
        <v>Đang làm việc</v>
      </c>
      <c r="W185" s="10">
        <f>VLOOKUP(A185,Data_NV!$A:$I,8,0)</f>
        <v>0.33333333333333331</v>
      </c>
      <c r="X185" s="10">
        <f>VLOOKUP(A185,Data_NV!$A:$I,9,0)</f>
        <v>0.70833333333333337</v>
      </c>
      <c r="Y185" s="10">
        <f>IFERROR(TIMEVALUE(Table2[[#This Row],[Vào]]),0)</f>
        <v>0.33174768518518516</v>
      </c>
      <c r="Z185" s="10">
        <f>IFERROR(TIMEVALUE(Table2[[#This Row],[Ra]]),0)</f>
        <v>0.75984953703703706</v>
      </c>
      <c r="AA185" t="str">
        <f t="shared" si="9"/>
        <v>x</v>
      </c>
      <c r="AB185" s="105">
        <f t="shared" si="10"/>
        <v>0</v>
      </c>
      <c r="AC185" s="12" t="str">
        <f>IF(VLOOKUP(A185,Data_NV!$A:$I,7,0)="Không","",IF(OR(AND(Y185=0,Z185=0),AND(Y185&lt;&gt;0,Z185&lt;&gt;0)),"","Quên chấm công"))</f>
        <v/>
      </c>
      <c r="AD185" s="12">
        <f>IF(VLOOKUP(A185,Data_NV!$A:$I,7,0)="Không",0,IF(AND(Y185=0,Z185=0),0,IF(X185&lt;=Z185,0,ROUNDDOWN((X185-Z185)*24*60,0))))</f>
        <v>0</v>
      </c>
      <c r="AE185" s="12">
        <f>IF(VLOOKUP(A185,Data_NV!$A:$I,6,0)="Không",0,IF(Z185&lt;=X185,0,ROUNDDOWN((Z185-X185)*24*60,0)))</f>
        <v>74</v>
      </c>
      <c r="AF185" s="26">
        <f t="shared" si="11"/>
        <v>0</v>
      </c>
      <c r="AG185" s="27" t="str">
        <f>IF(AC185="","",IF(COUNTIFS($AC$3:AC185,"Quên chấm công",$S$3:S185,S185)&gt;3,"Không chấm công do vi phạm quá 3 lần",IF(COUNTIFS($AC$3:AC185,"Quên chấm công",$S$3:S185,S185)&gt;2,"Trừ toàn bộ chuyên cần tháng do vi phạm lần 3",IF(COUNTIFS($AC$3:AC185,"Quên chấm công",$S$3:S185,S185)&gt;1,"Trừ 1/2 ngày lương",50000))))</f>
        <v/>
      </c>
      <c r="AH185" s="12" t="str">
        <f>IF(AF185=0,"",IF(COUNTIFS($AF$3:AF185,"&gt;0",$S$3:S185,S185)&gt;3,"Trừ toàn bộ chuyên cần tháng",""))</f>
        <v/>
      </c>
      <c r="AI185" s="12"/>
    </row>
    <row r="186" spans="1:35" x14ac:dyDescent="0.25">
      <c r="A186" s="4" t="s">
        <v>256</v>
      </c>
      <c r="B186" s="1" t="s">
        <v>257</v>
      </c>
      <c r="C186" s="1" t="s">
        <v>20</v>
      </c>
      <c r="D186" s="1" t="s">
        <v>35</v>
      </c>
      <c r="E186" s="1" t="s">
        <v>22</v>
      </c>
      <c r="F186" s="1" t="s">
        <v>23</v>
      </c>
      <c r="G186" s="1" t="s">
        <v>29</v>
      </c>
      <c r="H186" s="1" t="s">
        <v>262</v>
      </c>
      <c r="I186" s="1" t="s">
        <v>263</v>
      </c>
      <c r="J186" s="1" t="s">
        <v>25</v>
      </c>
      <c r="K186" s="1" t="s">
        <v>264</v>
      </c>
      <c r="L186" s="1" t="s">
        <v>25</v>
      </c>
      <c r="M186" s="1" t="s">
        <v>26</v>
      </c>
      <c r="N186" s="1" t="s">
        <v>25</v>
      </c>
      <c r="O186" s="1" t="s">
        <v>265</v>
      </c>
      <c r="P186" s="1" t="s">
        <v>25</v>
      </c>
      <c r="Q186" s="1" t="s">
        <v>25</v>
      </c>
      <c r="R186" s="85" t="str">
        <f t="shared" si="8"/>
        <v>245904</v>
      </c>
      <c r="S186" t="str">
        <f>VLOOKUP(A186,Data_NV!$A:$C,3,0)</f>
        <v xml:space="preserve">Trần Kỳ Tâm    </v>
      </c>
      <c r="T186" t="str">
        <f>VLOOKUP(A186,Data_NV!$A:$E,4,0)</f>
        <v>Vận Hành</v>
      </c>
      <c r="U186" s="82">
        <f>DATEVALUE(Table2[[#This Row],[Ngày]])</f>
        <v>45904</v>
      </c>
      <c r="V186" t="str">
        <f>VLOOKUP(A186,Data_NV!$A:$E,5,0)</f>
        <v>Đang làm việc</v>
      </c>
      <c r="W186" s="10">
        <f>VLOOKUP(A186,Data_NV!$A:$I,8,0)</f>
        <v>0.33333333333333331</v>
      </c>
      <c r="X186" s="10">
        <f>VLOOKUP(A186,Data_NV!$A:$I,9,0)</f>
        <v>0.70833333333333337</v>
      </c>
      <c r="Y186" s="10">
        <f>IFERROR(TIMEVALUE(Table2[[#This Row],[Vào]]),0)</f>
        <v>0.32763888888888887</v>
      </c>
      <c r="Z186" s="10">
        <f>IFERROR(TIMEVALUE(Table2[[#This Row],[Ra]]),0)</f>
        <v>0.73490740740740745</v>
      </c>
      <c r="AA186" t="str">
        <f t="shared" si="9"/>
        <v>x</v>
      </c>
      <c r="AB186" s="105">
        <f t="shared" si="10"/>
        <v>0</v>
      </c>
      <c r="AC186" s="12" t="str">
        <f>IF(VLOOKUP(A186,Data_NV!$A:$I,7,0)="Không","",IF(OR(AND(Y186=0,Z186=0),AND(Y186&lt;&gt;0,Z186&lt;&gt;0)),"","Quên chấm công"))</f>
        <v/>
      </c>
      <c r="AD186" s="12">
        <f>IF(VLOOKUP(A186,Data_NV!$A:$I,7,0)="Không",0,IF(AND(Y186=0,Z186=0),0,IF(X186&lt;=Z186,0,ROUNDDOWN((X186-Z186)*24*60,0))))</f>
        <v>0</v>
      </c>
      <c r="AE186" s="12">
        <f>IF(VLOOKUP(A186,Data_NV!$A:$I,6,0)="Không",0,IF(Z186&lt;=X186,0,ROUNDDOWN((Z186-X186)*24*60,0)))</f>
        <v>38</v>
      </c>
      <c r="AF186" s="26">
        <f t="shared" si="11"/>
        <v>0</v>
      </c>
      <c r="AG186" s="27" t="str">
        <f>IF(AC186="","",IF(COUNTIFS($AC$3:AC186,"Quên chấm công",$S$3:S186,S186)&gt;3,"Không chấm công do vi phạm quá 3 lần",IF(COUNTIFS($AC$3:AC186,"Quên chấm công",$S$3:S186,S186)&gt;2,"Trừ toàn bộ chuyên cần tháng do vi phạm lần 3",IF(COUNTIFS($AC$3:AC186,"Quên chấm công",$S$3:S186,S186)&gt;1,"Trừ 1/2 ngày lương",50000))))</f>
        <v/>
      </c>
      <c r="AH186" s="12" t="str">
        <f>IF(AF186=0,"",IF(COUNTIFS($AF$3:AF186,"&gt;0",$S$3:S186,S186)&gt;3,"Trừ toàn bộ chuyên cần tháng",""))</f>
        <v/>
      </c>
      <c r="AI186" s="12"/>
    </row>
    <row r="187" spans="1:35" x14ac:dyDescent="0.25">
      <c r="A187" s="4" t="s">
        <v>256</v>
      </c>
      <c r="B187" s="1" t="s">
        <v>257</v>
      </c>
      <c r="C187" s="1" t="s">
        <v>20</v>
      </c>
      <c r="D187" s="1" t="s">
        <v>37</v>
      </c>
      <c r="E187" s="1" t="s">
        <v>22</v>
      </c>
      <c r="F187" s="1" t="s">
        <v>23</v>
      </c>
      <c r="G187" s="1" t="s">
        <v>29</v>
      </c>
      <c r="H187" s="1" t="s">
        <v>266</v>
      </c>
      <c r="I187" s="1" t="s">
        <v>267</v>
      </c>
      <c r="J187" s="1" t="s">
        <v>25</v>
      </c>
      <c r="K187" s="1" t="s">
        <v>268</v>
      </c>
      <c r="L187" s="1" t="s">
        <v>25</v>
      </c>
      <c r="M187" s="1" t="s">
        <v>26</v>
      </c>
      <c r="N187" s="1" t="s">
        <v>25</v>
      </c>
      <c r="O187" s="1" t="s">
        <v>241</v>
      </c>
      <c r="P187" s="1" t="s">
        <v>25</v>
      </c>
      <c r="Q187" s="1" t="s">
        <v>25</v>
      </c>
      <c r="R187" s="85" t="str">
        <f t="shared" si="8"/>
        <v>245905</v>
      </c>
      <c r="S187" t="str">
        <f>VLOOKUP(A187,Data_NV!$A:$C,3,0)</f>
        <v xml:space="preserve">Trần Kỳ Tâm    </v>
      </c>
      <c r="T187" t="str">
        <f>VLOOKUP(A187,Data_NV!$A:$E,4,0)</f>
        <v>Vận Hành</v>
      </c>
      <c r="U187" s="82">
        <f>DATEVALUE(Table2[[#This Row],[Ngày]])</f>
        <v>45905</v>
      </c>
      <c r="V187" t="str">
        <f>VLOOKUP(A187,Data_NV!$A:$E,5,0)</f>
        <v>Đang làm việc</v>
      </c>
      <c r="W187" s="10">
        <f>VLOOKUP(A187,Data_NV!$A:$I,8,0)</f>
        <v>0.33333333333333331</v>
      </c>
      <c r="X187" s="10">
        <f>VLOOKUP(A187,Data_NV!$A:$I,9,0)</f>
        <v>0.70833333333333337</v>
      </c>
      <c r="Y187" s="10">
        <f>IFERROR(TIMEVALUE(Table2[[#This Row],[Vào]]),0)</f>
        <v>0.32844907407407409</v>
      </c>
      <c r="Z187" s="10">
        <f>IFERROR(TIMEVALUE(Table2[[#This Row],[Ra]]),0)</f>
        <v>0.71596064814814819</v>
      </c>
      <c r="AA187" t="str">
        <f t="shared" si="9"/>
        <v>x</v>
      </c>
      <c r="AB187" s="105">
        <f t="shared" si="10"/>
        <v>0</v>
      </c>
      <c r="AC187" s="12" t="str">
        <f>IF(VLOOKUP(A187,Data_NV!$A:$I,7,0)="Không","",IF(OR(AND(Y187=0,Z187=0),AND(Y187&lt;&gt;0,Z187&lt;&gt;0)),"","Quên chấm công"))</f>
        <v/>
      </c>
      <c r="AD187" s="12">
        <f>IF(VLOOKUP(A187,Data_NV!$A:$I,7,0)="Không",0,IF(AND(Y187=0,Z187=0),0,IF(X187&lt;=Z187,0,ROUNDDOWN((X187-Z187)*24*60,0))))</f>
        <v>0</v>
      </c>
      <c r="AE187" s="12">
        <f>IF(VLOOKUP(A187,Data_NV!$A:$I,6,0)="Không",0,IF(Z187&lt;=X187,0,ROUNDDOWN((Z187-X187)*24*60,0)))</f>
        <v>10</v>
      </c>
      <c r="AF187" s="26">
        <f t="shared" si="11"/>
        <v>0</v>
      </c>
      <c r="AG187" s="27" t="str">
        <f>IF(AC187="","",IF(COUNTIFS($AC$3:AC187,"Quên chấm công",$S$3:S187,S187)&gt;3,"Không chấm công do vi phạm quá 3 lần",IF(COUNTIFS($AC$3:AC187,"Quên chấm công",$S$3:S187,S187)&gt;2,"Trừ toàn bộ chuyên cần tháng do vi phạm lần 3",IF(COUNTIFS($AC$3:AC187,"Quên chấm công",$S$3:S187,S187)&gt;1,"Trừ 1/2 ngày lương",50000))))</f>
        <v/>
      </c>
      <c r="AH187" s="12" t="str">
        <f>IF(AF187=0,"",IF(COUNTIFS($AF$3:AF187,"&gt;0",$S$3:S187,S187)&gt;3,"Trừ toàn bộ chuyên cần tháng",""))</f>
        <v/>
      </c>
      <c r="AI187" s="12"/>
    </row>
    <row r="188" spans="1:35" x14ac:dyDescent="0.25">
      <c r="A188" s="4" t="s">
        <v>256</v>
      </c>
      <c r="B188" s="1" t="s">
        <v>257</v>
      </c>
      <c r="C188" s="1" t="s">
        <v>20</v>
      </c>
      <c r="D188" s="1" t="s">
        <v>42</v>
      </c>
      <c r="E188" s="1" t="s">
        <v>22</v>
      </c>
      <c r="F188" s="1" t="s">
        <v>23</v>
      </c>
      <c r="G188" s="1" t="s">
        <v>29</v>
      </c>
      <c r="H188" s="1" t="s">
        <v>269</v>
      </c>
      <c r="I188" s="1" t="s">
        <v>270</v>
      </c>
      <c r="J188" s="1" t="s">
        <v>25</v>
      </c>
      <c r="K188" s="1" t="s">
        <v>271</v>
      </c>
      <c r="L188" s="1" t="s">
        <v>25</v>
      </c>
      <c r="M188" s="1" t="s">
        <v>26</v>
      </c>
      <c r="N188" s="1" t="s">
        <v>25</v>
      </c>
      <c r="O188" s="1" t="s">
        <v>272</v>
      </c>
      <c r="P188" s="1" t="s">
        <v>25</v>
      </c>
      <c r="Q188" s="1" t="s">
        <v>25</v>
      </c>
      <c r="R188" s="85" t="str">
        <f t="shared" si="8"/>
        <v>245906</v>
      </c>
      <c r="S188" t="str">
        <f>VLOOKUP(A188,Data_NV!$A:$C,3,0)</f>
        <v xml:space="preserve">Trần Kỳ Tâm    </v>
      </c>
      <c r="T188" t="str">
        <f>VLOOKUP(A188,Data_NV!$A:$E,4,0)</f>
        <v>Vận Hành</v>
      </c>
      <c r="U188" s="82">
        <f>DATEVALUE(Table2[[#This Row],[Ngày]])</f>
        <v>45906</v>
      </c>
      <c r="V188" t="str">
        <f>VLOOKUP(A188,Data_NV!$A:$E,5,0)</f>
        <v>Đang làm việc</v>
      </c>
      <c r="W188" s="10">
        <f>VLOOKUP(A188,Data_NV!$A:$I,8,0)</f>
        <v>0.33333333333333331</v>
      </c>
      <c r="X188" s="10">
        <f>VLOOKUP(A188,Data_NV!$A:$I,9,0)</f>
        <v>0.70833333333333337</v>
      </c>
      <c r="Y188" s="10">
        <f>IFERROR(TIMEVALUE(Table2[[#This Row],[Vào]]),0)</f>
        <v>0.32902777777777775</v>
      </c>
      <c r="Z188" s="10">
        <f>IFERROR(TIMEVALUE(Table2[[#This Row],[Ra]]),0)</f>
        <v>0.78224537037037034</v>
      </c>
      <c r="AA188" t="str">
        <f t="shared" si="9"/>
        <v>x</v>
      </c>
      <c r="AB188" s="105">
        <f t="shared" si="10"/>
        <v>0</v>
      </c>
      <c r="AC188" s="12" t="str">
        <f>IF(VLOOKUP(A188,Data_NV!$A:$I,7,0)="Không","",IF(OR(AND(Y188=0,Z188=0),AND(Y188&lt;&gt;0,Z188&lt;&gt;0)),"","Quên chấm công"))</f>
        <v/>
      </c>
      <c r="AD188" s="12">
        <f>IF(VLOOKUP(A188,Data_NV!$A:$I,7,0)="Không",0,IF(AND(Y188=0,Z188=0),0,IF(X188&lt;=Z188,0,ROUNDDOWN((X188-Z188)*24*60,0))))</f>
        <v>0</v>
      </c>
      <c r="AE188" s="12">
        <f>IF(VLOOKUP(A188,Data_NV!$A:$I,6,0)="Không",0,IF(Z188&lt;=X188,0,ROUNDDOWN((Z188-X188)*24*60,0)))</f>
        <v>106</v>
      </c>
      <c r="AF188" s="26">
        <f t="shared" si="11"/>
        <v>0</v>
      </c>
      <c r="AG188" s="27" t="str">
        <f>IF(AC188="","",IF(COUNTIFS($AC$3:AC188,"Quên chấm công",$S$3:S188,S188)&gt;3,"Không chấm công do vi phạm quá 3 lần",IF(COUNTIFS($AC$3:AC188,"Quên chấm công",$S$3:S188,S188)&gt;2,"Trừ toàn bộ chuyên cần tháng do vi phạm lần 3",IF(COUNTIFS($AC$3:AC188,"Quên chấm công",$S$3:S188,S188)&gt;1,"Trừ 1/2 ngày lương",50000))))</f>
        <v/>
      </c>
      <c r="AH188" s="12" t="str">
        <f>IF(AF188=0,"",IF(COUNTIFS($AF$3:AF188,"&gt;0",$S$3:S188,S188)&gt;3,"Trừ toàn bộ chuyên cần tháng",""))</f>
        <v/>
      </c>
      <c r="AI188" s="12"/>
    </row>
    <row r="189" spans="1:35" x14ac:dyDescent="0.25">
      <c r="A189" s="4" t="s">
        <v>256</v>
      </c>
      <c r="B189" s="1" t="s">
        <v>257</v>
      </c>
      <c r="C189" s="1" t="s">
        <v>20</v>
      </c>
      <c r="D189" s="1" t="s">
        <v>47</v>
      </c>
      <c r="E189" s="1" t="s">
        <v>22</v>
      </c>
      <c r="F189" s="1" t="s">
        <v>23</v>
      </c>
      <c r="G189" s="1" t="s">
        <v>12</v>
      </c>
      <c r="H189" s="1" t="s">
        <v>24</v>
      </c>
      <c r="I189" s="1" t="s">
        <v>24</v>
      </c>
      <c r="J189" s="1" t="s">
        <v>25</v>
      </c>
      <c r="K189" s="1" t="s">
        <v>25</v>
      </c>
      <c r="L189" s="1" t="s">
        <v>26</v>
      </c>
      <c r="M189" s="1" t="s">
        <v>25</v>
      </c>
      <c r="N189" s="1" t="s">
        <v>25</v>
      </c>
      <c r="O189" s="1" t="s">
        <v>25</v>
      </c>
      <c r="P189" s="1" t="s">
        <v>25</v>
      </c>
      <c r="Q189" s="1" t="s">
        <v>25</v>
      </c>
      <c r="R189" s="85" t="str">
        <f t="shared" si="8"/>
        <v>245907</v>
      </c>
      <c r="S189" t="str">
        <f>VLOOKUP(A189,Data_NV!$A:$C,3,0)</f>
        <v xml:space="preserve">Trần Kỳ Tâm    </v>
      </c>
      <c r="T189" t="str">
        <f>VLOOKUP(A189,Data_NV!$A:$E,4,0)</f>
        <v>Vận Hành</v>
      </c>
      <c r="U189" s="82">
        <f>DATEVALUE(Table2[[#This Row],[Ngày]])</f>
        <v>45907</v>
      </c>
      <c r="V189" t="str">
        <f>VLOOKUP(A189,Data_NV!$A:$E,5,0)</f>
        <v>Đang làm việc</v>
      </c>
      <c r="W189" s="10">
        <f>VLOOKUP(A189,Data_NV!$A:$I,8,0)</f>
        <v>0.33333333333333331</v>
      </c>
      <c r="X189" s="10">
        <f>VLOOKUP(A189,Data_NV!$A:$I,9,0)</f>
        <v>0.70833333333333337</v>
      </c>
      <c r="Y189" s="10">
        <f>IFERROR(TIMEVALUE(Table2[[#This Row],[Vào]]),0)</f>
        <v>0</v>
      </c>
      <c r="Z189" s="10">
        <f>IFERROR(TIMEVALUE(Table2[[#This Row],[Ra]]),0)</f>
        <v>0</v>
      </c>
      <c r="AA189" t="str">
        <f t="shared" si="9"/>
        <v>Chủ nhật</v>
      </c>
      <c r="AB189" s="105">
        <f t="shared" si="10"/>
        <v>0</v>
      </c>
      <c r="AC189" s="12" t="str">
        <f>IF(VLOOKUP(A189,Data_NV!$A:$I,7,0)="Không","",IF(OR(AND(Y189=0,Z189=0),AND(Y189&lt;&gt;0,Z189&lt;&gt;0)),"","Quên chấm công"))</f>
        <v/>
      </c>
      <c r="AD189" s="12">
        <f>IF(VLOOKUP(A189,Data_NV!$A:$I,7,0)="Không",0,IF(AND(Y189=0,Z189=0),0,IF(X189&lt;=Z189,0,ROUNDDOWN((X189-Z189)*24*60,0))))</f>
        <v>0</v>
      </c>
      <c r="AE189" s="12">
        <f>IF(VLOOKUP(A189,Data_NV!$A:$I,6,0)="Không",0,IF(Z189&lt;=X189,0,ROUNDDOWN((Z189-X189)*24*60,0)))</f>
        <v>0</v>
      </c>
      <c r="AF189" s="26">
        <f t="shared" si="11"/>
        <v>0</v>
      </c>
      <c r="AG189" s="27" t="str">
        <f>IF(AC189="","",IF(COUNTIFS($AC$3:AC189,"Quên chấm công",$S$3:S189,S189)&gt;3,"Không chấm công do vi phạm quá 3 lần",IF(COUNTIFS($AC$3:AC189,"Quên chấm công",$S$3:S189,S189)&gt;2,"Trừ toàn bộ chuyên cần tháng do vi phạm lần 3",IF(COUNTIFS($AC$3:AC189,"Quên chấm công",$S$3:S189,S189)&gt;1,"Trừ 1/2 ngày lương",50000))))</f>
        <v/>
      </c>
      <c r="AH189" s="12" t="str">
        <f>IF(AF189=0,"",IF(COUNTIFS($AF$3:AF189,"&gt;0",$S$3:S189,S189)&gt;3,"Trừ toàn bộ chuyên cần tháng",""))</f>
        <v/>
      </c>
      <c r="AI189" s="12"/>
    </row>
    <row r="190" spans="1:35" x14ac:dyDescent="0.25">
      <c r="A190" s="4" t="s">
        <v>256</v>
      </c>
      <c r="B190" s="1" t="s">
        <v>257</v>
      </c>
      <c r="C190" s="1" t="s">
        <v>20</v>
      </c>
      <c r="D190" s="1" t="s">
        <v>48</v>
      </c>
      <c r="E190" s="1" t="s">
        <v>22</v>
      </c>
      <c r="F190" s="1" t="s">
        <v>23</v>
      </c>
      <c r="G190" s="1" t="s">
        <v>29</v>
      </c>
      <c r="H190" s="1" t="s">
        <v>273</v>
      </c>
      <c r="I190" s="1" t="s">
        <v>274</v>
      </c>
      <c r="J190" s="1" t="s">
        <v>25</v>
      </c>
      <c r="K190" s="1" t="s">
        <v>275</v>
      </c>
      <c r="L190" s="1" t="s">
        <v>25</v>
      </c>
      <c r="M190" s="1" t="s">
        <v>26</v>
      </c>
      <c r="N190" s="1" t="s">
        <v>25</v>
      </c>
      <c r="O190" s="1" t="s">
        <v>276</v>
      </c>
      <c r="P190" s="1" t="s">
        <v>25</v>
      </c>
      <c r="Q190" s="1" t="s">
        <v>25</v>
      </c>
      <c r="R190" s="85" t="str">
        <f t="shared" si="8"/>
        <v>245908</v>
      </c>
      <c r="S190" t="str">
        <f>VLOOKUP(A190,Data_NV!$A:$C,3,0)</f>
        <v xml:space="preserve">Trần Kỳ Tâm    </v>
      </c>
      <c r="T190" t="str">
        <f>VLOOKUP(A190,Data_NV!$A:$E,4,0)</f>
        <v>Vận Hành</v>
      </c>
      <c r="U190" s="82">
        <f>DATEVALUE(Table2[[#This Row],[Ngày]])</f>
        <v>45908</v>
      </c>
      <c r="V190" t="str">
        <f>VLOOKUP(A190,Data_NV!$A:$E,5,0)</f>
        <v>Đang làm việc</v>
      </c>
      <c r="W190" s="10">
        <f>VLOOKUP(A190,Data_NV!$A:$I,8,0)</f>
        <v>0.33333333333333331</v>
      </c>
      <c r="X190" s="10">
        <f>VLOOKUP(A190,Data_NV!$A:$I,9,0)</f>
        <v>0.70833333333333337</v>
      </c>
      <c r="Y190" s="10">
        <f>IFERROR(TIMEVALUE(Table2[[#This Row],[Vào]]),0)</f>
        <v>0.32658564814814817</v>
      </c>
      <c r="Z190" s="10">
        <f>IFERROR(TIMEVALUE(Table2[[#This Row],[Ra]]),0)</f>
        <v>0.76027777777777783</v>
      </c>
      <c r="AA190" t="str">
        <f t="shared" si="9"/>
        <v>x</v>
      </c>
      <c r="AB190" s="105">
        <f t="shared" si="10"/>
        <v>0</v>
      </c>
      <c r="AC190" s="12" t="str">
        <f>IF(VLOOKUP(A190,Data_NV!$A:$I,7,0)="Không","",IF(OR(AND(Y190=0,Z190=0),AND(Y190&lt;&gt;0,Z190&lt;&gt;0)),"","Quên chấm công"))</f>
        <v/>
      </c>
      <c r="AD190" s="12">
        <f>IF(VLOOKUP(A190,Data_NV!$A:$I,7,0)="Không",0,IF(AND(Y190=0,Z190=0),0,IF(X190&lt;=Z190,0,ROUNDDOWN((X190-Z190)*24*60,0))))</f>
        <v>0</v>
      </c>
      <c r="AE190" s="12">
        <f>IF(VLOOKUP(A190,Data_NV!$A:$I,6,0)="Không",0,IF(Z190&lt;=X190,0,ROUNDDOWN((Z190-X190)*24*60,0)))</f>
        <v>74</v>
      </c>
      <c r="AF190" s="26">
        <f t="shared" si="11"/>
        <v>0</v>
      </c>
      <c r="AG190" s="27" t="str">
        <f>IF(AC190="","",IF(COUNTIFS($AC$3:AC190,"Quên chấm công",$S$3:S190,S190)&gt;3,"Không chấm công do vi phạm quá 3 lần",IF(COUNTIFS($AC$3:AC190,"Quên chấm công",$S$3:S190,S190)&gt;2,"Trừ toàn bộ chuyên cần tháng do vi phạm lần 3",IF(COUNTIFS($AC$3:AC190,"Quên chấm công",$S$3:S190,S190)&gt;1,"Trừ 1/2 ngày lương",50000))))</f>
        <v/>
      </c>
      <c r="AH190" s="12" t="str">
        <f>IF(AF190=0,"",IF(COUNTIFS($AF$3:AF190,"&gt;0",$S$3:S190,S190)&gt;3,"Trừ toàn bộ chuyên cần tháng",""))</f>
        <v/>
      </c>
      <c r="AI190" s="12"/>
    </row>
    <row r="191" spans="1:35" x14ac:dyDescent="0.25">
      <c r="A191" s="4" t="s">
        <v>256</v>
      </c>
      <c r="B191" s="1" t="s">
        <v>257</v>
      </c>
      <c r="C191" s="1" t="s">
        <v>20</v>
      </c>
      <c r="D191" s="1" t="s">
        <v>53</v>
      </c>
      <c r="E191" s="1" t="s">
        <v>22</v>
      </c>
      <c r="F191" s="1" t="s">
        <v>23</v>
      </c>
      <c r="G191" s="1" t="s">
        <v>277</v>
      </c>
      <c r="H191" s="1" t="s">
        <v>278</v>
      </c>
      <c r="I191" s="1" t="s">
        <v>279</v>
      </c>
      <c r="J191" s="1" t="s">
        <v>25</v>
      </c>
      <c r="K191" s="1" t="s">
        <v>280</v>
      </c>
      <c r="L191" s="1" t="s">
        <v>281</v>
      </c>
      <c r="M191" s="1" t="s">
        <v>280</v>
      </c>
      <c r="N191" s="1" t="s">
        <v>25</v>
      </c>
      <c r="O191" s="1" t="s">
        <v>25</v>
      </c>
      <c r="P191" s="1" t="s">
        <v>25</v>
      </c>
      <c r="Q191" s="1" t="s">
        <v>25</v>
      </c>
      <c r="R191" s="85" t="str">
        <f t="shared" si="8"/>
        <v>245909</v>
      </c>
      <c r="S191" t="str">
        <f>VLOOKUP(A191,Data_NV!$A:$C,3,0)</f>
        <v xml:space="preserve">Trần Kỳ Tâm    </v>
      </c>
      <c r="T191" t="str">
        <f>VLOOKUP(A191,Data_NV!$A:$E,4,0)</f>
        <v>Vận Hành</v>
      </c>
      <c r="U191" s="82">
        <f>DATEVALUE(Table2[[#This Row],[Ngày]])</f>
        <v>45909</v>
      </c>
      <c r="V191" t="str">
        <f>VLOOKUP(A191,Data_NV!$A:$E,5,0)</f>
        <v>Đang làm việc</v>
      </c>
      <c r="W191" s="10">
        <f>VLOOKUP(A191,Data_NV!$A:$I,8,0)</f>
        <v>0.33333333333333331</v>
      </c>
      <c r="X191" s="10">
        <f>VLOOKUP(A191,Data_NV!$A:$I,9,0)</f>
        <v>0.70833333333333337</v>
      </c>
      <c r="Y191" s="10">
        <f>IFERROR(TIMEVALUE(Table2[[#This Row],[Vào]]),0)</f>
        <v>0.3296412037037037</v>
      </c>
      <c r="Z191" s="10">
        <f>IFERROR(TIMEVALUE(Table2[[#This Row],[Ra]]),0)</f>
        <v>0.69086805555555553</v>
      </c>
      <c r="AA191" t="str">
        <f t="shared" si="9"/>
        <v>x</v>
      </c>
      <c r="AB191" s="105">
        <f t="shared" si="10"/>
        <v>0</v>
      </c>
      <c r="AC191" s="12" t="str">
        <f>IF(VLOOKUP(A191,Data_NV!$A:$I,7,0)="Không","",IF(OR(AND(Y191=0,Z191=0),AND(Y191&lt;&gt;0,Z191&lt;&gt;0)),"","Quên chấm công"))</f>
        <v/>
      </c>
      <c r="AD191" s="12">
        <f>IF(VLOOKUP(A191,Data_NV!$A:$I,7,0)="Không",0,IF(AND(Y191=0,Z191=0),0,IF(X191&lt;=Z191,0,ROUNDDOWN((X191-Z191)*24*60,0))))</f>
        <v>25</v>
      </c>
      <c r="AE191" s="12">
        <f>IF(VLOOKUP(A191,Data_NV!$A:$I,6,0)="Không",0,IF(Z191&lt;=X191,0,ROUNDDOWN((Z191-X191)*24*60,0)))</f>
        <v>0</v>
      </c>
      <c r="AF191" s="26">
        <f t="shared" si="11"/>
        <v>0</v>
      </c>
      <c r="AG191" s="27" t="str">
        <f>IF(AC191="","",IF(COUNTIFS($AC$3:AC191,"Quên chấm công",$S$3:S191,S191)&gt;3,"Không chấm công do vi phạm quá 3 lần",IF(COUNTIFS($AC$3:AC191,"Quên chấm công",$S$3:S191,S191)&gt;2,"Trừ toàn bộ chuyên cần tháng do vi phạm lần 3",IF(COUNTIFS($AC$3:AC191,"Quên chấm công",$S$3:S191,S191)&gt;1,"Trừ 1/2 ngày lương",50000))))</f>
        <v/>
      </c>
      <c r="AH191" s="12" t="str">
        <f>IF(AF191=0,"",IF(COUNTIFS($AF$3:AF191,"&gt;0",$S$3:S191,S191)&gt;3,"Trừ toàn bộ chuyên cần tháng",""))</f>
        <v/>
      </c>
      <c r="AI191" s="12" t="s">
        <v>1406</v>
      </c>
    </row>
    <row r="192" spans="1:35" x14ac:dyDescent="0.25">
      <c r="A192" s="4" t="s">
        <v>256</v>
      </c>
      <c r="B192" s="1" t="s">
        <v>257</v>
      </c>
      <c r="C192" s="1" t="s">
        <v>20</v>
      </c>
      <c r="D192" s="1" t="s">
        <v>58</v>
      </c>
      <c r="E192" s="1" t="s">
        <v>22</v>
      </c>
      <c r="F192" s="1" t="s">
        <v>23</v>
      </c>
      <c r="G192" s="1" t="s">
        <v>29</v>
      </c>
      <c r="H192" s="1" t="s">
        <v>282</v>
      </c>
      <c r="I192" s="1" t="s">
        <v>283</v>
      </c>
      <c r="J192" s="1" t="s">
        <v>25</v>
      </c>
      <c r="K192" s="1" t="s">
        <v>284</v>
      </c>
      <c r="L192" s="1" t="s">
        <v>25</v>
      </c>
      <c r="M192" s="1" t="s">
        <v>26</v>
      </c>
      <c r="N192" s="1" t="s">
        <v>25</v>
      </c>
      <c r="O192" s="1" t="s">
        <v>285</v>
      </c>
      <c r="P192" s="1" t="s">
        <v>25</v>
      </c>
      <c r="Q192" s="1" t="s">
        <v>25</v>
      </c>
      <c r="R192" s="85" t="str">
        <f t="shared" si="8"/>
        <v>245910</v>
      </c>
      <c r="S192" t="str">
        <f>VLOOKUP(A192,Data_NV!$A:$C,3,0)</f>
        <v xml:space="preserve">Trần Kỳ Tâm    </v>
      </c>
      <c r="T192" t="str">
        <f>VLOOKUP(A192,Data_NV!$A:$E,4,0)</f>
        <v>Vận Hành</v>
      </c>
      <c r="U192" s="82">
        <f>DATEVALUE(Table2[[#This Row],[Ngày]])</f>
        <v>45910</v>
      </c>
      <c r="V192" t="str">
        <f>VLOOKUP(A192,Data_NV!$A:$E,5,0)</f>
        <v>Đang làm việc</v>
      </c>
      <c r="W192" s="10">
        <f>VLOOKUP(A192,Data_NV!$A:$I,8,0)</f>
        <v>0.33333333333333331</v>
      </c>
      <c r="X192" s="10">
        <f>VLOOKUP(A192,Data_NV!$A:$I,9,0)</f>
        <v>0.70833333333333337</v>
      </c>
      <c r="Y192" s="10">
        <f>IFERROR(TIMEVALUE(Table2[[#This Row],[Vào]]),0)</f>
        <v>0.32103009259259258</v>
      </c>
      <c r="Z192" s="10">
        <f>IFERROR(TIMEVALUE(Table2[[#This Row],[Ra]]),0)</f>
        <v>0.75233796296296296</v>
      </c>
      <c r="AA192" t="str">
        <f t="shared" si="9"/>
        <v>x</v>
      </c>
      <c r="AB192" s="105">
        <f t="shared" si="10"/>
        <v>0</v>
      </c>
      <c r="AC192" s="12" t="str">
        <f>IF(VLOOKUP(A192,Data_NV!$A:$I,7,0)="Không","",IF(OR(AND(Y192=0,Z192=0),AND(Y192&lt;&gt;0,Z192&lt;&gt;0)),"","Quên chấm công"))</f>
        <v/>
      </c>
      <c r="AD192" s="12">
        <f>IF(VLOOKUP(A192,Data_NV!$A:$I,7,0)="Không",0,IF(AND(Y192=0,Z192=0),0,IF(X192&lt;=Z192,0,ROUNDDOWN((X192-Z192)*24*60,0))))</f>
        <v>0</v>
      </c>
      <c r="AE192" s="12">
        <f>IF(VLOOKUP(A192,Data_NV!$A:$I,6,0)="Không",0,IF(Z192&lt;=X192,0,ROUNDDOWN((Z192-X192)*24*60,0)))</f>
        <v>63</v>
      </c>
      <c r="AF192" s="26">
        <f t="shared" si="11"/>
        <v>0</v>
      </c>
      <c r="AG192" s="27" t="str">
        <f>IF(AC192="","",IF(COUNTIFS($AC$3:AC192,"Quên chấm công",$S$3:S192,S192)&gt;3,"Không chấm công do vi phạm quá 3 lần",IF(COUNTIFS($AC$3:AC192,"Quên chấm công",$S$3:S192,S192)&gt;2,"Trừ toàn bộ chuyên cần tháng do vi phạm lần 3",IF(COUNTIFS($AC$3:AC192,"Quên chấm công",$S$3:S192,S192)&gt;1,"Trừ 1/2 ngày lương",50000))))</f>
        <v/>
      </c>
      <c r="AH192" s="12" t="str">
        <f>IF(AF192=0,"",IF(COUNTIFS($AF$3:AF192,"&gt;0",$S$3:S192,S192)&gt;3,"Trừ toàn bộ chuyên cần tháng",""))</f>
        <v/>
      </c>
      <c r="AI192" s="12"/>
    </row>
    <row r="193" spans="1:35" x14ac:dyDescent="0.25">
      <c r="A193" s="4" t="s">
        <v>256</v>
      </c>
      <c r="B193" s="1" t="s">
        <v>257</v>
      </c>
      <c r="C193" s="1" t="s">
        <v>20</v>
      </c>
      <c r="D193" s="1" t="s">
        <v>63</v>
      </c>
      <c r="E193" s="1" t="s">
        <v>22</v>
      </c>
      <c r="F193" s="1" t="s">
        <v>23</v>
      </c>
      <c r="G193" s="1" t="s">
        <v>29</v>
      </c>
      <c r="H193" s="1" t="s">
        <v>286</v>
      </c>
      <c r="I193" s="1" t="s">
        <v>287</v>
      </c>
      <c r="J193" s="1" t="s">
        <v>25</v>
      </c>
      <c r="K193" s="1" t="s">
        <v>288</v>
      </c>
      <c r="L193" s="1" t="s">
        <v>25</v>
      </c>
      <c r="M193" s="1" t="s">
        <v>26</v>
      </c>
      <c r="N193" s="1" t="s">
        <v>25</v>
      </c>
      <c r="O193" s="1" t="s">
        <v>289</v>
      </c>
      <c r="P193" s="1" t="s">
        <v>25</v>
      </c>
      <c r="Q193" s="1" t="s">
        <v>25</v>
      </c>
      <c r="R193" s="85" t="str">
        <f t="shared" si="8"/>
        <v>245911</v>
      </c>
      <c r="S193" t="str">
        <f>VLOOKUP(A193,Data_NV!$A:$C,3,0)</f>
        <v xml:space="preserve">Trần Kỳ Tâm    </v>
      </c>
      <c r="T193" t="str">
        <f>VLOOKUP(A193,Data_NV!$A:$E,4,0)</f>
        <v>Vận Hành</v>
      </c>
      <c r="U193" s="82">
        <f>DATEVALUE(Table2[[#This Row],[Ngày]])</f>
        <v>45911</v>
      </c>
      <c r="V193" t="str">
        <f>VLOOKUP(A193,Data_NV!$A:$E,5,0)</f>
        <v>Đang làm việc</v>
      </c>
      <c r="W193" s="10">
        <f>VLOOKUP(A193,Data_NV!$A:$I,8,0)</f>
        <v>0.33333333333333331</v>
      </c>
      <c r="X193" s="10">
        <f>VLOOKUP(A193,Data_NV!$A:$I,9,0)</f>
        <v>0.70833333333333337</v>
      </c>
      <c r="Y193" s="10">
        <f>IFERROR(TIMEVALUE(Table2[[#This Row],[Vào]]),0)</f>
        <v>0.32793981481481482</v>
      </c>
      <c r="Z193" s="10">
        <f>IFERROR(TIMEVALUE(Table2[[#This Row],[Ra]]),0)</f>
        <v>0.74206018518518524</v>
      </c>
      <c r="AA193" t="str">
        <f t="shared" si="9"/>
        <v>x</v>
      </c>
      <c r="AB193" s="105">
        <f t="shared" si="10"/>
        <v>0</v>
      </c>
      <c r="AC193" s="12" t="str">
        <f>IF(VLOOKUP(A193,Data_NV!$A:$I,7,0)="Không","",IF(OR(AND(Y193=0,Z193=0),AND(Y193&lt;&gt;0,Z193&lt;&gt;0)),"","Quên chấm công"))</f>
        <v/>
      </c>
      <c r="AD193" s="12">
        <f>IF(VLOOKUP(A193,Data_NV!$A:$I,7,0)="Không",0,IF(AND(Y193=0,Z193=0),0,IF(X193&lt;=Z193,0,ROUNDDOWN((X193-Z193)*24*60,0))))</f>
        <v>0</v>
      </c>
      <c r="AE193" s="12">
        <f>IF(VLOOKUP(A193,Data_NV!$A:$I,6,0)="Không",0,IF(Z193&lt;=X193,0,ROUNDDOWN((Z193-X193)*24*60,0)))</f>
        <v>48</v>
      </c>
      <c r="AF193" s="26">
        <f t="shared" si="11"/>
        <v>0</v>
      </c>
      <c r="AG193" s="27" t="str">
        <f>IF(AC193="","",IF(COUNTIFS($AC$3:AC193,"Quên chấm công",$S$3:S193,S193)&gt;3,"Không chấm công do vi phạm quá 3 lần",IF(COUNTIFS($AC$3:AC193,"Quên chấm công",$S$3:S193,S193)&gt;2,"Trừ toàn bộ chuyên cần tháng do vi phạm lần 3",IF(COUNTIFS($AC$3:AC193,"Quên chấm công",$S$3:S193,S193)&gt;1,"Trừ 1/2 ngày lương",50000))))</f>
        <v/>
      </c>
      <c r="AH193" s="12" t="str">
        <f>IF(AF193=0,"",IF(COUNTIFS($AF$3:AF193,"&gt;0",$S$3:S193,S193)&gt;3,"Trừ toàn bộ chuyên cần tháng",""))</f>
        <v/>
      </c>
      <c r="AI193" s="12"/>
    </row>
    <row r="194" spans="1:35" x14ac:dyDescent="0.25">
      <c r="A194" s="4" t="s">
        <v>256</v>
      </c>
      <c r="B194" s="1" t="s">
        <v>257</v>
      </c>
      <c r="C194" s="1" t="s">
        <v>20</v>
      </c>
      <c r="D194" s="1" t="s">
        <v>67</v>
      </c>
      <c r="E194" s="1" t="s">
        <v>22</v>
      </c>
      <c r="F194" s="1" t="s">
        <v>23</v>
      </c>
      <c r="G194" s="1" t="s">
        <v>29</v>
      </c>
      <c r="H194" s="1" t="s">
        <v>290</v>
      </c>
      <c r="I194" s="1" t="s">
        <v>291</v>
      </c>
      <c r="J194" s="1" t="s">
        <v>25</v>
      </c>
      <c r="K194" s="1" t="s">
        <v>292</v>
      </c>
      <c r="L194" s="1" t="s">
        <v>25</v>
      </c>
      <c r="M194" s="1" t="s">
        <v>26</v>
      </c>
      <c r="N194" s="1" t="s">
        <v>25</v>
      </c>
      <c r="O194" s="1" t="s">
        <v>293</v>
      </c>
      <c r="P194" s="1" t="s">
        <v>25</v>
      </c>
      <c r="Q194" s="1" t="s">
        <v>25</v>
      </c>
      <c r="R194" s="85" t="str">
        <f t="shared" si="8"/>
        <v>245912</v>
      </c>
      <c r="S194" t="str">
        <f>VLOOKUP(A194,Data_NV!$A:$C,3,0)</f>
        <v xml:space="preserve">Trần Kỳ Tâm    </v>
      </c>
      <c r="T194" t="str">
        <f>VLOOKUP(A194,Data_NV!$A:$E,4,0)</f>
        <v>Vận Hành</v>
      </c>
      <c r="U194" s="82">
        <f>DATEVALUE(Table2[[#This Row],[Ngày]])</f>
        <v>45912</v>
      </c>
      <c r="V194" t="str">
        <f>VLOOKUP(A194,Data_NV!$A:$E,5,0)</f>
        <v>Đang làm việc</v>
      </c>
      <c r="W194" s="10">
        <f>VLOOKUP(A194,Data_NV!$A:$I,8,0)</f>
        <v>0.33333333333333331</v>
      </c>
      <c r="X194" s="10">
        <f>VLOOKUP(A194,Data_NV!$A:$I,9,0)</f>
        <v>0.70833333333333337</v>
      </c>
      <c r="Y194" s="10">
        <f>IFERROR(TIMEVALUE(Table2[[#This Row],[Vào]]),0)</f>
        <v>0.32928240740740738</v>
      </c>
      <c r="Z194" s="10">
        <f>IFERROR(TIMEVALUE(Table2[[#This Row],[Ra]]),0)</f>
        <v>0.79024305555555552</v>
      </c>
      <c r="AA194" t="str">
        <f t="shared" si="9"/>
        <v>x</v>
      </c>
      <c r="AB194" s="105">
        <f t="shared" si="10"/>
        <v>0</v>
      </c>
      <c r="AC194" s="12" t="str">
        <f>IF(VLOOKUP(A194,Data_NV!$A:$I,7,0)="Không","",IF(OR(AND(Y194=0,Z194=0),AND(Y194&lt;&gt;0,Z194&lt;&gt;0)),"","Quên chấm công"))</f>
        <v/>
      </c>
      <c r="AD194" s="12">
        <f>IF(VLOOKUP(A194,Data_NV!$A:$I,7,0)="Không",0,IF(AND(Y194=0,Z194=0),0,IF(X194&lt;=Z194,0,ROUNDDOWN((X194-Z194)*24*60,0))))</f>
        <v>0</v>
      </c>
      <c r="AE194" s="12">
        <f>IF(VLOOKUP(A194,Data_NV!$A:$I,6,0)="Không",0,IF(Z194&lt;=X194,0,ROUNDDOWN((Z194-X194)*24*60,0)))</f>
        <v>117</v>
      </c>
      <c r="AF194" s="26">
        <f t="shared" si="11"/>
        <v>0</v>
      </c>
      <c r="AG194" s="27" t="str">
        <f>IF(AC194="","",IF(COUNTIFS($AC$3:AC194,"Quên chấm công",$S$3:S194,S194)&gt;3,"Không chấm công do vi phạm quá 3 lần",IF(COUNTIFS($AC$3:AC194,"Quên chấm công",$S$3:S194,S194)&gt;2,"Trừ toàn bộ chuyên cần tháng do vi phạm lần 3",IF(COUNTIFS($AC$3:AC194,"Quên chấm công",$S$3:S194,S194)&gt;1,"Trừ 1/2 ngày lương",50000))))</f>
        <v/>
      </c>
      <c r="AH194" s="12" t="str">
        <f>IF(AF194=0,"",IF(COUNTIFS($AF$3:AF194,"&gt;0",$S$3:S194,S194)&gt;3,"Trừ toàn bộ chuyên cần tháng",""))</f>
        <v/>
      </c>
      <c r="AI194" s="12"/>
    </row>
    <row r="195" spans="1:35" x14ac:dyDescent="0.25">
      <c r="A195" s="4" t="s">
        <v>256</v>
      </c>
      <c r="B195" s="1" t="s">
        <v>257</v>
      </c>
      <c r="C195" s="1" t="s">
        <v>20</v>
      </c>
      <c r="D195" s="1" t="s">
        <v>69</v>
      </c>
      <c r="E195" s="1" t="s">
        <v>22</v>
      </c>
      <c r="F195" s="1" t="s">
        <v>23</v>
      </c>
      <c r="G195" s="1" t="s">
        <v>29</v>
      </c>
      <c r="H195" s="1" t="s">
        <v>294</v>
      </c>
      <c r="I195" s="1" t="s">
        <v>295</v>
      </c>
      <c r="J195" s="1" t="s">
        <v>25</v>
      </c>
      <c r="K195" s="1" t="s">
        <v>296</v>
      </c>
      <c r="L195" s="1" t="s">
        <v>25</v>
      </c>
      <c r="M195" s="1" t="s">
        <v>26</v>
      </c>
      <c r="N195" s="1" t="s">
        <v>25</v>
      </c>
      <c r="O195" s="1" t="s">
        <v>297</v>
      </c>
      <c r="P195" s="1" t="s">
        <v>25</v>
      </c>
      <c r="Q195" s="1" t="s">
        <v>25</v>
      </c>
      <c r="R195" s="85" t="str">
        <f t="shared" ref="R195:R258" si="12">A195&amp;U195</f>
        <v>245913</v>
      </c>
      <c r="S195" t="str">
        <f>VLOOKUP(A195,Data_NV!$A:$C,3,0)</f>
        <v xml:space="preserve">Trần Kỳ Tâm    </v>
      </c>
      <c r="T195" t="str">
        <f>VLOOKUP(A195,Data_NV!$A:$E,4,0)</f>
        <v>Vận Hành</v>
      </c>
      <c r="U195" s="82">
        <f>DATEVALUE(Table2[[#This Row],[Ngày]])</f>
        <v>45913</v>
      </c>
      <c r="V195" t="str">
        <f>VLOOKUP(A195,Data_NV!$A:$E,5,0)</f>
        <v>Đang làm việc</v>
      </c>
      <c r="W195" s="10">
        <f>VLOOKUP(A195,Data_NV!$A:$I,8,0)</f>
        <v>0.33333333333333331</v>
      </c>
      <c r="X195" s="10">
        <f>VLOOKUP(A195,Data_NV!$A:$I,9,0)</f>
        <v>0.70833333333333337</v>
      </c>
      <c r="Y195" s="10">
        <f>IFERROR(TIMEVALUE(Table2[[#This Row],[Vào]]),0)</f>
        <v>0.32725694444444442</v>
      </c>
      <c r="Z195" s="10">
        <f>IFERROR(TIMEVALUE(Table2[[#This Row],[Ra]]),0)</f>
        <v>0.76240740740740742</v>
      </c>
      <c r="AA195" t="str">
        <f t="shared" ref="AA195:AA258" si="13">IF(TEXT($U195,"ddd")="CN","Chủ nhật",IF(OR(AND(Y195=0,Z195=0),AG195="Không chấm công do vi phạm quá 3 lần"),"",IF(OR(AG195="Trừ 1/2 ngày lương",AF195="Trừ 1/2 ngày lương",AB195&gt;=60),"1/2","x")))</f>
        <v>x</v>
      </c>
      <c r="AB195" s="105">
        <f t="shared" ref="AB195:AB258" si="14">IF(Y195&lt;=W195,0,(Y195-W195)*24*60)</f>
        <v>0</v>
      </c>
      <c r="AC195" s="12" t="str">
        <f>IF(VLOOKUP(A195,Data_NV!$A:$I,7,0)="Không","",IF(OR(AND(Y195=0,Z195=0),AND(Y195&lt;&gt;0,Z195&lt;&gt;0)),"","Quên chấm công"))</f>
        <v/>
      </c>
      <c r="AD195" s="12">
        <f>IF(VLOOKUP(A195,Data_NV!$A:$I,7,0)="Không",0,IF(AND(Y195=0,Z195=0),0,IF(X195&lt;=Z195,0,ROUNDDOWN((X195-Z195)*24*60,0))))</f>
        <v>0</v>
      </c>
      <c r="AE195" s="12">
        <f>IF(VLOOKUP(A195,Data_NV!$A:$I,6,0)="Không",0,IF(Z195&lt;=X195,0,ROUNDDOWN((Z195-X195)*24*60,0)))</f>
        <v>77</v>
      </c>
      <c r="AF195" s="26">
        <f t="shared" ref="AF195:AF258" si="15">IF(AB195&gt;60,"Trừ 1/2 ngày lương",IF(AB195&gt;15,50000,IF(AB195&gt;6,30000,0)))</f>
        <v>0</v>
      </c>
      <c r="AG195" s="27" t="str">
        <f>IF(AC195="","",IF(COUNTIFS($AC$3:AC195,"Quên chấm công",$S$3:S195,S195)&gt;3,"Không chấm công do vi phạm quá 3 lần",IF(COUNTIFS($AC$3:AC195,"Quên chấm công",$S$3:S195,S195)&gt;2,"Trừ toàn bộ chuyên cần tháng do vi phạm lần 3",IF(COUNTIFS($AC$3:AC195,"Quên chấm công",$S$3:S195,S195)&gt;1,"Trừ 1/2 ngày lương",50000))))</f>
        <v/>
      </c>
      <c r="AH195" s="12" t="str">
        <f>IF(AF195=0,"",IF(COUNTIFS($AF$3:AF195,"&gt;0",$S$3:S195,S195)&gt;3,"Trừ toàn bộ chuyên cần tháng",""))</f>
        <v/>
      </c>
      <c r="AI195" s="12"/>
    </row>
    <row r="196" spans="1:35" x14ac:dyDescent="0.25">
      <c r="A196" s="4" t="s">
        <v>256</v>
      </c>
      <c r="B196" s="1" t="s">
        <v>257</v>
      </c>
      <c r="C196" s="1" t="s">
        <v>20</v>
      </c>
      <c r="D196" s="1" t="s">
        <v>74</v>
      </c>
      <c r="E196" s="1" t="s">
        <v>22</v>
      </c>
      <c r="F196" s="1" t="s">
        <v>23</v>
      </c>
      <c r="G196" s="1" t="s">
        <v>12</v>
      </c>
      <c r="H196" s="1" t="s">
        <v>24</v>
      </c>
      <c r="I196" s="1" t="s">
        <v>24</v>
      </c>
      <c r="J196" s="1" t="s">
        <v>25</v>
      </c>
      <c r="K196" s="1" t="s">
        <v>25</v>
      </c>
      <c r="L196" s="1" t="s">
        <v>26</v>
      </c>
      <c r="M196" s="1" t="s">
        <v>25</v>
      </c>
      <c r="N196" s="1" t="s">
        <v>25</v>
      </c>
      <c r="O196" s="1" t="s">
        <v>25</v>
      </c>
      <c r="P196" s="1" t="s">
        <v>25</v>
      </c>
      <c r="Q196" s="1" t="s">
        <v>25</v>
      </c>
      <c r="R196" s="85" t="str">
        <f t="shared" si="12"/>
        <v>245914</v>
      </c>
      <c r="S196" t="str">
        <f>VLOOKUP(A196,Data_NV!$A:$C,3,0)</f>
        <v xml:space="preserve">Trần Kỳ Tâm    </v>
      </c>
      <c r="T196" t="str">
        <f>VLOOKUP(A196,Data_NV!$A:$E,4,0)</f>
        <v>Vận Hành</v>
      </c>
      <c r="U196" s="82">
        <f>DATEVALUE(Table2[[#This Row],[Ngày]])</f>
        <v>45914</v>
      </c>
      <c r="V196" t="str">
        <f>VLOOKUP(A196,Data_NV!$A:$E,5,0)</f>
        <v>Đang làm việc</v>
      </c>
      <c r="W196" s="10">
        <f>VLOOKUP(A196,Data_NV!$A:$I,8,0)</f>
        <v>0.33333333333333331</v>
      </c>
      <c r="X196" s="10">
        <f>VLOOKUP(A196,Data_NV!$A:$I,9,0)</f>
        <v>0.70833333333333337</v>
      </c>
      <c r="Y196" s="10">
        <f>IFERROR(TIMEVALUE(Table2[[#This Row],[Vào]]),0)</f>
        <v>0</v>
      </c>
      <c r="Z196" s="10">
        <f>IFERROR(TIMEVALUE(Table2[[#This Row],[Ra]]),0)</f>
        <v>0</v>
      </c>
      <c r="AA196" t="str">
        <f t="shared" si="13"/>
        <v>Chủ nhật</v>
      </c>
      <c r="AB196" s="105">
        <f t="shared" si="14"/>
        <v>0</v>
      </c>
      <c r="AC196" s="12" t="str">
        <f>IF(VLOOKUP(A196,Data_NV!$A:$I,7,0)="Không","",IF(OR(AND(Y196=0,Z196=0),AND(Y196&lt;&gt;0,Z196&lt;&gt;0)),"","Quên chấm công"))</f>
        <v/>
      </c>
      <c r="AD196" s="12">
        <f>IF(VLOOKUP(A196,Data_NV!$A:$I,7,0)="Không",0,IF(AND(Y196=0,Z196=0),0,IF(X196&lt;=Z196,0,ROUNDDOWN((X196-Z196)*24*60,0))))</f>
        <v>0</v>
      </c>
      <c r="AE196" s="12">
        <f>IF(VLOOKUP(A196,Data_NV!$A:$I,6,0)="Không",0,IF(Z196&lt;=X196,0,ROUNDDOWN((Z196-X196)*24*60,0)))</f>
        <v>0</v>
      </c>
      <c r="AF196" s="26">
        <f t="shared" si="15"/>
        <v>0</v>
      </c>
      <c r="AG196" s="27" t="str">
        <f>IF(AC196="","",IF(COUNTIFS($AC$3:AC196,"Quên chấm công",$S$3:S196,S196)&gt;3,"Không chấm công do vi phạm quá 3 lần",IF(COUNTIFS($AC$3:AC196,"Quên chấm công",$S$3:S196,S196)&gt;2,"Trừ toàn bộ chuyên cần tháng do vi phạm lần 3",IF(COUNTIFS($AC$3:AC196,"Quên chấm công",$S$3:S196,S196)&gt;1,"Trừ 1/2 ngày lương",50000))))</f>
        <v/>
      </c>
      <c r="AH196" s="12" t="str">
        <f>IF(AF196=0,"",IF(COUNTIFS($AF$3:AF196,"&gt;0",$S$3:S196,S196)&gt;3,"Trừ toàn bộ chuyên cần tháng",""))</f>
        <v/>
      </c>
      <c r="AI196" s="12"/>
    </row>
    <row r="197" spans="1:35" x14ac:dyDescent="0.25">
      <c r="A197" s="4" t="s">
        <v>256</v>
      </c>
      <c r="B197" s="1" t="s">
        <v>257</v>
      </c>
      <c r="C197" s="1" t="s">
        <v>20</v>
      </c>
      <c r="D197" s="1" t="s">
        <v>75</v>
      </c>
      <c r="E197" s="1" t="s">
        <v>22</v>
      </c>
      <c r="F197" s="1" t="s">
        <v>23</v>
      </c>
      <c r="G197" s="1" t="s">
        <v>29</v>
      </c>
      <c r="H197" s="1" t="s">
        <v>298</v>
      </c>
      <c r="I197" s="1" t="s">
        <v>299</v>
      </c>
      <c r="J197" s="1" t="s">
        <v>25</v>
      </c>
      <c r="K197" s="1" t="s">
        <v>300</v>
      </c>
      <c r="L197" s="1" t="s">
        <v>25</v>
      </c>
      <c r="M197" s="1" t="s">
        <v>26</v>
      </c>
      <c r="N197" s="1" t="s">
        <v>25</v>
      </c>
      <c r="O197" s="1" t="s">
        <v>301</v>
      </c>
      <c r="P197" s="1" t="s">
        <v>25</v>
      </c>
      <c r="Q197" s="1" t="s">
        <v>25</v>
      </c>
      <c r="R197" s="85" t="str">
        <f t="shared" si="12"/>
        <v>245915</v>
      </c>
      <c r="S197" t="str">
        <f>VLOOKUP(A197,Data_NV!$A:$C,3,0)</f>
        <v xml:space="preserve">Trần Kỳ Tâm    </v>
      </c>
      <c r="T197" t="str">
        <f>VLOOKUP(A197,Data_NV!$A:$E,4,0)</f>
        <v>Vận Hành</v>
      </c>
      <c r="U197" s="82">
        <f>DATEVALUE(Table2[[#This Row],[Ngày]])</f>
        <v>45915</v>
      </c>
      <c r="V197" t="str">
        <f>VLOOKUP(A197,Data_NV!$A:$E,5,0)</f>
        <v>Đang làm việc</v>
      </c>
      <c r="W197" s="10">
        <f>VLOOKUP(A197,Data_NV!$A:$I,8,0)</f>
        <v>0.33333333333333331</v>
      </c>
      <c r="X197" s="10">
        <f>VLOOKUP(A197,Data_NV!$A:$I,9,0)</f>
        <v>0.70833333333333337</v>
      </c>
      <c r="Y197" s="10">
        <f>IFERROR(TIMEVALUE(Table2[[#This Row],[Vào]]),0)</f>
        <v>0.32685185185185184</v>
      </c>
      <c r="Z197" s="10">
        <f>IFERROR(TIMEVALUE(Table2[[#This Row],[Ra]]),0)</f>
        <v>0.76943287037037034</v>
      </c>
      <c r="AA197" t="str">
        <f t="shared" si="13"/>
        <v>x</v>
      </c>
      <c r="AB197" s="105">
        <f t="shared" si="14"/>
        <v>0</v>
      </c>
      <c r="AC197" s="12" t="str">
        <f>IF(VLOOKUP(A197,Data_NV!$A:$I,7,0)="Không","",IF(OR(AND(Y197=0,Z197=0),AND(Y197&lt;&gt;0,Z197&lt;&gt;0)),"","Quên chấm công"))</f>
        <v/>
      </c>
      <c r="AD197" s="12">
        <f>IF(VLOOKUP(A197,Data_NV!$A:$I,7,0)="Không",0,IF(AND(Y197=0,Z197=0),0,IF(X197&lt;=Z197,0,ROUNDDOWN((X197-Z197)*24*60,0))))</f>
        <v>0</v>
      </c>
      <c r="AE197" s="12">
        <f>IF(VLOOKUP(A197,Data_NV!$A:$I,6,0)="Không",0,IF(Z197&lt;=X197,0,ROUNDDOWN((Z197-X197)*24*60,0)))</f>
        <v>87</v>
      </c>
      <c r="AF197" s="26">
        <f t="shared" si="15"/>
        <v>0</v>
      </c>
      <c r="AG197" s="27" t="str">
        <f>IF(AC197="","",IF(COUNTIFS($AC$3:AC197,"Quên chấm công",$S$3:S197,S197)&gt;3,"Không chấm công do vi phạm quá 3 lần",IF(COUNTIFS($AC$3:AC197,"Quên chấm công",$S$3:S197,S197)&gt;2,"Trừ toàn bộ chuyên cần tháng do vi phạm lần 3",IF(COUNTIFS($AC$3:AC197,"Quên chấm công",$S$3:S197,S197)&gt;1,"Trừ 1/2 ngày lương",50000))))</f>
        <v/>
      </c>
      <c r="AH197" s="12" t="str">
        <f>IF(AF197=0,"",IF(COUNTIFS($AF$3:AF197,"&gt;0",$S$3:S197,S197)&gt;3,"Trừ toàn bộ chuyên cần tháng",""))</f>
        <v/>
      </c>
      <c r="AI197" s="12"/>
    </row>
    <row r="198" spans="1:35" ht="16.5" x14ac:dyDescent="0.3">
      <c r="A198" s="4" t="s">
        <v>256</v>
      </c>
      <c r="B198" s="1" t="s">
        <v>257</v>
      </c>
      <c r="C198" s="1" t="s">
        <v>20</v>
      </c>
      <c r="D198" s="1" t="s">
        <v>80</v>
      </c>
      <c r="E198" s="1" t="s">
        <v>22</v>
      </c>
      <c r="F198" s="1" t="s">
        <v>23</v>
      </c>
      <c r="G198" s="1" t="s">
        <v>12</v>
      </c>
      <c r="H198" s="1" t="s">
        <v>24</v>
      </c>
      <c r="I198" s="1" t="s">
        <v>24</v>
      </c>
      <c r="J198" s="1" t="s">
        <v>25</v>
      </c>
      <c r="K198" s="1" t="s">
        <v>25</v>
      </c>
      <c r="L198" s="1" t="s">
        <v>26</v>
      </c>
      <c r="M198" s="1" t="s">
        <v>25</v>
      </c>
      <c r="N198" s="1" t="s">
        <v>25</v>
      </c>
      <c r="O198" s="1" t="s">
        <v>25</v>
      </c>
      <c r="P198" s="1" t="s">
        <v>25</v>
      </c>
      <c r="Q198" s="1" t="s">
        <v>25</v>
      </c>
      <c r="R198" s="85" t="str">
        <f t="shared" si="12"/>
        <v>245916</v>
      </c>
      <c r="S198" t="str">
        <f>VLOOKUP(A198,Data_NV!$A:$C,3,0)</f>
        <v xml:space="preserve">Trần Kỳ Tâm    </v>
      </c>
      <c r="T198" t="str">
        <f>VLOOKUP(A198,Data_NV!$A:$E,4,0)</f>
        <v>Vận Hành</v>
      </c>
      <c r="U198" s="82">
        <f>DATEVALUE(Table2[[#This Row],[Ngày]])</f>
        <v>45916</v>
      </c>
      <c r="V198" t="str">
        <f>VLOOKUP(A198,Data_NV!$A:$E,5,0)</f>
        <v>Đang làm việc</v>
      </c>
      <c r="W198" s="10">
        <f>VLOOKUP(A198,Data_NV!$A:$I,8,0)</f>
        <v>0.33333333333333331</v>
      </c>
      <c r="X198" s="10">
        <f>VLOOKUP(A198,Data_NV!$A:$I,9,0)</f>
        <v>0.70833333333333337</v>
      </c>
      <c r="Y198" s="10">
        <f>IFERROR(TIMEVALUE(Table2[[#This Row],[Vào]]),0)</f>
        <v>0</v>
      </c>
      <c r="Z198" s="10">
        <f>IFERROR(TIMEVALUE(Table2[[#This Row],[Ra]]),0)</f>
        <v>0</v>
      </c>
      <c r="AA198" t="s">
        <v>1341</v>
      </c>
      <c r="AB198" s="105">
        <f t="shared" si="14"/>
        <v>0</v>
      </c>
      <c r="AC198" s="12" t="str">
        <f>IF(VLOOKUP(A198,Data_NV!$A:$I,7,0)="Không","",IF(OR(AND(Y198=0,Z198=0),AND(Y198&lt;&gt;0,Z198&lt;&gt;0)),"","Quên chấm công"))</f>
        <v/>
      </c>
      <c r="AD198" s="12">
        <f>IF(VLOOKUP(A198,Data_NV!$A:$I,7,0)="Không",0,IF(AND(Y198=0,Z198=0),0,IF(X198&lt;=Z198,0,ROUNDDOWN((X198-Z198)*24*60,0))))</f>
        <v>0</v>
      </c>
      <c r="AE198" s="12">
        <f>IF(VLOOKUP(A198,Data_NV!$A:$I,6,0)="Không",0,IF(Z198&lt;=X198,0,ROUNDDOWN((Z198-X198)*24*60,0)))</f>
        <v>0</v>
      </c>
      <c r="AF198" s="26">
        <f t="shared" si="15"/>
        <v>0</v>
      </c>
      <c r="AG198" s="27" t="str">
        <f>IF(AC198="","",IF(COUNTIFS($AC$3:AC198,"Quên chấm công",$S$3:S198,S198)&gt;3,"Không chấm công do vi phạm quá 3 lần",IF(COUNTIFS($AC$3:AC198,"Quên chấm công",$S$3:S198,S198)&gt;2,"Trừ toàn bộ chuyên cần tháng do vi phạm lần 3",IF(COUNTIFS($AC$3:AC198,"Quên chấm công",$S$3:S198,S198)&gt;1,"Trừ 1/2 ngày lương",50000))))</f>
        <v/>
      </c>
      <c r="AH198" s="12" t="str">
        <f>IF(AF198=0,"",IF(COUNTIFS($AF$3:AF198,"&gt;0",$S$3:S198,S198)&gt;3,"Trừ toàn bộ chuyên cần tháng",""))</f>
        <v/>
      </c>
      <c r="AI198" s="101" t="s">
        <v>1405</v>
      </c>
    </row>
    <row r="199" spans="1:35" ht="16.5" x14ac:dyDescent="0.3">
      <c r="A199" s="4" t="s">
        <v>256</v>
      </c>
      <c r="B199" s="1" t="s">
        <v>257</v>
      </c>
      <c r="C199" s="1" t="s">
        <v>20</v>
      </c>
      <c r="D199" s="1" t="s">
        <v>85</v>
      </c>
      <c r="E199" s="1" t="s">
        <v>22</v>
      </c>
      <c r="F199" s="1" t="s">
        <v>23</v>
      </c>
      <c r="G199" s="1" t="s">
        <v>12</v>
      </c>
      <c r="H199" s="1" t="s">
        <v>24</v>
      </c>
      <c r="I199" s="1" t="s">
        <v>24</v>
      </c>
      <c r="J199" s="1" t="s">
        <v>25</v>
      </c>
      <c r="K199" s="1" t="s">
        <v>25</v>
      </c>
      <c r="L199" s="1" t="s">
        <v>26</v>
      </c>
      <c r="M199" s="1" t="s">
        <v>25</v>
      </c>
      <c r="N199" s="1" t="s">
        <v>25</v>
      </c>
      <c r="O199" s="1" t="s">
        <v>25</v>
      </c>
      <c r="P199" s="1" t="s">
        <v>25</v>
      </c>
      <c r="Q199" s="1" t="s">
        <v>25</v>
      </c>
      <c r="R199" s="85" t="str">
        <f t="shared" si="12"/>
        <v>245917</v>
      </c>
      <c r="S199" t="str">
        <f>VLOOKUP(A199,Data_NV!$A:$C,3,0)</f>
        <v xml:space="preserve">Trần Kỳ Tâm    </v>
      </c>
      <c r="T199" t="str">
        <f>VLOOKUP(A199,Data_NV!$A:$E,4,0)</f>
        <v>Vận Hành</v>
      </c>
      <c r="U199" s="82">
        <f>DATEVALUE(Table2[[#This Row],[Ngày]])</f>
        <v>45917</v>
      </c>
      <c r="V199" t="str">
        <f>VLOOKUP(A199,Data_NV!$A:$E,5,0)</f>
        <v>Đang làm việc</v>
      </c>
      <c r="W199" s="10">
        <f>VLOOKUP(A199,Data_NV!$A:$I,8,0)</f>
        <v>0.33333333333333331</v>
      </c>
      <c r="X199" s="10">
        <f>VLOOKUP(A199,Data_NV!$A:$I,9,0)</f>
        <v>0.70833333333333337</v>
      </c>
      <c r="Y199" s="10">
        <f>IFERROR(TIMEVALUE(Table2[[#This Row],[Vào]]),0)</f>
        <v>0</v>
      </c>
      <c r="Z199" s="10">
        <f>IFERROR(TIMEVALUE(Table2[[#This Row],[Ra]]),0)</f>
        <v>0</v>
      </c>
      <c r="AA199" t="s">
        <v>1341</v>
      </c>
      <c r="AB199" s="105">
        <f t="shared" si="14"/>
        <v>0</v>
      </c>
      <c r="AC199" s="12" t="str">
        <f>IF(VLOOKUP(A199,Data_NV!$A:$I,7,0)="Không","",IF(OR(AND(Y199=0,Z199=0),AND(Y199&lt;&gt;0,Z199&lt;&gt;0)),"","Quên chấm công"))</f>
        <v/>
      </c>
      <c r="AD199" s="12">
        <f>IF(VLOOKUP(A199,Data_NV!$A:$I,7,0)="Không",0,IF(AND(Y199=0,Z199=0),0,IF(X199&lt;=Z199,0,ROUNDDOWN((X199-Z199)*24*60,0))))</f>
        <v>0</v>
      </c>
      <c r="AE199" s="12">
        <f>IF(VLOOKUP(A199,Data_NV!$A:$I,6,0)="Không",0,IF(Z199&lt;=X199,0,ROUNDDOWN((Z199-X199)*24*60,0)))</f>
        <v>0</v>
      </c>
      <c r="AF199" s="26">
        <f t="shared" si="15"/>
        <v>0</v>
      </c>
      <c r="AG199" s="27" t="str">
        <f>IF(AC199="","",IF(COUNTIFS($AC$3:AC199,"Quên chấm công",$S$3:S199,S199)&gt;3,"Không chấm công do vi phạm quá 3 lần",IF(COUNTIFS($AC$3:AC199,"Quên chấm công",$S$3:S199,S199)&gt;2,"Trừ toàn bộ chuyên cần tháng do vi phạm lần 3",IF(COUNTIFS($AC$3:AC199,"Quên chấm công",$S$3:S199,S199)&gt;1,"Trừ 1/2 ngày lương",50000))))</f>
        <v/>
      </c>
      <c r="AH199" s="12" t="str">
        <f>IF(AF199=0,"",IF(COUNTIFS($AF$3:AF199,"&gt;0",$S$3:S199,S199)&gt;3,"Trừ toàn bộ chuyên cần tháng",""))</f>
        <v/>
      </c>
      <c r="AI199" s="101" t="s">
        <v>1405</v>
      </c>
    </row>
    <row r="200" spans="1:35" ht="16.5" x14ac:dyDescent="0.3">
      <c r="A200" s="4" t="s">
        <v>256</v>
      </c>
      <c r="B200" s="1" t="s">
        <v>257</v>
      </c>
      <c r="C200" s="1" t="s">
        <v>20</v>
      </c>
      <c r="D200" s="1" t="s">
        <v>90</v>
      </c>
      <c r="E200" s="1" t="s">
        <v>22</v>
      </c>
      <c r="F200" s="1" t="s">
        <v>23</v>
      </c>
      <c r="G200" s="1" t="s">
        <v>12</v>
      </c>
      <c r="H200" s="1" t="s">
        <v>24</v>
      </c>
      <c r="I200" s="1" t="s">
        <v>24</v>
      </c>
      <c r="J200" s="1" t="s">
        <v>25</v>
      </c>
      <c r="K200" s="1" t="s">
        <v>25</v>
      </c>
      <c r="L200" s="1" t="s">
        <v>26</v>
      </c>
      <c r="M200" s="1" t="s">
        <v>25</v>
      </c>
      <c r="N200" s="1" t="s">
        <v>25</v>
      </c>
      <c r="O200" s="1" t="s">
        <v>25</v>
      </c>
      <c r="P200" s="1" t="s">
        <v>25</v>
      </c>
      <c r="Q200" s="1" t="s">
        <v>25</v>
      </c>
      <c r="R200" s="85" t="str">
        <f t="shared" si="12"/>
        <v>245918</v>
      </c>
      <c r="S200" t="str">
        <f>VLOOKUP(A200,Data_NV!$A:$C,3,0)</f>
        <v xml:space="preserve">Trần Kỳ Tâm    </v>
      </c>
      <c r="T200" t="str">
        <f>VLOOKUP(A200,Data_NV!$A:$E,4,0)</f>
        <v>Vận Hành</v>
      </c>
      <c r="U200" s="82">
        <f>DATEVALUE(Table2[[#This Row],[Ngày]])</f>
        <v>45918</v>
      </c>
      <c r="V200" t="str">
        <f>VLOOKUP(A200,Data_NV!$A:$E,5,0)</f>
        <v>Đang làm việc</v>
      </c>
      <c r="W200" s="10">
        <f>VLOOKUP(A200,Data_NV!$A:$I,8,0)</f>
        <v>0.33333333333333331</v>
      </c>
      <c r="X200" s="10">
        <f>VLOOKUP(A200,Data_NV!$A:$I,9,0)</f>
        <v>0.70833333333333337</v>
      </c>
      <c r="Y200" s="10">
        <f>IFERROR(TIMEVALUE(Table2[[#This Row],[Vào]]),0)</f>
        <v>0</v>
      </c>
      <c r="Z200" s="10">
        <f>IFERROR(TIMEVALUE(Table2[[#This Row],[Ra]]),0)</f>
        <v>0</v>
      </c>
      <c r="AA200" t="s">
        <v>1341</v>
      </c>
      <c r="AB200" s="105">
        <f t="shared" si="14"/>
        <v>0</v>
      </c>
      <c r="AC200" s="12" t="str">
        <f>IF(VLOOKUP(A200,Data_NV!$A:$I,7,0)="Không","",IF(OR(AND(Y200=0,Z200=0),AND(Y200&lt;&gt;0,Z200&lt;&gt;0)),"","Quên chấm công"))</f>
        <v/>
      </c>
      <c r="AD200" s="12">
        <f>IF(VLOOKUP(A200,Data_NV!$A:$I,7,0)="Không",0,IF(AND(Y200=0,Z200=0),0,IF(X200&lt;=Z200,0,ROUNDDOWN((X200-Z200)*24*60,0))))</f>
        <v>0</v>
      </c>
      <c r="AE200" s="12">
        <f>IF(VLOOKUP(A200,Data_NV!$A:$I,6,0)="Không",0,IF(Z200&lt;=X200,0,ROUNDDOWN((Z200-X200)*24*60,0)))</f>
        <v>0</v>
      </c>
      <c r="AF200" s="26">
        <f t="shared" si="15"/>
        <v>0</v>
      </c>
      <c r="AG200" s="27" t="str">
        <f>IF(AC200="","",IF(COUNTIFS($AC$3:AC200,"Quên chấm công",$S$3:S200,S200)&gt;3,"Không chấm công do vi phạm quá 3 lần",IF(COUNTIFS($AC$3:AC200,"Quên chấm công",$S$3:S200,S200)&gt;2,"Trừ toàn bộ chuyên cần tháng do vi phạm lần 3",IF(COUNTIFS($AC$3:AC200,"Quên chấm công",$S$3:S200,S200)&gt;1,"Trừ 1/2 ngày lương",50000))))</f>
        <v/>
      </c>
      <c r="AH200" s="12" t="str">
        <f>IF(AF200=0,"",IF(COUNTIFS($AF$3:AF200,"&gt;0",$S$3:S200,S200)&gt;3,"Trừ toàn bộ chuyên cần tháng",""))</f>
        <v/>
      </c>
      <c r="AI200" s="101" t="s">
        <v>1405</v>
      </c>
    </row>
    <row r="201" spans="1:35" ht="16.5" x14ac:dyDescent="0.3">
      <c r="A201" s="4" t="s">
        <v>256</v>
      </c>
      <c r="B201" s="1" t="s">
        <v>257</v>
      </c>
      <c r="C201" s="1" t="s">
        <v>20</v>
      </c>
      <c r="D201" s="1" t="s">
        <v>95</v>
      </c>
      <c r="E201" s="1" t="s">
        <v>22</v>
      </c>
      <c r="F201" s="1" t="s">
        <v>23</v>
      </c>
      <c r="G201" s="1" t="s">
        <v>12</v>
      </c>
      <c r="H201" s="1" t="s">
        <v>24</v>
      </c>
      <c r="I201" s="1" t="s">
        <v>24</v>
      </c>
      <c r="J201" s="1" t="s">
        <v>25</v>
      </c>
      <c r="K201" s="1" t="s">
        <v>25</v>
      </c>
      <c r="L201" s="1" t="s">
        <v>26</v>
      </c>
      <c r="M201" s="1" t="s">
        <v>25</v>
      </c>
      <c r="N201" s="1" t="s">
        <v>25</v>
      </c>
      <c r="O201" s="1" t="s">
        <v>25</v>
      </c>
      <c r="P201" s="1" t="s">
        <v>25</v>
      </c>
      <c r="Q201" s="1" t="s">
        <v>25</v>
      </c>
      <c r="R201" s="85" t="str">
        <f t="shared" si="12"/>
        <v>245919</v>
      </c>
      <c r="S201" t="str">
        <f>VLOOKUP(A201,Data_NV!$A:$C,3,0)</f>
        <v xml:space="preserve">Trần Kỳ Tâm    </v>
      </c>
      <c r="T201" t="str">
        <f>VLOOKUP(A201,Data_NV!$A:$E,4,0)</f>
        <v>Vận Hành</v>
      </c>
      <c r="U201" s="82">
        <f>DATEVALUE(Table2[[#This Row],[Ngày]])</f>
        <v>45919</v>
      </c>
      <c r="V201" t="str">
        <f>VLOOKUP(A201,Data_NV!$A:$E,5,0)</f>
        <v>Đang làm việc</v>
      </c>
      <c r="W201" s="10">
        <f>VLOOKUP(A201,Data_NV!$A:$I,8,0)</f>
        <v>0.33333333333333331</v>
      </c>
      <c r="X201" s="10">
        <f>VLOOKUP(A201,Data_NV!$A:$I,9,0)</f>
        <v>0.70833333333333337</v>
      </c>
      <c r="Y201" s="10">
        <f>IFERROR(TIMEVALUE(Table2[[#This Row],[Vào]]),0)</f>
        <v>0</v>
      </c>
      <c r="Z201" s="10">
        <f>IFERROR(TIMEVALUE(Table2[[#This Row],[Ra]]),0)</f>
        <v>0</v>
      </c>
      <c r="AA201" t="s">
        <v>1341</v>
      </c>
      <c r="AB201" s="105">
        <f t="shared" si="14"/>
        <v>0</v>
      </c>
      <c r="AC201" s="12" t="str">
        <f>IF(VLOOKUP(A201,Data_NV!$A:$I,7,0)="Không","",IF(OR(AND(Y201=0,Z201=0),AND(Y201&lt;&gt;0,Z201&lt;&gt;0)),"","Quên chấm công"))</f>
        <v/>
      </c>
      <c r="AD201" s="12">
        <f>IF(VLOOKUP(A201,Data_NV!$A:$I,7,0)="Không",0,IF(AND(Y201=0,Z201=0),0,IF(X201&lt;=Z201,0,ROUNDDOWN((X201-Z201)*24*60,0))))</f>
        <v>0</v>
      </c>
      <c r="AE201" s="12">
        <f>IF(VLOOKUP(A201,Data_NV!$A:$I,6,0)="Không",0,IF(Z201&lt;=X201,0,ROUNDDOWN((Z201-X201)*24*60,0)))</f>
        <v>0</v>
      </c>
      <c r="AF201" s="26">
        <f t="shared" si="15"/>
        <v>0</v>
      </c>
      <c r="AG201" s="27" t="str">
        <f>IF(AC201="","",IF(COUNTIFS($AC$3:AC201,"Quên chấm công",$S$3:S201,S201)&gt;3,"Không chấm công do vi phạm quá 3 lần",IF(COUNTIFS($AC$3:AC201,"Quên chấm công",$S$3:S201,S201)&gt;2,"Trừ toàn bộ chuyên cần tháng do vi phạm lần 3",IF(COUNTIFS($AC$3:AC201,"Quên chấm công",$S$3:S201,S201)&gt;1,"Trừ 1/2 ngày lương",50000))))</f>
        <v/>
      </c>
      <c r="AH201" s="12" t="str">
        <f>IF(AF201=0,"",IF(COUNTIFS($AF$3:AF201,"&gt;0",$S$3:S201,S201)&gt;3,"Trừ toàn bộ chuyên cần tháng",""))</f>
        <v/>
      </c>
      <c r="AI201" s="101" t="s">
        <v>1405</v>
      </c>
    </row>
    <row r="202" spans="1:35" ht="16.5" x14ac:dyDescent="0.3">
      <c r="A202" s="4" t="s">
        <v>256</v>
      </c>
      <c r="B202" s="1" t="s">
        <v>257</v>
      </c>
      <c r="C202" s="1" t="s">
        <v>20</v>
      </c>
      <c r="D202" s="1" t="s">
        <v>100</v>
      </c>
      <c r="E202" s="1" t="s">
        <v>22</v>
      </c>
      <c r="F202" s="1" t="s">
        <v>23</v>
      </c>
      <c r="G202" s="1" t="s">
        <v>12</v>
      </c>
      <c r="H202" s="1" t="s">
        <v>24</v>
      </c>
      <c r="I202" s="1" t="s">
        <v>24</v>
      </c>
      <c r="J202" s="1" t="s">
        <v>25</v>
      </c>
      <c r="K202" s="1" t="s">
        <v>25</v>
      </c>
      <c r="L202" s="1" t="s">
        <v>26</v>
      </c>
      <c r="M202" s="1" t="s">
        <v>25</v>
      </c>
      <c r="N202" s="1" t="s">
        <v>25</v>
      </c>
      <c r="O202" s="1" t="s">
        <v>25</v>
      </c>
      <c r="P202" s="1" t="s">
        <v>25</v>
      </c>
      <c r="Q202" s="1" t="s">
        <v>25</v>
      </c>
      <c r="R202" s="85" t="str">
        <f t="shared" si="12"/>
        <v>245920</v>
      </c>
      <c r="S202" t="str">
        <f>VLOOKUP(A202,Data_NV!$A:$C,3,0)</f>
        <v xml:space="preserve">Trần Kỳ Tâm    </v>
      </c>
      <c r="T202" t="str">
        <f>VLOOKUP(A202,Data_NV!$A:$E,4,0)</f>
        <v>Vận Hành</v>
      </c>
      <c r="U202" s="82">
        <f>DATEVALUE(Table2[[#This Row],[Ngày]])</f>
        <v>45920</v>
      </c>
      <c r="V202" t="str">
        <f>VLOOKUP(A202,Data_NV!$A:$E,5,0)</f>
        <v>Đang làm việc</v>
      </c>
      <c r="W202" s="10">
        <f>VLOOKUP(A202,Data_NV!$A:$I,8,0)</f>
        <v>0.33333333333333331</v>
      </c>
      <c r="X202" s="10">
        <f>VLOOKUP(A202,Data_NV!$A:$I,9,0)</f>
        <v>0.70833333333333337</v>
      </c>
      <c r="Y202" s="10">
        <f>IFERROR(TIMEVALUE(Table2[[#This Row],[Vào]]),0)</f>
        <v>0</v>
      </c>
      <c r="Z202" s="10">
        <f>IFERROR(TIMEVALUE(Table2[[#This Row],[Ra]]),0)</f>
        <v>0</v>
      </c>
      <c r="AA202" t="s">
        <v>1341</v>
      </c>
      <c r="AB202" s="105">
        <f t="shared" si="14"/>
        <v>0</v>
      </c>
      <c r="AC202" s="12" t="str">
        <f>IF(VLOOKUP(A202,Data_NV!$A:$I,7,0)="Không","",IF(OR(AND(Y202=0,Z202=0),AND(Y202&lt;&gt;0,Z202&lt;&gt;0)),"","Quên chấm công"))</f>
        <v/>
      </c>
      <c r="AD202" s="12">
        <f>IF(VLOOKUP(A202,Data_NV!$A:$I,7,0)="Không",0,IF(AND(Y202=0,Z202=0),0,IF(X202&lt;=Z202,0,ROUNDDOWN((X202-Z202)*24*60,0))))</f>
        <v>0</v>
      </c>
      <c r="AE202" s="12">
        <f>IF(VLOOKUP(A202,Data_NV!$A:$I,6,0)="Không",0,IF(Z202&lt;=X202,0,ROUNDDOWN((Z202-X202)*24*60,0)))</f>
        <v>0</v>
      </c>
      <c r="AF202" s="26">
        <f t="shared" si="15"/>
        <v>0</v>
      </c>
      <c r="AG202" s="27" t="str">
        <f>IF(AC202="","",IF(COUNTIFS($AC$3:AC202,"Quên chấm công",$S$3:S202,S202)&gt;3,"Không chấm công do vi phạm quá 3 lần",IF(COUNTIFS($AC$3:AC202,"Quên chấm công",$S$3:S202,S202)&gt;2,"Trừ toàn bộ chuyên cần tháng do vi phạm lần 3",IF(COUNTIFS($AC$3:AC202,"Quên chấm công",$S$3:S202,S202)&gt;1,"Trừ 1/2 ngày lương",50000))))</f>
        <v/>
      </c>
      <c r="AH202" s="12" t="str">
        <f>IF(AF202=0,"",IF(COUNTIFS($AF$3:AF202,"&gt;0",$S$3:S202,S202)&gt;3,"Trừ toàn bộ chuyên cần tháng",""))</f>
        <v/>
      </c>
      <c r="AI202" s="101" t="s">
        <v>1405</v>
      </c>
    </row>
    <row r="203" spans="1:35" x14ac:dyDescent="0.25">
      <c r="A203" s="4" t="s">
        <v>256</v>
      </c>
      <c r="B203" s="1" t="s">
        <v>257</v>
      </c>
      <c r="C203" s="1" t="s">
        <v>20</v>
      </c>
      <c r="D203" s="1" t="s">
        <v>105</v>
      </c>
      <c r="E203" s="1" t="s">
        <v>22</v>
      </c>
      <c r="F203" s="1" t="s">
        <v>23</v>
      </c>
      <c r="G203" s="1" t="s">
        <v>12</v>
      </c>
      <c r="H203" s="1" t="s">
        <v>24</v>
      </c>
      <c r="I203" s="1" t="s">
        <v>24</v>
      </c>
      <c r="J203" s="1" t="s">
        <v>25</v>
      </c>
      <c r="K203" s="1" t="s">
        <v>25</v>
      </c>
      <c r="L203" s="1" t="s">
        <v>26</v>
      </c>
      <c r="M203" s="1" t="s">
        <v>25</v>
      </c>
      <c r="N203" s="1" t="s">
        <v>25</v>
      </c>
      <c r="O203" s="1" t="s">
        <v>25</v>
      </c>
      <c r="P203" s="1" t="s">
        <v>25</v>
      </c>
      <c r="Q203" s="1" t="s">
        <v>25</v>
      </c>
      <c r="R203" s="85" t="str">
        <f t="shared" si="12"/>
        <v>245921</v>
      </c>
      <c r="S203" t="str">
        <f>VLOOKUP(A203,Data_NV!$A:$C,3,0)</f>
        <v xml:space="preserve">Trần Kỳ Tâm    </v>
      </c>
      <c r="T203" t="str">
        <f>VLOOKUP(A203,Data_NV!$A:$E,4,0)</f>
        <v>Vận Hành</v>
      </c>
      <c r="U203" s="82">
        <f>DATEVALUE(Table2[[#This Row],[Ngày]])</f>
        <v>45921</v>
      </c>
      <c r="V203" t="str">
        <f>VLOOKUP(A203,Data_NV!$A:$E,5,0)</f>
        <v>Đang làm việc</v>
      </c>
      <c r="W203" s="10">
        <f>VLOOKUP(A203,Data_NV!$A:$I,8,0)</f>
        <v>0.33333333333333331</v>
      </c>
      <c r="X203" s="10">
        <f>VLOOKUP(A203,Data_NV!$A:$I,9,0)</f>
        <v>0.70833333333333337</v>
      </c>
      <c r="Y203" s="10">
        <f>IFERROR(TIMEVALUE(Table2[[#This Row],[Vào]]),0)</f>
        <v>0</v>
      </c>
      <c r="Z203" s="10">
        <f>IFERROR(TIMEVALUE(Table2[[#This Row],[Ra]]),0)</f>
        <v>0</v>
      </c>
      <c r="AA203" t="str">
        <f t="shared" si="13"/>
        <v>Chủ nhật</v>
      </c>
      <c r="AB203" s="105">
        <f t="shared" si="14"/>
        <v>0</v>
      </c>
      <c r="AC203" s="12" t="str">
        <f>IF(VLOOKUP(A203,Data_NV!$A:$I,7,0)="Không","",IF(OR(AND(Y203=0,Z203=0),AND(Y203&lt;&gt;0,Z203&lt;&gt;0)),"","Quên chấm công"))</f>
        <v/>
      </c>
      <c r="AD203" s="12">
        <f>IF(VLOOKUP(A203,Data_NV!$A:$I,7,0)="Không",0,IF(AND(Y203=0,Z203=0),0,IF(X203&lt;=Z203,0,ROUNDDOWN((X203-Z203)*24*60,0))))</f>
        <v>0</v>
      </c>
      <c r="AE203" s="12">
        <f>IF(VLOOKUP(A203,Data_NV!$A:$I,6,0)="Không",0,IF(Z203&lt;=X203,0,ROUNDDOWN((Z203-X203)*24*60,0)))</f>
        <v>0</v>
      </c>
      <c r="AF203" s="26">
        <f t="shared" si="15"/>
        <v>0</v>
      </c>
      <c r="AG203" s="27" t="str">
        <f>IF(AC203="","",IF(COUNTIFS($AC$3:AC203,"Quên chấm công",$S$3:S203,S203)&gt;3,"Không chấm công do vi phạm quá 3 lần",IF(COUNTIFS($AC$3:AC203,"Quên chấm công",$S$3:S203,S203)&gt;2,"Trừ toàn bộ chuyên cần tháng do vi phạm lần 3",IF(COUNTIFS($AC$3:AC203,"Quên chấm công",$S$3:S203,S203)&gt;1,"Trừ 1/2 ngày lương",50000))))</f>
        <v/>
      </c>
      <c r="AH203" s="12" t="str">
        <f>IF(AF203=0,"",IF(COUNTIFS($AF$3:AF203,"&gt;0",$S$3:S203,S203)&gt;3,"Trừ toàn bộ chuyên cần tháng",""))</f>
        <v/>
      </c>
      <c r="AI203" s="12"/>
    </row>
    <row r="204" spans="1:35" x14ac:dyDescent="0.25">
      <c r="A204" s="4" t="s">
        <v>256</v>
      </c>
      <c r="B204" s="1" t="s">
        <v>257</v>
      </c>
      <c r="C204" s="1" t="s">
        <v>20</v>
      </c>
      <c r="D204" s="1" t="s">
        <v>106</v>
      </c>
      <c r="E204" s="1" t="s">
        <v>22</v>
      </c>
      <c r="F204" s="1" t="s">
        <v>23</v>
      </c>
      <c r="G204" s="1" t="s">
        <v>29</v>
      </c>
      <c r="H204" s="1" t="s">
        <v>302</v>
      </c>
      <c r="I204" s="1" t="s">
        <v>303</v>
      </c>
      <c r="J204" s="1" t="s">
        <v>25</v>
      </c>
      <c r="K204" s="1" t="s">
        <v>304</v>
      </c>
      <c r="L204" s="1" t="s">
        <v>25</v>
      </c>
      <c r="M204" s="1" t="s">
        <v>26</v>
      </c>
      <c r="N204" s="1" t="s">
        <v>25</v>
      </c>
      <c r="O204" s="1" t="s">
        <v>305</v>
      </c>
      <c r="P204" s="1" t="s">
        <v>25</v>
      </c>
      <c r="Q204" s="1" t="s">
        <v>25</v>
      </c>
      <c r="R204" s="85" t="str">
        <f t="shared" si="12"/>
        <v>245922</v>
      </c>
      <c r="S204" t="str">
        <f>VLOOKUP(A204,Data_NV!$A:$C,3,0)</f>
        <v xml:space="preserve">Trần Kỳ Tâm    </v>
      </c>
      <c r="T204" t="str">
        <f>VLOOKUP(A204,Data_NV!$A:$E,4,0)</f>
        <v>Vận Hành</v>
      </c>
      <c r="U204" s="82">
        <f>DATEVALUE(Table2[[#This Row],[Ngày]])</f>
        <v>45922</v>
      </c>
      <c r="V204" t="str">
        <f>VLOOKUP(A204,Data_NV!$A:$E,5,0)</f>
        <v>Đang làm việc</v>
      </c>
      <c r="W204" s="10">
        <f>VLOOKUP(A204,Data_NV!$A:$I,8,0)</f>
        <v>0.33333333333333331</v>
      </c>
      <c r="X204" s="10">
        <f>VLOOKUP(A204,Data_NV!$A:$I,9,0)</f>
        <v>0.70833333333333337</v>
      </c>
      <c r="Y204" s="10">
        <f>IFERROR(TIMEVALUE(Table2[[#This Row],[Vào]]),0)</f>
        <v>0.32854166666666668</v>
      </c>
      <c r="Z204" s="10">
        <f>IFERROR(TIMEVALUE(Table2[[#This Row],[Ra]]),0)</f>
        <v>0.77131944444444445</v>
      </c>
      <c r="AA204" t="str">
        <f t="shared" si="13"/>
        <v>x</v>
      </c>
      <c r="AB204" s="105">
        <f t="shared" si="14"/>
        <v>0</v>
      </c>
      <c r="AC204" s="12" t="str">
        <f>IF(VLOOKUP(A204,Data_NV!$A:$I,7,0)="Không","",IF(OR(AND(Y204=0,Z204=0),AND(Y204&lt;&gt;0,Z204&lt;&gt;0)),"","Quên chấm công"))</f>
        <v/>
      </c>
      <c r="AD204" s="12">
        <f>IF(VLOOKUP(A204,Data_NV!$A:$I,7,0)="Không",0,IF(AND(Y204=0,Z204=0),0,IF(X204&lt;=Z204,0,ROUNDDOWN((X204-Z204)*24*60,0))))</f>
        <v>0</v>
      </c>
      <c r="AE204" s="12">
        <f>IF(VLOOKUP(A204,Data_NV!$A:$I,6,0)="Không",0,IF(Z204&lt;=X204,0,ROUNDDOWN((Z204-X204)*24*60,0)))</f>
        <v>90</v>
      </c>
      <c r="AF204" s="26">
        <f t="shared" si="15"/>
        <v>0</v>
      </c>
      <c r="AG204" s="27" t="str">
        <f>IF(AC204="","",IF(COUNTIFS($AC$3:AC204,"Quên chấm công",$S$3:S204,S204)&gt;3,"Không chấm công do vi phạm quá 3 lần",IF(COUNTIFS($AC$3:AC204,"Quên chấm công",$S$3:S204,S204)&gt;2,"Trừ toàn bộ chuyên cần tháng do vi phạm lần 3",IF(COUNTIFS($AC$3:AC204,"Quên chấm công",$S$3:S204,S204)&gt;1,"Trừ 1/2 ngày lương",50000))))</f>
        <v/>
      </c>
      <c r="AH204" s="12" t="str">
        <f>IF(AF204=0,"",IF(COUNTIFS($AF$3:AF204,"&gt;0",$S$3:S204,S204)&gt;3,"Trừ toàn bộ chuyên cần tháng",""))</f>
        <v/>
      </c>
      <c r="AI204" s="12"/>
    </row>
    <row r="205" spans="1:35" x14ac:dyDescent="0.25">
      <c r="A205" s="4" t="s">
        <v>256</v>
      </c>
      <c r="B205" s="1" t="s">
        <v>257</v>
      </c>
      <c r="C205" s="1" t="s">
        <v>20</v>
      </c>
      <c r="D205" s="1" t="s">
        <v>111</v>
      </c>
      <c r="E205" s="1" t="s">
        <v>22</v>
      </c>
      <c r="F205" s="1" t="s">
        <v>23</v>
      </c>
      <c r="G205" s="1" t="s">
        <v>29</v>
      </c>
      <c r="H205" s="1" t="s">
        <v>306</v>
      </c>
      <c r="I205" s="1" t="s">
        <v>307</v>
      </c>
      <c r="J205" s="1" t="s">
        <v>25</v>
      </c>
      <c r="K205" s="1" t="s">
        <v>72</v>
      </c>
      <c r="L205" s="1" t="s">
        <v>25</v>
      </c>
      <c r="M205" s="1" t="s">
        <v>26</v>
      </c>
      <c r="N205" s="1" t="s">
        <v>25</v>
      </c>
      <c r="O205" s="1" t="s">
        <v>73</v>
      </c>
      <c r="P205" s="1" t="s">
        <v>25</v>
      </c>
      <c r="Q205" s="1" t="s">
        <v>25</v>
      </c>
      <c r="R205" s="85" t="str">
        <f t="shared" si="12"/>
        <v>245923</v>
      </c>
      <c r="S205" t="str">
        <f>VLOOKUP(A205,Data_NV!$A:$C,3,0)</f>
        <v xml:space="preserve">Trần Kỳ Tâm    </v>
      </c>
      <c r="T205" t="str">
        <f>VLOOKUP(A205,Data_NV!$A:$E,4,0)</f>
        <v>Vận Hành</v>
      </c>
      <c r="U205" s="82">
        <f>DATEVALUE(Table2[[#This Row],[Ngày]])</f>
        <v>45923</v>
      </c>
      <c r="V205" t="str">
        <f>VLOOKUP(A205,Data_NV!$A:$E,5,0)</f>
        <v>Đang làm việc</v>
      </c>
      <c r="W205" s="10">
        <f>VLOOKUP(A205,Data_NV!$A:$I,8,0)</f>
        <v>0.33333333333333331</v>
      </c>
      <c r="X205" s="10">
        <f>VLOOKUP(A205,Data_NV!$A:$I,9,0)</f>
        <v>0.70833333333333337</v>
      </c>
      <c r="Y205" s="10">
        <f>IFERROR(TIMEVALUE(Table2[[#This Row],[Vào]]),0)</f>
        <v>0.32754629629629628</v>
      </c>
      <c r="Z205" s="10">
        <f>IFERROR(TIMEVALUE(Table2[[#This Row],[Ra]]),0)</f>
        <v>0.7465856481481481</v>
      </c>
      <c r="AA205" t="str">
        <f t="shared" si="13"/>
        <v>x</v>
      </c>
      <c r="AB205" s="105">
        <f t="shared" si="14"/>
        <v>0</v>
      </c>
      <c r="AC205" s="12" t="str">
        <f>IF(VLOOKUP(A205,Data_NV!$A:$I,7,0)="Không","",IF(OR(AND(Y205=0,Z205=0),AND(Y205&lt;&gt;0,Z205&lt;&gt;0)),"","Quên chấm công"))</f>
        <v/>
      </c>
      <c r="AD205" s="12">
        <f>IF(VLOOKUP(A205,Data_NV!$A:$I,7,0)="Không",0,IF(AND(Y205=0,Z205=0),0,IF(X205&lt;=Z205,0,ROUNDDOWN((X205-Z205)*24*60,0))))</f>
        <v>0</v>
      </c>
      <c r="AE205" s="12">
        <f>IF(VLOOKUP(A205,Data_NV!$A:$I,6,0)="Không",0,IF(Z205&lt;=X205,0,ROUNDDOWN((Z205-X205)*24*60,0)))</f>
        <v>55</v>
      </c>
      <c r="AF205" s="26">
        <f t="shared" si="15"/>
        <v>0</v>
      </c>
      <c r="AG205" s="27" t="str">
        <f>IF(AC205="","",IF(COUNTIFS($AC$3:AC205,"Quên chấm công",$S$3:S205,S205)&gt;3,"Không chấm công do vi phạm quá 3 lần",IF(COUNTIFS($AC$3:AC205,"Quên chấm công",$S$3:S205,S205)&gt;2,"Trừ toàn bộ chuyên cần tháng do vi phạm lần 3",IF(COUNTIFS($AC$3:AC205,"Quên chấm công",$S$3:S205,S205)&gt;1,"Trừ 1/2 ngày lương",50000))))</f>
        <v/>
      </c>
      <c r="AH205" s="12" t="str">
        <f>IF(AF205=0,"",IF(COUNTIFS($AF$3:AF205,"&gt;0",$S$3:S205,S205)&gt;3,"Trừ toàn bộ chuyên cần tháng",""))</f>
        <v/>
      </c>
      <c r="AI205" s="12"/>
    </row>
    <row r="206" spans="1:35" x14ac:dyDescent="0.25">
      <c r="A206" s="4" t="s">
        <v>256</v>
      </c>
      <c r="B206" s="1" t="s">
        <v>257</v>
      </c>
      <c r="C206" s="1" t="s">
        <v>20</v>
      </c>
      <c r="D206" s="1" t="s">
        <v>116</v>
      </c>
      <c r="E206" s="1" t="s">
        <v>22</v>
      </c>
      <c r="F206" s="1" t="s">
        <v>23</v>
      </c>
      <c r="G206" s="1" t="s">
        <v>29</v>
      </c>
      <c r="H206" s="1" t="s">
        <v>308</v>
      </c>
      <c r="I206" s="1" t="s">
        <v>309</v>
      </c>
      <c r="J206" s="1" t="s">
        <v>25</v>
      </c>
      <c r="K206" s="1" t="s">
        <v>310</v>
      </c>
      <c r="L206" s="1" t="s">
        <v>25</v>
      </c>
      <c r="M206" s="1" t="s">
        <v>26</v>
      </c>
      <c r="N206" s="1" t="s">
        <v>25</v>
      </c>
      <c r="O206" s="1" t="s">
        <v>311</v>
      </c>
      <c r="P206" s="1" t="s">
        <v>25</v>
      </c>
      <c r="Q206" s="1" t="s">
        <v>25</v>
      </c>
      <c r="R206" s="85" t="str">
        <f t="shared" si="12"/>
        <v>245924</v>
      </c>
      <c r="S206" t="str">
        <f>VLOOKUP(A206,Data_NV!$A:$C,3,0)</f>
        <v xml:space="preserve">Trần Kỳ Tâm    </v>
      </c>
      <c r="T206" t="str">
        <f>VLOOKUP(A206,Data_NV!$A:$E,4,0)</f>
        <v>Vận Hành</v>
      </c>
      <c r="U206" s="82">
        <f>DATEVALUE(Table2[[#This Row],[Ngày]])</f>
        <v>45924</v>
      </c>
      <c r="V206" t="str">
        <f>VLOOKUP(A206,Data_NV!$A:$E,5,0)</f>
        <v>Đang làm việc</v>
      </c>
      <c r="W206" s="10">
        <f>VLOOKUP(A206,Data_NV!$A:$I,8,0)</f>
        <v>0.33333333333333331</v>
      </c>
      <c r="X206" s="10">
        <f>VLOOKUP(A206,Data_NV!$A:$I,9,0)</f>
        <v>0.70833333333333337</v>
      </c>
      <c r="Y206" s="10">
        <f>IFERROR(TIMEVALUE(Table2[[#This Row],[Vào]]),0)</f>
        <v>0.32497685185185188</v>
      </c>
      <c r="Z206" s="10">
        <f>IFERROR(TIMEVALUE(Table2[[#This Row],[Ra]]),0)</f>
        <v>0.76556712962962958</v>
      </c>
      <c r="AA206" t="str">
        <f t="shared" si="13"/>
        <v>x</v>
      </c>
      <c r="AB206" s="105">
        <f t="shared" si="14"/>
        <v>0</v>
      </c>
      <c r="AC206" s="12" t="str">
        <f>IF(VLOOKUP(A206,Data_NV!$A:$I,7,0)="Không","",IF(OR(AND(Y206=0,Z206=0),AND(Y206&lt;&gt;0,Z206&lt;&gt;0)),"","Quên chấm công"))</f>
        <v/>
      </c>
      <c r="AD206" s="12">
        <f>IF(VLOOKUP(A206,Data_NV!$A:$I,7,0)="Không",0,IF(AND(Y206=0,Z206=0),0,IF(X206&lt;=Z206,0,ROUNDDOWN((X206-Z206)*24*60,0))))</f>
        <v>0</v>
      </c>
      <c r="AE206" s="12">
        <f>IF(VLOOKUP(A206,Data_NV!$A:$I,6,0)="Không",0,IF(Z206&lt;=X206,0,ROUNDDOWN((Z206-X206)*24*60,0)))</f>
        <v>82</v>
      </c>
      <c r="AF206" s="26">
        <f t="shared" si="15"/>
        <v>0</v>
      </c>
      <c r="AG206" s="27" t="str">
        <f>IF(AC206="","",IF(COUNTIFS($AC$3:AC206,"Quên chấm công",$S$3:S206,S206)&gt;3,"Không chấm công do vi phạm quá 3 lần",IF(COUNTIFS($AC$3:AC206,"Quên chấm công",$S$3:S206,S206)&gt;2,"Trừ toàn bộ chuyên cần tháng do vi phạm lần 3",IF(COUNTIFS($AC$3:AC206,"Quên chấm công",$S$3:S206,S206)&gt;1,"Trừ 1/2 ngày lương",50000))))</f>
        <v/>
      </c>
      <c r="AH206" s="12" t="str">
        <f>IF(AF206=0,"",IF(COUNTIFS($AF$3:AF206,"&gt;0",$S$3:S206,S206)&gt;3,"Trừ toàn bộ chuyên cần tháng",""))</f>
        <v/>
      </c>
      <c r="AI206" s="12"/>
    </row>
    <row r="207" spans="1:35" x14ac:dyDescent="0.25">
      <c r="A207" s="4" t="s">
        <v>256</v>
      </c>
      <c r="B207" s="1" t="s">
        <v>257</v>
      </c>
      <c r="C207" s="1" t="s">
        <v>20</v>
      </c>
      <c r="D207" s="1" t="s">
        <v>121</v>
      </c>
      <c r="E207" s="1" t="s">
        <v>22</v>
      </c>
      <c r="F207" s="1" t="s">
        <v>23</v>
      </c>
      <c r="G207" s="1" t="s">
        <v>10</v>
      </c>
      <c r="H207" s="1" t="s">
        <v>312</v>
      </c>
      <c r="I207" s="1" t="s">
        <v>313</v>
      </c>
      <c r="J207" s="1" t="s">
        <v>314</v>
      </c>
      <c r="K207" s="1" t="s">
        <v>315</v>
      </c>
      <c r="L207" s="1" t="s">
        <v>25</v>
      </c>
      <c r="M207" s="1" t="s">
        <v>26</v>
      </c>
      <c r="N207" s="1" t="s">
        <v>25</v>
      </c>
      <c r="O207" s="1" t="s">
        <v>316</v>
      </c>
      <c r="P207" s="1" t="s">
        <v>25</v>
      </c>
      <c r="Q207" s="1" t="s">
        <v>25</v>
      </c>
      <c r="R207" s="85" t="str">
        <f t="shared" si="12"/>
        <v>245925</v>
      </c>
      <c r="S207" t="str">
        <f>VLOOKUP(A207,Data_NV!$A:$C,3,0)</f>
        <v xml:space="preserve">Trần Kỳ Tâm    </v>
      </c>
      <c r="T207" t="str">
        <f>VLOOKUP(A207,Data_NV!$A:$E,4,0)</f>
        <v>Vận Hành</v>
      </c>
      <c r="U207" s="82">
        <f>DATEVALUE(Table2[[#This Row],[Ngày]])</f>
        <v>45925</v>
      </c>
      <c r="V207" t="str">
        <f>VLOOKUP(A207,Data_NV!$A:$E,5,0)</f>
        <v>Đang làm việc</v>
      </c>
      <c r="W207" s="10">
        <f>VLOOKUP(A207,Data_NV!$A:$I,8,0)</f>
        <v>0.33333333333333331</v>
      </c>
      <c r="X207" s="10">
        <f>VLOOKUP(A207,Data_NV!$A:$I,9,0)</f>
        <v>0.70833333333333337</v>
      </c>
      <c r="Y207" s="10">
        <f>IFERROR(TIMEVALUE(Table2[[#This Row],[Vào]]),0)</f>
        <v>0.33498842592592593</v>
      </c>
      <c r="Z207" s="10">
        <f>IFERROR(TIMEVALUE(Table2[[#This Row],[Ra]]),0)</f>
        <v>0.78693287037037041</v>
      </c>
      <c r="AA207" t="str">
        <f t="shared" si="13"/>
        <v>x</v>
      </c>
      <c r="AB207" s="105">
        <f t="shared" si="14"/>
        <v>2.3833333333333595</v>
      </c>
      <c r="AC207" s="12" t="str">
        <f>IF(VLOOKUP(A207,Data_NV!$A:$I,7,0)="Không","",IF(OR(AND(Y207=0,Z207=0),AND(Y207&lt;&gt;0,Z207&lt;&gt;0)),"","Quên chấm công"))</f>
        <v/>
      </c>
      <c r="AD207" s="12">
        <f>IF(VLOOKUP(A207,Data_NV!$A:$I,7,0)="Không",0,IF(AND(Y207=0,Z207=0),0,IF(X207&lt;=Z207,0,ROUNDDOWN((X207-Z207)*24*60,0))))</f>
        <v>0</v>
      </c>
      <c r="AE207" s="12">
        <f>IF(VLOOKUP(A207,Data_NV!$A:$I,6,0)="Không",0,IF(Z207&lt;=X207,0,ROUNDDOWN((Z207-X207)*24*60,0)))</f>
        <v>113</v>
      </c>
      <c r="AF207" s="26">
        <f t="shared" si="15"/>
        <v>0</v>
      </c>
      <c r="AG207" s="27" t="str">
        <f>IF(AC207="","",IF(COUNTIFS($AC$3:AC207,"Quên chấm công",$S$3:S207,S207)&gt;3,"Không chấm công do vi phạm quá 3 lần",IF(COUNTIFS($AC$3:AC207,"Quên chấm công",$S$3:S207,S207)&gt;2,"Trừ toàn bộ chuyên cần tháng do vi phạm lần 3",IF(COUNTIFS($AC$3:AC207,"Quên chấm công",$S$3:S207,S207)&gt;1,"Trừ 1/2 ngày lương",50000))))</f>
        <v/>
      </c>
      <c r="AH207" s="12" t="str">
        <f>IF(AF207=0,"",IF(COUNTIFS($AF$3:AF207,"&gt;0",$S$3:S207,S207)&gt;3,"Trừ toàn bộ chuyên cần tháng",""))</f>
        <v/>
      </c>
      <c r="AI207" s="12"/>
    </row>
    <row r="208" spans="1:35" x14ac:dyDescent="0.25">
      <c r="A208" s="4" t="s">
        <v>256</v>
      </c>
      <c r="B208" s="1" t="s">
        <v>257</v>
      </c>
      <c r="C208" s="1" t="s">
        <v>20</v>
      </c>
      <c r="D208" s="1" t="s">
        <v>123</v>
      </c>
      <c r="E208" s="1" t="s">
        <v>22</v>
      </c>
      <c r="F208" s="1" t="s">
        <v>23</v>
      </c>
      <c r="G208" s="1" t="s">
        <v>29</v>
      </c>
      <c r="H208" s="1" t="s">
        <v>317</v>
      </c>
      <c r="I208" s="1" t="s">
        <v>318</v>
      </c>
      <c r="J208" s="1" t="s">
        <v>25</v>
      </c>
      <c r="K208" s="1" t="s">
        <v>114</v>
      </c>
      <c r="L208" s="1" t="s">
        <v>25</v>
      </c>
      <c r="M208" s="1" t="s">
        <v>26</v>
      </c>
      <c r="N208" s="1" t="s">
        <v>25</v>
      </c>
      <c r="O208" s="1" t="s">
        <v>115</v>
      </c>
      <c r="P208" s="1" t="s">
        <v>25</v>
      </c>
      <c r="Q208" s="1" t="s">
        <v>25</v>
      </c>
      <c r="R208" s="85" t="str">
        <f t="shared" si="12"/>
        <v>245926</v>
      </c>
      <c r="S208" t="str">
        <f>VLOOKUP(A208,Data_NV!$A:$C,3,0)</f>
        <v xml:space="preserve">Trần Kỳ Tâm    </v>
      </c>
      <c r="T208" t="str">
        <f>VLOOKUP(A208,Data_NV!$A:$E,4,0)</f>
        <v>Vận Hành</v>
      </c>
      <c r="U208" s="82">
        <f>DATEVALUE(Table2[[#This Row],[Ngày]])</f>
        <v>45926</v>
      </c>
      <c r="V208" t="str">
        <f>VLOOKUP(A208,Data_NV!$A:$E,5,0)</f>
        <v>Đang làm việc</v>
      </c>
      <c r="W208" s="10">
        <f>VLOOKUP(A208,Data_NV!$A:$I,8,0)</f>
        <v>0.33333333333333331</v>
      </c>
      <c r="X208" s="10">
        <f>VLOOKUP(A208,Data_NV!$A:$I,9,0)</f>
        <v>0.70833333333333337</v>
      </c>
      <c r="Y208" s="10">
        <f>IFERROR(TIMEVALUE(Table2[[#This Row],[Vào]]),0)</f>
        <v>0.32739583333333333</v>
      </c>
      <c r="Z208" s="10">
        <f>IFERROR(TIMEVALUE(Table2[[#This Row],[Ra]]),0)</f>
        <v>0.77905092592592595</v>
      </c>
      <c r="AA208" t="str">
        <f t="shared" si="13"/>
        <v>x</v>
      </c>
      <c r="AB208" s="105">
        <f t="shared" si="14"/>
        <v>0</v>
      </c>
      <c r="AC208" s="12" t="str">
        <f>IF(VLOOKUP(A208,Data_NV!$A:$I,7,0)="Không","",IF(OR(AND(Y208=0,Z208=0),AND(Y208&lt;&gt;0,Z208&lt;&gt;0)),"","Quên chấm công"))</f>
        <v/>
      </c>
      <c r="AD208" s="12">
        <f>IF(VLOOKUP(A208,Data_NV!$A:$I,7,0)="Không",0,IF(AND(Y208=0,Z208=0),0,IF(X208&lt;=Z208,0,ROUNDDOWN((X208-Z208)*24*60,0))))</f>
        <v>0</v>
      </c>
      <c r="AE208" s="12">
        <f>IF(VLOOKUP(A208,Data_NV!$A:$I,6,0)="Không",0,IF(Z208&lt;=X208,0,ROUNDDOWN((Z208-X208)*24*60,0)))</f>
        <v>101</v>
      </c>
      <c r="AF208" s="26">
        <f t="shared" si="15"/>
        <v>0</v>
      </c>
      <c r="AG208" s="27" t="str">
        <f>IF(AC208="","",IF(COUNTIFS($AC$3:AC208,"Quên chấm công",$S$3:S208,S208)&gt;3,"Không chấm công do vi phạm quá 3 lần",IF(COUNTIFS($AC$3:AC208,"Quên chấm công",$S$3:S208,S208)&gt;2,"Trừ toàn bộ chuyên cần tháng do vi phạm lần 3",IF(COUNTIFS($AC$3:AC208,"Quên chấm công",$S$3:S208,S208)&gt;1,"Trừ 1/2 ngày lương",50000))))</f>
        <v/>
      </c>
      <c r="AH208" s="12" t="str">
        <f>IF(AF208=0,"",IF(COUNTIFS($AF$3:AF208,"&gt;0",$S$3:S208,S208)&gt;3,"Trừ toàn bộ chuyên cần tháng",""))</f>
        <v/>
      </c>
      <c r="AI208" s="12"/>
    </row>
    <row r="209" spans="1:35" x14ac:dyDescent="0.25">
      <c r="A209" s="4" t="s">
        <v>256</v>
      </c>
      <c r="B209" s="1" t="s">
        <v>257</v>
      </c>
      <c r="C209" s="1" t="s">
        <v>20</v>
      </c>
      <c r="D209" s="1" t="s">
        <v>125</v>
      </c>
      <c r="E209" s="1" t="s">
        <v>22</v>
      </c>
      <c r="F209" s="1" t="s">
        <v>23</v>
      </c>
      <c r="G209" s="1" t="s">
        <v>29</v>
      </c>
      <c r="H209" s="1" t="s">
        <v>319</v>
      </c>
      <c r="I209" s="1" t="s">
        <v>320</v>
      </c>
      <c r="J209" s="1" t="s">
        <v>25</v>
      </c>
      <c r="K209" s="1" t="s">
        <v>321</v>
      </c>
      <c r="L209" s="1" t="s">
        <v>25</v>
      </c>
      <c r="M209" s="1" t="s">
        <v>26</v>
      </c>
      <c r="N209" s="1" t="s">
        <v>25</v>
      </c>
      <c r="O209" s="1" t="s">
        <v>322</v>
      </c>
      <c r="P209" s="1" t="s">
        <v>25</v>
      </c>
      <c r="Q209" s="1" t="s">
        <v>25</v>
      </c>
      <c r="R209" s="85" t="str">
        <f t="shared" si="12"/>
        <v>245927</v>
      </c>
      <c r="S209" t="str">
        <f>VLOOKUP(A209,Data_NV!$A:$C,3,0)</f>
        <v xml:space="preserve">Trần Kỳ Tâm    </v>
      </c>
      <c r="T209" t="str">
        <f>VLOOKUP(A209,Data_NV!$A:$E,4,0)</f>
        <v>Vận Hành</v>
      </c>
      <c r="U209" s="82">
        <f>DATEVALUE(Table2[[#This Row],[Ngày]])</f>
        <v>45927</v>
      </c>
      <c r="V209" t="str">
        <f>VLOOKUP(A209,Data_NV!$A:$E,5,0)</f>
        <v>Đang làm việc</v>
      </c>
      <c r="W209" s="10">
        <f>VLOOKUP(A209,Data_NV!$A:$I,8,0)</f>
        <v>0.33333333333333331</v>
      </c>
      <c r="X209" s="10">
        <f>VLOOKUP(A209,Data_NV!$A:$I,9,0)</f>
        <v>0.70833333333333337</v>
      </c>
      <c r="Y209" s="10">
        <f>IFERROR(TIMEVALUE(Table2[[#This Row],[Vào]]),0)</f>
        <v>0.32762731481481483</v>
      </c>
      <c r="Z209" s="10">
        <f>IFERROR(TIMEVALUE(Table2[[#This Row],[Ra]]),0)</f>
        <v>0.72710648148148149</v>
      </c>
      <c r="AA209" t="str">
        <f t="shared" si="13"/>
        <v>x</v>
      </c>
      <c r="AB209" s="105">
        <f t="shared" si="14"/>
        <v>0</v>
      </c>
      <c r="AC209" s="12" t="str">
        <f>IF(VLOOKUP(A209,Data_NV!$A:$I,7,0)="Không","",IF(OR(AND(Y209=0,Z209=0),AND(Y209&lt;&gt;0,Z209&lt;&gt;0)),"","Quên chấm công"))</f>
        <v/>
      </c>
      <c r="AD209" s="12">
        <f>IF(VLOOKUP(A209,Data_NV!$A:$I,7,0)="Không",0,IF(AND(Y209=0,Z209=0),0,IF(X209&lt;=Z209,0,ROUNDDOWN((X209-Z209)*24*60,0))))</f>
        <v>0</v>
      </c>
      <c r="AE209" s="12">
        <f>IF(VLOOKUP(A209,Data_NV!$A:$I,6,0)="Không",0,IF(Z209&lt;=X209,0,ROUNDDOWN((Z209-X209)*24*60,0)))</f>
        <v>27</v>
      </c>
      <c r="AF209" s="26">
        <f t="shared" si="15"/>
        <v>0</v>
      </c>
      <c r="AG209" s="27" t="str">
        <f>IF(AC209="","",IF(COUNTIFS($AC$3:AC209,"Quên chấm công",$S$3:S209,S209)&gt;3,"Không chấm công do vi phạm quá 3 lần",IF(COUNTIFS($AC$3:AC209,"Quên chấm công",$S$3:S209,S209)&gt;2,"Trừ toàn bộ chuyên cần tháng do vi phạm lần 3",IF(COUNTIFS($AC$3:AC209,"Quên chấm công",$S$3:S209,S209)&gt;1,"Trừ 1/2 ngày lương",50000))))</f>
        <v/>
      </c>
      <c r="AH209" s="12" t="str">
        <f>IF(AF209=0,"",IF(COUNTIFS($AF$3:AF209,"&gt;0",$S$3:S209,S209)&gt;3,"Trừ toàn bộ chuyên cần tháng",""))</f>
        <v/>
      </c>
      <c r="AI209" s="12"/>
    </row>
    <row r="210" spans="1:35" x14ac:dyDescent="0.25">
      <c r="A210" s="4" t="s">
        <v>256</v>
      </c>
      <c r="B210" s="1" t="s">
        <v>257</v>
      </c>
      <c r="C210" s="1" t="s">
        <v>20</v>
      </c>
      <c r="D210" s="1" t="s">
        <v>130</v>
      </c>
      <c r="E210" s="1" t="s">
        <v>22</v>
      </c>
      <c r="F210" s="1" t="s">
        <v>23</v>
      </c>
      <c r="G210" s="1" t="s">
        <v>12</v>
      </c>
      <c r="H210" s="1" t="s">
        <v>24</v>
      </c>
      <c r="I210" s="1" t="s">
        <v>24</v>
      </c>
      <c r="J210" s="1" t="s">
        <v>25</v>
      </c>
      <c r="K210" s="1" t="s">
        <v>25</v>
      </c>
      <c r="L210" s="1" t="s">
        <v>26</v>
      </c>
      <c r="M210" s="1" t="s">
        <v>25</v>
      </c>
      <c r="N210" s="1" t="s">
        <v>25</v>
      </c>
      <c r="O210" s="1" t="s">
        <v>25</v>
      </c>
      <c r="P210" s="1" t="s">
        <v>25</v>
      </c>
      <c r="Q210" s="1" t="s">
        <v>25</v>
      </c>
      <c r="R210" s="85" t="str">
        <f t="shared" si="12"/>
        <v>245928</v>
      </c>
      <c r="S210" t="str">
        <f>VLOOKUP(A210,Data_NV!$A:$C,3,0)</f>
        <v xml:space="preserve">Trần Kỳ Tâm    </v>
      </c>
      <c r="T210" t="str">
        <f>VLOOKUP(A210,Data_NV!$A:$E,4,0)</f>
        <v>Vận Hành</v>
      </c>
      <c r="U210" s="82">
        <f>DATEVALUE(Table2[[#This Row],[Ngày]])</f>
        <v>45928</v>
      </c>
      <c r="V210" t="str">
        <f>VLOOKUP(A210,Data_NV!$A:$E,5,0)</f>
        <v>Đang làm việc</v>
      </c>
      <c r="W210" s="10">
        <f>VLOOKUP(A210,Data_NV!$A:$I,8,0)</f>
        <v>0.33333333333333331</v>
      </c>
      <c r="X210" s="10">
        <f>VLOOKUP(A210,Data_NV!$A:$I,9,0)</f>
        <v>0.70833333333333337</v>
      </c>
      <c r="Y210" s="10">
        <f>IFERROR(TIMEVALUE(Table2[[#This Row],[Vào]]),0)</f>
        <v>0</v>
      </c>
      <c r="Z210" s="10">
        <f>IFERROR(TIMEVALUE(Table2[[#This Row],[Ra]]),0)</f>
        <v>0</v>
      </c>
      <c r="AA210" t="str">
        <f t="shared" si="13"/>
        <v>Chủ nhật</v>
      </c>
      <c r="AB210" s="105">
        <f t="shared" si="14"/>
        <v>0</v>
      </c>
      <c r="AC210" s="12" t="str">
        <f>IF(VLOOKUP(A210,Data_NV!$A:$I,7,0)="Không","",IF(OR(AND(Y210=0,Z210=0),AND(Y210&lt;&gt;0,Z210&lt;&gt;0)),"","Quên chấm công"))</f>
        <v/>
      </c>
      <c r="AD210" s="12">
        <f>IF(VLOOKUP(A210,Data_NV!$A:$I,7,0)="Không",0,IF(AND(Y210=0,Z210=0),0,IF(X210&lt;=Z210,0,ROUNDDOWN((X210-Z210)*24*60,0))))</f>
        <v>0</v>
      </c>
      <c r="AE210" s="12">
        <f>IF(VLOOKUP(A210,Data_NV!$A:$I,6,0)="Không",0,IF(Z210&lt;=X210,0,ROUNDDOWN((Z210-X210)*24*60,0)))</f>
        <v>0</v>
      </c>
      <c r="AF210" s="26">
        <f t="shared" si="15"/>
        <v>0</v>
      </c>
      <c r="AG210" s="27" t="str">
        <f>IF(AC210="","",IF(COUNTIFS($AC$3:AC210,"Quên chấm công",$S$3:S210,S210)&gt;3,"Không chấm công do vi phạm quá 3 lần",IF(COUNTIFS($AC$3:AC210,"Quên chấm công",$S$3:S210,S210)&gt;2,"Trừ toàn bộ chuyên cần tháng do vi phạm lần 3",IF(COUNTIFS($AC$3:AC210,"Quên chấm công",$S$3:S210,S210)&gt;1,"Trừ 1/2 ngày lương",50000))))</f>
        <v/>
      </c>
      <c r="AH210" s="12" t="str">
        <f>IF(AF210=0,"",IF(COUNTIFS($AF$3:AF210,"&gt;0",$S$3:S210,S210)&gt;3,"Trừ toàn bộ chuyên cần tháng",""))</f>
        <v/>
      </c>
      <c r="AI210" s="12"/>
    </row>
    <row r="211" spans="1:35" x14ac:dyDescent="0.25">
      <c r="A211" s="4" t="s">
        <v>256</v>
      </c>
      <c r="B211" s="1" t="s">
        <v>257</v>
      </c>
      <c r="C211" s="1" t="s">
        <v>20</v>
      </c>
      <c r="D211" s="1" t="s">
        <v>131</v>
      </c>
      <c r="E211" s="1" t="s">
        <v>22</v>
      </c>
      <c r="F211" s="1" t="s">
        <v>23</v>
      </c>
      <c r="G211" s="1" t="s">
        <v>29</v>
      </c>
      <c r="H211" s="1" t="s">
        <v>323</v>
      </c>
      <c r="I211" s="1" t="s">
        <v>324</v>
      </c>
      <c r="J211" s="1" t="s">
        <v>25</v>
      </c>
      <c r="K211" s="1" t="s">
        <v>325</v>
      </c>
      <c r="L211" s="1" t="s">
        <v>25</v>
      </c>
      <c r="M211" s="1" t="s">
        <v>26</v>
      </c>
      <c r="N211" s="1" t="s">
        <v>25</v>
      </c>
      <c r="O211" s="1" t="s">
        <v>326</v>
      </c>
      <c r="P211" s="1" t="s">
        <v>25</v>
      </c>
      <c r="Q211" s="1" t="s">
        <v>25</v>
      </c>
      <c r="R211" s="85" t="str">
        <f t="shared" si="12"/>
        <v>245929</v>
      </c>
      <c r="S211" t="str">
        <f>VLOOKUP(A211,Data_NV!$A:$C,3,0)</f>
        <v xml:space="preserve">Trần Kỳ Tâm    </v>
      </c>
      <c r="T211" t="str">
        <f>VLOOKUP(A211,Data_NV!$A:$E,4,0)</f>
        <v>Vận Hành</v>
      </c>
      <c r="U211" s="82">
        <f>DATEVALUE(Table2[[#This Row],[Ngày]])</f>
        <v>45929</v>
      </c>
      <c r="V211" t="str">
        <f>VLOOKUP(A211,Data_NV!$A:$E,5,0)</f>
        <v>Đang làm việc</v>
      </c>
      <c r="W211" s="10">
        <f>VLOOKUP(A211,Data_NV!$A:$I,8,0)</f>
        <v>0.33333333333333331</v>
      </c>
      <c r="X211" s="10">
        <f>VLOOKUP(A211,Data_NV!$A:$I,9,0)</f>
        <v>0.70833333333333337</v>
      </c>
      <c r="Y211" s="10">
        <f>IFERROR(TIMEVALUE(Table2[[#This Row],[Vào]]),0)</f>
        <v>0.32716435185185183</v>
      </c>
      <c r="Z211" s="10">
        <f>IFERROR(TIMEVALUE(Table2[[#This Row],[Ra]]),0)</f>
        <v>0.7471875</v>
      </c>
      <c r="AA211" t="str">
        <f t="shared" si="13"/>
        <v>x</v>
      </c>
      <c r="AB211" s="105">
        <f t="shared" si="14"/>
        <v>0</v>
      </c>
      <c r="AC211" s="12" t="str">
        <f>IF(VLOOKUP(A211,Data_NV!$A:$I,7,0)="Không","",IF(OR(AND(Y211=0,Z211=0),AND(Y211&lt;&gt;0,Z211&lt;&gt;0)),"","Quên chấm công"))</f>
        <v/>
      </c>
      <c r="AD211" s="12">
        <f>IF(VLOOKUP(A211,Data_NV!$A:$I,7,0)="Không",0,IF(AND(Y211=0,Z211=0),0,IF(X211&lt;=Z211,0,ROUNDDOWN((X211-Z211)*24*60,0))))</f>
        <v>0</v>
      </c>
      <c r="AE211" s="12">
        <f>IF(VLOOKUP(A211,Data_NV!$A:$I,6,0)="Không",0,IF(Z211&lt;=X211,0,ROUNDDOWN((Z211-X211)*24*60,0)))</f>
        <v>55</v>
      </c>
      <c r="AF211" s="26">
        <f t="shared" si="15"/>
        <v>0</v>
      </c>
      <c r="AG211" s="27" t="str">
        <f>IF(AC211="","",IF(COUNTIFS($AC$3:AC211,"Quên chấm công",$S$3:S211,S211)&gt;3,"Không chấm công do vi phạm quá 3 lần",IF(COUNTIFS($AC$3:AC211,"Quên chấm công",$S$3:S211,S211)&gt;2,"Trừ toàn bộ chuyên cần tháng do vi phạm lần 3",IF(COUNTIFS($AC$3:AC211,"Quên chấm công",$S$3:S211,S211)&gt;1,"Trừ 1/2 ngày lương",50000))))</f>
        <v/>
      </c>
      <c r="AH211" s="12" t="str">
        <f>IF(AF211=0,"",IF(COUNTIFS($AF$3:AF211,"&gt;0",$S$3:S211,S211)&gt;3,"Trừ toàn bộ chuyên cần tháng",""))</f>
        <v/>
      </c>
      <c r="AI211" s="12"/>
    </row>
    <row r="212" spans="1:35" x14ac:dyDescent="0.25">
      <c r="A212" s="4" t="s">
        <v>256</v>
      </c>
      <c r="B212" s="1" t="s">
        <v>257</v>
      </c>
      <c r="C212" s="1" t="s">
        <v>20</v>
      </c>
      <c r="D212" s="1" t="s">
        <v>136</v>
      </c>
      <c r="E212" s="1" t="s">
        <v>22</v>
      </c>
      <c r="F212" s="1" t="s">
        <v>23</v>
      </c>
      <c r="G212" s="1" t="s">
        <v>29</v>
      </c>
      <c r="H212" s="1" t="s">
        <v>327</v>
      </c>
      <c r="I212" s="1" t="s">
        <v>328</v>
      </c>
      <c r="J212" s="1" t="s">
        <v>25</v>
      </c>
      <c r="K212" s="1" t="s">
        <v>329</v>
      </c>
      <c r="L212" s="1" t="s">
        <v>25</v>
      </c>
      <c r="M212" s="1" t="s">
        <v>26</v>
      </c>
      <c r="N212" s="1" t="s">
        <v>25</v>
      </c>
      <c r="O212" s="1" t="s">
        <v>66</v>
      </c>
      <c r="P212" s="1" t="s">
        <v>25</v>
      </c>
      <c r="Q212" s="1" t="s">
        <v>25</v>
      </c>
      <c r="R212" s="85" t="str">
        <f t="shared" si="12"/>
        <v>245930</v>
      </c>
      <c r="S212" t="str">
        <f>VLOOKUP(A212,Data_NV!$A:$C,3,0)</f>
        <v xml:space="preserve">Trần Kỳ Tâm    </v>
      </c>
      <c r="T212" t="str">
        <f>VLOOKUP(A212,Data_NV!$A:$E,4,0)</f>
        <v>Vận Hành</v>
      </c>
      <c r="U212" s="82">
        <f>DATEVALUE(Table2[[#This Row],[Ngày]])</f>
        <v>45930</v>
      </c>
      <c r="V212" t="str">
        <f>VLOOKUP(A212,Data_NV!$A:$E,5,0)</f>
        <v>Đang làm việc</v>
      </c>
      <c r="W212" s="10">
        <f>VLOOKUP(A212,Data_NV!$A:$I,8,0)</f>
        <v>0.33333333333333331</v>
      </c>
      <c r="X212" s="10">
        <f>VLOOKUP(A212,Data_NV!$A:$I,9,0)</f>
        <v>0.70833333333333337</v>
      </c>
      <c r="Y212" s="10">
        <f>IFERROR(TIMEVALUE(Table2[[#This Row],[Vào]]),0)</f>
        <v>0.33263888888888887</v>
      </c>
      <c r="Z212" s="10">
        <f>IFERROR(TIMEVALUE(Table2[[#This Row],[Ra]]),0)</f>
        <v>0.73758101851851854</v>
      </c>
      <c r="AA212" t="str">
        <f t="shared" si="13"/>
        <v>x</v>
      </c>
      <c r="AB212" s="105">
        <f t="shared" si="14"/>
        <v>0</v>
      </c>
      <c r="AC212" s="12" t="str">
        <f>IF(VLOOKUP(A212,Data_NV!$A:$I,7,0)="Không","",IF(OR(AND(Y212=0,Z212=0),AND(Y212&lt;&gt;0,Z212&lt;&gt;0)),"","Quên chấm công"))</f>
        <v/>
      </c>
      <c r="AD212" s="12">
        <f>IF(VLOOKUP(A212,Data_NV!$A:$I,7,0)="Không",0,IF(AND(Y212=0,Z212=0),0,IF(X212&lt;=Z212,0,ROUNDDOWN((X212-Z212)*24*60,0))))</f>
        <v>0</v>
      </c>
      <c r="AE212" s="12">
        <f>IF(VLOOKUP(A212,Data_NV!$A:$I,6,0)="Không",0,IF(Z212&lt;=X212,0,ROUNDDOWN((Z212-X212)*24*60,0)))</f>
        <v>42</v>
      </c>
      <c r="AF212" s="26">
        <f t="shared" si="15"/>
        <v>0</v>
      </c>
      <c r="AG212" s="27" t="str">
        <f>IF(AC212="","",IF(COUNTIFS($AC$3:AC212,"Quên chấm công",$S$3:S212,S212)&gt;3,"Không chấm công do vi phạm quá 3 lần",IF(COUNTIFS($AC$3:AC212,"Quên chấm công",$S$3:S212,S212)&gt;2,"Trừ toàn bộ chuyên cần tháng do vi phạm lần 3",IF(COUNTIFS($AC$3:AC212,"Quên chấm công",$S$3:S212,S212)&gt;1,"Trừ 1/2 ngày lương",50000))))</f>
        <v/>
      </c>
      <c r="AH212" s="12" t="str">
        <f>IF(AF212=0,"",IF(COUNTIFS($AF$3:AF212,"&gt;0",$S$3:S212,S212)&gt;3,"Trừ toàn bộ chuyên cần tháng",""))</f>
        <v/>
      </c>
      <c r="AI212" s="12"/>
    </row>
    <row r="213" spans="1:35" x14ac:dyDescent="0.25">
      <c r="A213" s="4" t="s">
        <v>330</v>
      </c>
      <c r="B213" s="1" t="s">
        <v>331</v>
      </c>
      <c r="C213" s="1" t="s">
        <v>20</v>
      </c>
      <c r="D213" s="1" t="s">
        <v>21</v>
      </c>
      <c r="E213" s="1" t="s">
        <v>22</v>
      </c>
      <c r="F213" s="1" t="s">
        <v>23</v>
      </c>
      <c r="G213" s="1" t="s">
        <v>12</v>
      </c>
      <c r="H213" s="1" t="s">
        <v>24</v>
      </c>
      <c r="I213" s="1" t="s">
        <v>24</v>
      </c>
      <c r="J213" s="1" t="s">
        <v>25</v>
      </c>
      <c r="K213" s="1" t="s">
        <v>25</v>
      </c>
      <c r="L213" s="1" t="s">
        <v>26</v>
      </c>
      <c r="M213" s="1" t="s">
        <v>25</v>
      </c>
      <c r="N213" s="1" t="s">
        <v>25</v>
      </c>
      <c r="O213" s="1" t="s">
        <v>25</v>
      </c>
      <c r="P213" s="1" t="s">
        <v>25</v>
      </c>
      <c r="Q213" s="1" t="s">
        <v>25</v>
      </c>
      <c r="R213" s="85" t="str">
        <f t="shared" si="12"/>
        <v>2045901</v>
      </c>
      <c r="S213" t="str">
        <f>VLOOKUP(A213,Data_NV!$A:$C,3,0)</f>
        <v xml:space="preserve">Trương Quang Thanh    </v>
      </c>
      <c r="T213" t="str">
        <f>VLOOKUP(A213,Data_NV!$A:$E,4,0)</f>
        <v>Kinh doanh</v>
      </c>
      <c r="U213" s="82">
        <f>DATEVALUE(Table2[[#This Row],[Ngày]])</f>
        <v>45901</v>
      </c>
      <c r="V213" t="str">
        <f>VLOOKUP(A213,Data_NV!$A:$E,5,0)</f>
        <v>Đang làm việc</v>
      </c>
      <c r="W213" s="10">
        <f>VLOOKUP(A213,Data_NV!$A:$I,8,0)</f>
        <v>0.33333333333333331</v>
      </c>
      <c r="X213" s="10">
        <f>VLOOKUP(A213,Data_NV!$A:$I,9,0)</f>
        <v>0.70833333333333337</v>
      </c>
      <c r="Y213" s="10">
        <f>IFERROR(TIMEVALUE(Table2[[#This Row],[Vào]]),0)</f>
        <v>0</v>
      </c>
      <c r="Z213" s="10">
        <f>IFERROR(TIMEVALUE(Table2[[#This Row],[Ra]]),0)</f>
        <v>0</v>
      </c>
      <c r="AA213" s="97" t="s">
        <v>1349</v>
      </c>
      <c r="AB213" s="105">
        <f t="shared" si="14"/>
        <v>0</v>
      </c>
      <c r="AC213" s="12" t="str">
        <f>IF(VLOOKUP(A213,Data_NV!$A:$I,7,0)="Không","",IF(OR(AND(Y213=0,Z213=0),AND(Y213&lt;&gt;0,Z213&lt;&gt;0)),"","Quên chấm công"))</f>
        <v/>
      </c>
      <c r="AD213" s="12">
        <f>IF(VLOOKUP(A213,Data_NV!$A:$I,7,0)="Không",0,IF(AND(Y213=0,Z213=0),0,IF(X213&lt;=Z213,0,ROUNDDOWN((X213-Z213)*24*60,0))))</f>
        <v>0</v>
      </c>
      <c r="AE213" s="12">
        <f>IF(VLOOKUP(A213,Data_NV!$A:$I,6,0)="Không",0,IF(Z213&lt;=X213,0,ROUNDDOWN((Z213-X213)*24*60,0)))</f>
        <v>0</v>
      </c>
      <c r="AF213" s="26">
        <f t="shared" si="15"/>
        <v>0</v>
      </c>
      <c r="AG213" s="27" t="str">
        <f>IF(AC213="","",IF(COUNTIFS($AC$3:AC213,"Quên chấm công",$S$3:S213,S213)&gt;3,"Không chấm công do vi phạm quá 3 lần",IF(COUNTIFS($AC$3:AC213,"Quên chấm công",$S$3:S213,S213)&gt;2,"Trừ toàn bộ chuyên cần tháng do vi phạm lần 3",IF(COUNTIFS($AC$3:AC213,"Quên chấm công",$S$3:S213,S213)&gt;1,"Trừ 1/2 ngày lương",50000))))</f>
        <v/>
      </c>
      <c r="AH213" s="12" t="str">
        <f>IF(AF213=0,"",IF(COUNTIFS($AF$3:AF213,"&gt;0",$S$3:S213,S213)&gt;3,"Trừ toàn bộ chuyên cần tháng",""))</f>
        <v/>
      </c>
      <c r="AI213" s="98" t="s">
        <v>1369</v>
      </c>
    </row>
    <row r="214" spans="1:35" x14ac:dyDescent="0.25">
      <c r="A214" s="4" t="s">
        <v>330</v>
      </c>
      <c r="B214" s="1" t="s">
        <v>331</v>
      </c>
      <c r="C214" s="1" t="s">
        <v>20</v>
      </c>
      <c r="D214" s="1" t="s">
        <v>27</v>
      </c>
      <c r="E214" s="1" t="s">
        <v>22</v>
      </c>
      <c r="F214" s="1" t="s">
        <v>23</v>
      </c>
      <c r="G214" s="1" t="s">
        <v>12</v>
      </c>
      <c r="H214" s="1" t="s">
        <v>24</v>
      </c>
      <c r="I214" s="1" t="s">
        <v>24</v>
      </c>
      <c r="J214" s="1" t="s">
        <v>25</v>
      </c>
      <c r="K214" s="1" t="s">
        <v>25</v>
      </c>
      <c r="L214" s="1" t="s">
        <v>26</v>
      </c>
      <c r="M214" s="1" t="s">
        <v>25</v>
      </c>
      <c r="N214" s="1" t="s">
        <v>25</v>
      </c>
      <c r="O214" s="1" t="s">
        <v>25</v>
      </c>
      <c r="P214" s="1" t="s">
        <v>25</v>
      </c>
      <c r="Q214" s="1" t="s">
        <v>25</v>
      </c>
      <c r="R214" s="85" t="str">
        <f t="shared" si="12"/>
        <v>2045902</v>
      </c>
      <c r="S214" t="str">
        <f>VLOOKUP(A214,Data_NV!$A:$C,3,0)</f>
        <v xml:space="preserve">Trương Quang Thanh    </v>
      </c>
      <c r="T214" t="str">
        <f>VLOOKUP(A214,Data_NV!$A:$E,4,0)</f>
        <v>Kinh doanh</v>
      </c>
      <c r="U214" s="82">
        <f>DATEVALUE(Table2[[#This Row],[Ngày]])</f>
        <v>45902</v>
      </c>
      <c r="V214" t="str">
        <f>VLOOKUP(A214,Data_NV!$A:$E,5,0)</f>
        <v>Đang làm việc</v>
      </c>
      <c r="W214" s="10">
        <f>VLOOKUP(A214,Data_NV!$A:$I,8,0)</f>
        <v>0.33333333333333331</v>
      </c>
      <c r="X214" s="10">
        <f>VLOOKUP(A214,Data_NV!$A:$I,9,0)</f>
        <v>0.70833333333333337</v>
      </c>
      <c r="Y214" s="10">
        <f>IFERROR(TIMEVALUE(Table2[[#This Row],[Vào]]),0)</f>
        <v>0</v>
      </c>
      <c r="Z214" s="10">
        <f>IFERROR(TIMEVALUE(Table2[[#This Row],[Ra]]),0)</f>
        <v>0</v>
      </c>
      <c r="AA214" s="97" t="s">
        <v>1349</v>
      </c>
      <c r="AB214" s="105">
        <f t="shared" si="14"/>
        <v>0</v>
      </c>
      <c r="AC214" s="12" t="str">
        <f>IF(VLOOKUP(A214,Data_NV!$A:$I,7,0)="Không","",IF(OR(AND(Y214=0,Z214=0),AND(Y214&lt;&gt;0,Z214&lt;&gt;0)),"","Quên chấm công"))</f>
        <v/>
      </c>
      <c r="AD214" s="12">
        <f>IF(VLOOKUP(A214,Data_NV!$A:$I,7,0)="Không",0,IF(AND(Y214=0,Z214=0),0,IF(X214&lt;=Z214,0,ROUNDDOWN((X214-Z214)*24*60,0))))</f>
        <v>0</v>
      </c>
      <c r="AE214" s="12">
        <f>IF(VLOOKUP(A214,Data_NV!$A:$I,6,0)="Không",0,IF(Z214&lt;=X214,0,ROUNDDOWN((Z214-X214)*24*60,0)))</f>
        <v>0</v>
      </c>
      <c r="AF214" s="26">
        <f t="shared" si="15"/>
        <v>0</v>
      </c>
      <c r="AG214" s="27" t="str">
        <f>IF(AC214="","",IF(COUNTIFS($AC$3:AC214,"Quên chấm công",$S$3:S214,S214)&gt;3,"Không chấm công do vi phạm quá 3 lần",IF(COUNTIFS($AC$3:AC214,"Quên chấm công",$S$3:S214,S214)&gt;2,"Trừ toàn bộ chuyên cần tháng do vi phạm lần 3",IF(COUNTIFS($AC$3:AC214,"Quên chấm công",$S$3:S214,S214)&gt;1,"Trừ 1/2 ngày lương",50000))))</f>
        <v/>
      </c>
      <c r="AH214" s="12" t="str">
        <f>IF(AF214=0,"",IF(COUNTIFS($AF$3:AF214,"&gt;0",$S$3:S214,S214)&gt;3,"Trừ toàn bộ chuyên cần tháng",""))</f>
        <v/>
      </c>
      <c r="AI214" s="98" t="s">
        <v>1369</v>
      </c>
    </row>
    <row r="215" spans="1:35" x14ac:dyDescent="0.25">
      <c r="A215" s="4" t="s">
        <v>330</v>
      </c>
      <c r="B215" s="1" t="s">
        <v>331</v>
      </c>
      <c r="C215" s="1" t="s">
        <v>20</v>
      </c>
      <c r="D215" s="1" t="s">
        <v>28</v>
      </c>
      <c r="E215" s="1" t="s">
        <v>22</v>
      </c>
      <c r="F215" s="1" t="s">
        <v>23</v>
      </c>
      <c r="G215" s="1" t="s">
        <v>12</v>
      </c>
      <c r="H215" s="1" t="s">
        <v>332</v>
      </c>
      <c r="I215" s="1" t="s">
        <v>24</v>
      </c>
      <c r="J215" s="1" t="s">
        <v>25</v>
      </c>
      <c r="K215" s="1" t="s">
        <v>25</v>
      </c>
      <c r="L215" s="1" t="s">
        <v>26</v>
      </c>
      <c r="M215" s="1" t="s">
        <v>25</v>
      </c>
      <c r="N215" s="1" t="s">
        <v>25</v>
      </c>
      <c r="O215" s="1" t="s">
        <v>25</v>
      </c>
      <c r="P215" s="1" t="s">
        <v>25</v>
      </c>
      <c r="Q215" s="1" t="s">
        <v>25</v>
      </c>
      <c r="R215" s="85" t="str">
        <f t="shared" si="12"/>
        <v>2045903</v>
      </c>
      <c r="S215" t="str">
        <f>VLOOKUP(A215,Data_NV!$A:$C,3,0)</f>
        <v xml:space="preserve">Trương Quang Thanh    </v>
      </c>
      <c r="T215" t="str">
        <f>VLOOKUP(A215,Data_NV!$A:$E,4,0)</f>
        <v>Kinh doanh</v>
      </c>
      <c r="U215" s="82">
        <f>DATEVALUE(Table2[[#This Row],[Ngày]])</f>
        <v>45903</v>
      </c>
      <c r="V215" t="str">
        <f>VLOOKUP(A215,Data_NV!$A:$E,5,0)</f>
        <v>Đang làm việc</v>
      </c>
      <c r="W215" s="10">
        <f>VLOOKUP(A215,Data_NV!$A:$I,8,0)</f>
        <v>0.33333333333333331</v>
      </c>
      <c r="X215" s="10">
        <f>VLOOKUP(A215,Data_NV!$A:$I,9,0)</f>
        <v>0.70833333333333337</v>
      </c>
      <c r="Y215" s="10">
        <f>IFERROR(TIMEVALUE(Table2[[#This Row],[Vào]]),0)</f>
        <v>0.31070601851851853</v>
      </c>
      <c r="Z215" s="10">
        <f>IFERROR(TIMEVALUE(Table2[[#This Row],[Ra]]),0)</f>
        <v>0</v>
      </c>
      <c r="AA215" t="str">
        <f t="shared" si="13"/>
        <v>x</v>
      </c>
      <c r="AB215" s="105">
        <f t="shared" si="14"/>
        <v>0</v>
      </c>
      <c r="AC215" s="12" t="str">
        <f>IF(VLOOKUP(A215,Data_NV!$A:$I,7,0)="Không","",IF(OR(AND(Y215=0,Z215=0),AND(Y215&lt;&gt;0,Z215&lt;&gt;0)),"","Quên chấm công"))</f>
        <v/>
      </c>
      <c r="AD215" s="12">
        <f>IF(VLOOKUP(A215,Data_NV!$A:$I,7,0)="Không",0,IF(AND(Y215=0,Z215=0),0,IF(X215&lt;=Z215,0,ROUNDDOWN((X215-Z215)*24*60,0))))</f>
        <v>0</v>
      </c>
      <c r="AE215" s="12">
        <f>IF(VLOOKUP(A215,Data_NV!$A:$I,6,0)="Không",0,IF(Z215&lt;=X215,0,ROUNDDOWN((Z215-X215)*24*60,0)))</f>
        <v>0</v>
      </c>
      <c r="AF215" s="26">
        <f t="shared" si="15"/>
        <v>0</v>
      </c>
      <c r="AG215" s="27" t="str">
        <f>IF(AC215="","",IF(COUNTIFS($AC$3:AC215,"Quên chấm công",$S$3:S215,S215)&gt;3,"Không chấm công do vi phạm quá 3 lần",IF(COUNTIFS($AC$3:AC215,"Quên chấm công",$S$3:S215,S215)&gt;2,"Trừ toàn bộ chuyên cần tháng do vi phạm lần 3",IF(COUNTIFS($AC$3:AC215,"Quên chấm công",$S$3:S215,S215)&gt;1,"Trừ 1/2 ngày lương",50000))))</f>
        <v/>
      </c>
      <c r="AH215" s="12" t="str">
        <f>IF(AF215=0,"",IF(COUNTIFS($AF$3:AF215,"&gt;0",$S$3:S215,S215)&gt;3,"Trừ toàn bộ chuyên cần tháng",""))</f>
        <v/>
      </c>
      <c r="AI215" s="12"/>
    </row>
    <row r="216" spans="1:35" x14ac:dyDescent="0.25">
      <c r="A216" s="4" t="s">
        <v>330</v>
      </c>
      <c r="B216" s="1" t="s">
        <v>331</v>
      </c>
      <c r="C216" s="1" t="s">
        <v>20</v>
      </c>
      <c r="D216" s="1" t="s">
        <v>35</v>
      </c>
      <c r="E216" s="1" t="s">
        <v>22</v>
      </c>
      <c r="F216" s="1" t="s">
        <v>23</v>
      </c>
      <c r="G216" s="1" t="s">
        <v>12</v>
      </c>
      <c r="H216" s="1" t="s">
        <v>333</v>
      </c>
      <c r="I216" s="1" t="s">
        <v>24</v>
      </c>
      <c r="J216" s="1" t="s">
        <v>25</v>
      </c>
      <c r="K216" s="1" t="s">
        <v>25</v>
      </c>
      <c r="L216" s="1" t="s">
        <v>26</v>
      </c>
      <c r="M216" s="1" t="s">
        <v>25</v>
      </c>
      <c r="N216" s="1" t="s">
        <v>25</v>
      </c>
      <c r="O216" s="1" t="s">
        <v>25</v>
      </c>
      <c r="P216" s="1" t="s">
        <v>25</v>
      </c>
      <c r="Q216" s="1" t="s">
        <v>25</v>
      </c>
      <c r="R216" s="85" t="str">
        <f t="shared" si="12"/>
        <v>2045904</v>
      </c>
      <c r="S216" t="str">
        <f>VLOOKUP(A216,Data_NV!$A:$C,3,0)</f>
        <v xml:space="preserve">Trương Quang Thanh    </v>
      </c>
      <c r="T216" t="str">
        <f>VLOOKUP(A216,Data_NV!$A:$E,4,0)</f>
        <v>Kinh doanh</v>
      </c>
      <c r="U216" s="82">
        <f>DATEVALUE(Table2[[#This Row],[Ngày]])</f>
        <v>45904</v>
      </c>
      <c r="V216" t="str">
        <f>VLOOKUP(A216,Data_NV!$A:$E,5,0)</f>
        <v>Đang làm việc</v>
      </c>
      <c r="W216" s="10">
        <f>VLOOKUP(A216,Data_NV!$A:$I,8,0)</f>
        <v>0.33333333333333331</v>
      </c>
      <c r="X216" s="10">
        <f>VLOOKUP(A216,Data_NV!$A:$I,9,0)</f>
        <v>0.70833333333333337</v>
      </c>
      <c r="Y216" s="10">
        <f>IFERROR(TIMEVALUE(Table2[[#This Row],[Vào]]),0)</f>
        <v>0.33164351851851853</v>
      </c>
      <c r="Z216" s="10">
        <f>IFERROR(TIMEVALUE(Table2[[#This Row],[Ra]]),0)</f>
        <v>0</v>
      </c>
      <c r="AA216" t="str">
        <f t="shared" si="13"/>
        <v>x</v>
      </c>
      <c r="AB216" s="105">
        <f t="shared" si="14"/>
        <v>0</v>
      </c>
      <c r="AC216" s="12" t="str">
        <f>IF(VLOOKUP(A216,Data_NV!$A:$I,7,0)="Không","",IF(OR(AND(Y216=0,Z216=0),AND(Y216&lt;&gt;0,Z216&lt;&gt;0)),"","Quên chấm công"))</f>
        <v/>
      </c>
      <c r="AD216" s="12">
        <f>IF(VLOOKUP(A216,Data_NV!$A:$I,7,0)="Không",0,IF(AND(Y216=0,Z216=0),0,IF(X216&lt;=Z216,0,ROUNDDOWN((X216-Z216)*24*60,0))))</f>
        <v>0</v>
      </c>
      <c r="AE216" s="12">
        <f>IF(VLOOKUP(A216,Data_NV!$A:$I,6,0)="Không",0,IF(Z216&lt;=X216,0,ROUNDDOWN((Z216-X216)*24*60,0)))</f>
        <v>0</v>
      </c>
      <c r="AF216" s="26">
        <f t="shared" si="15"/>
        <v>0</v>
      </c>
      <c r="AG216" s="27" t="str">
        <f>IF(AC216="","",IF(COUNTIFS($AC$3:AC216,"Quên chấm công",$S$3:S216,S216)&gt;3,"Không chấm công do vi phạm quá 3 lần",IF(COUNTIFS($AC$3:AC216,"Quên chấm công",$S$3:S216,S216)&gt;2,"Trừ toàn bộ chuyên cần tháng do vi phạm lần 3",IF(COUNTIFS($AC$3:AC216,"Quên chấm công",$S$3:S216,S216)&gt;1,"Trừ 1/2 ngày lương",50000))))</f>
        <v/>
      </c>
      <c r="AH216" s="12" t="str">
        <f>IF(AF216=0,"",IF(COUNTIFS($AF$3:AF216,"&gt;0",$S$3:S216,S216)&gt;3,"Trừ toàn bộ chuyên cần tháng",""))</f>
        <v/>
      </c>
      <c r="AI216" s="12"/>
    </row>
    <row r="217" spans="1:35" x14ac:dyDescent="0.25">
      <c r="A217" s="4" t="s">
        <v>330</v>
      </c>
      <c r="B217" s="1" t="s">
        <v>331</v>
      </c>
      <c r="C217" s="1" t="s">
        <v>20</v>
      </c>
      <c r="D217" s="1" t="s">
        <v>37</v>
      </c>
      <c r="E217" s="1" t="s">
        <v>22</v>
      </c>
      <c r="F217" s="1" t="s">
        <v>23</v>
      </c>
      <c r="G217" s="1" t="s">
        <v>12</v>
      </c>
      <c r="H217" s="1" t="s">
        <v>334</v>
      </c>
      <c r="I217" s="1" t="s">
        <v>24</v>
      </c>
      <c r="J217" s="1" t="s">
        <v>25</v>
      </c>
      <c r="K217" s="1" t="s">
        <v>25</v>
      </c>
      <c r="L217" s="1" t="s">
        <v>26</v>
      </c>
      <c r="M217" s="1" t="s">
        <v>25</v>
      </c>
      <c r="N217" s="1" t="s">
        <v>25</v>
      </c>
      <c r="O217" s="1" t="s">
        <v>25</v>
      </c>
      <c r="P217" s="1" t="s">
        <v>25</v>
      </c>
      <c r="Q217" s="1" t="s">
        <v>25</v>
      </c>
      <c r="R217" s="85" t="str">
        <f t="shared" si="12"/>
        <v>2045905</v>
      </c>
      <c r="S217" t="str">
        <f>VLOOKUP(A217,Data_NV!$A:$C,3,0)</f>
        <v xml:space="preserve">Trương Quang Thanh    </v>
      </c>
      <c r="T217" t="str">
        <f>VLOOKUP(A217,Data_NV!$A:$E,4,0)</f>
        <v>Kinh doanh</v>
      </c>
      <c r="U217" s="82">
        <f>DATEVALUE(Table2[[#This Row],[Ngày]])</f>
        <v>45905</v>
      </c>
      <c r="V217" t="str">
        <f>VLOOKUP(A217,Data_NV!$A:$E,5,0)</f>
        <v>Đang làm việc</v>
      </c>
      <c r="W217" s="10">
        <f>VLOOKUP(A217,Data_NV!$A:$I,8,0)</f>
        <v>0.33333333333333331</v>
      </c>
      <c r="X217" s="10">
        <f>VLOOKUP(A217,Data_NV!$A:$I,9,0)</f>
        <v>0.70833333333333337</v>
      </c>
      <c r="Y217" s="10">
        <f>IFERROR(TIMEVALUE(Table2[[#This Row],[Vào]]),0)</f>
        <v>0.32010416666666669</v>
      </c>
      <c r="Z217" s="10">
        <f>IFERROR(TIMEVALUE(Table2[[#This Row],[Ra]]),0)</f>
        <v>0</v>
      </c>
      <c r="AA217" t="str">
        <f t="shared" si="13"/>
        <v>x</v>
      </c>
      <c r="AB217" s="105">
        <f t="shared" si="14"/>
        <v>0</v>
      </c>
      <c r="AC217" s="12" t="str">
        <f>IF(VLOOKUP(A217,Data_NV!$A:$I,7,0)="Không","",IF(OR(AND(Y217=0,Z217=0),AND(Y217&lt;&gt;0,Z217&lt;&gt;0)),"","Quên chấm công"))</f>
        <v/>
      </c>
      <c r="AD217" s="12">
        <f>IF(VLOOKUP(A217,Data_NV!$A:$I,7,0)="Không",0,IF(AND(Y217=0,Z217=0),0,IF(X217&lt;=Z217,0,ROUNDDOWN((X217-Z217)*24*60,0))))</f>
        <v>0</v>
      </c>
      <c r="AE217" s="12">
        <f>IF(VLOOKUP(A217,Data_NV!$A:$I,6,0)="Không",0,IF(Z217&lt;=X217,0,ROUNDDOWN((Z217-X217)*24*60,0)))</f>
        <v>0</v>
      </c>
      <c r="AF217" s="26">
        <f t="shared" si="15"/>
        <v>0</v>
      </c>
      <c r="AG217" s="27" t="str">
        <f>IF(AC217="","",IF(COUNTIFS($AC$3:AC217,"Quên chấm công",$S$3:S217,S217)&gt;3,"Không chấm công do vi phạm quá 3 lần",IF(COUNTIFS($AC$3:AC217,"Quên chấm công",$S$3:S217,S217)&gt;2,"Trừ toàn bộ chuyên cần tháng do vi phạm lần 3",IF(COUNTIFS($AC$3:AC217,"Quên chấm công",$S$3:S217,S217)&gt;1,"Trừ 1/2 ngày lương",50000))))</f>
        <v/>
      </c>
      <c r="AH217" s="12" t="str">
        <f>IF(AF217=0,"",IF(COUNTIFS($AF$3:AF217,"&gt;0",$S$3:S217,S217)&gt;3,"Trừ toàn bộ chuyên cần tháng",""))</f>
        <v/>
      </c>
      <c r="AI217" s="12"/>
    </row>
    <row r="218" spans="1:35" x14ac:dyDescent="0.25">
      <c r="A218" s="4" t="s">
        <v>330</v>
      </c>
      <c r="B218" s="1" t="s">
        <v>331</v>
      </c>
      <c r="C218" s="1" t="s">
        <v>20</v>
      </c>
      <c r="D218" s="1" t="s">
        <v>42</v>
      </c>
      <c r="E218" s="1" t="s">
        <v>22</v>
      </c>
      <c r="F218" s="1" t="s">
        <v>23</v>
      </c>
      <c r="G218" s="1" t="s">
        <v>12</v>
      </c>
      <c r="H218" s="1" t="s">
        <v>24</v>
      </c>
      <c r="I218" s="1" t="s">
        <v>24</v>
      </c>
      <c r="J218" s="1" t="s">
        <v>25</v>
      </c>
      <c r="K218" s="1" t="s">
        <v>25</v>
      </c>
      <c r="L218" s="1" t="s">
        <v>26</v>
      </c>
      <c r="M218" s="1" t="s">
        <v>25</v>
      </c>
      <c r="N218" s="1" t="s">
        <v>25</v>
      </c>
      <c r="O218" s="1" t="s">
        <v>25</v>
      </c>
      <c r="P218" s="1" t="s">
        <v>25</v>
      </c>
      <c r="Q218" s="1" t="s">
        <v>25</v>
      </c>
      <c r="R218" s="85" t="str">
        <f t="shared" si="12"/>
        <v>2045906</v>
      </c>
      <c r="S218" t="str">
        <f>VLOOKUP(A218,Data_NV!$A:$C,3,0)</f>
        <v xml:space="preserve">Trương Quang Thanh    </v>
      </c>
      <c r="T218" t="str">
        <f>VLOOKUP(A218,Data_NV!$A:$E,4,0)</f>
        <v>Kinh doanh</v>
      </c>
      <c r="U218" s="82">
        <f>DATEVALUE(Table2[[#This Row],[Ngày]])</f>
        <v>45906</v>
      </c>
      <c r="V218" t="str">
        <f>VLOOKUP(A218,Data_NV!$A:$E,5,0)</f>
        <v>Đang làm việc</v>
      </c>
      <c r="W218" s="10">
        <f>VLOOKUP(A218,Data_NV!$A:$I,8,0)</f>
        <v>0.33333333333333331</v>
      </c>
      <c r="X218" s="10">
        <f>VLOOKUP(A218,Data_NV!$A:$I,9,0)</f>
        <v>0.70833333333333337</v>
      </c>
      <c r="Y218" s="10">
        <f>IFERROR(TIMEVALUE(Table2[[#This Row],[Vào]]),0)</f>
        <v>0</v>
      </c>
      <c r="Z218" s="10">
        <f>IFERROR(TIMEVALUE(Table2[[#This Row],[Ra]]),0)</f>
        <v>0</v>
      </c>
      <c r="AA218" t="s">
        <v>1373</v>
      </c>
      <c r="AB218" s="105">
        <f t="shared" si="14"/>
        <v>0</v>
      </c>
      <c r="AC218" s="12" t="str">
        <f>IF(VLOOKUP(A218,Data_NV!$A:$I,7,0)="Không","",IF(OR(AND(Y218=0,Z218=0),AND(Y218&lt;&gt;0,Z218&lt;&gt;0)),"","Quên chấm công"))</f>
        <v/>
      </c>
      <c r="AD218" s="12">
        <f>IF(VLOOKUP(A218,Data_NV!$A:$I,7,0)="Không",0,IF(AND(Y218=0,Z218=0),0,IF(X218&lt;=Z218,0,ROUNDDOWN((X218-Z218)*24*60,0))))</f>
        <v>0</v>
      </c>
      <c r="AE218" s="12">
        <f>IF(VLOOKUP(A218,Data_NV!$A:$I,6,0)="Không",0,IF(Z218&lt;=X218,0,ROUNDDOWN((Z218-X218)*24*60,0)))</f>
        <v>0</v>
      </c>
      <c r="AF218" s="26">
        <f t="shared" si="15"/>
        <v>0</v>
      </c>
      <c r="AG218" s="27" t="str">
        <f>IF(AC218="","",IF(COUNTIFS($AC$3:AC218,"Quên chấm công",$S$3:S218,S218)&gt;3,"Không chấm công do vi phạm quá 3 lần",IF(COUNTIFS($AC$3:AC218,"Quên chấm công",$S$3:S218,S218)&gt;2,"Trừ toàn bộ chuyên cần tháng do vi phạm lần 3",IF(COUNTIFS($AC$3:AC218,"Quên chấm công",$S$3:S218,S218)&gt;1,"Trừ 1/2 ngày lương",50000))))</f>
        <v/>
      </c>
      <c r="AH218" s="12" t="str">
        <f>IF(AF218=0,"",IF(COUNTIFS($AF$3:AF218,"&gt;0",$S$3:S218,S218)&gt;3,"Trừ toàn bộ chuyên cần tháng",""))</f>
        <v/>
      </c>
      <c r="AI218" s="12" t="s">
        <v>1376</v>
      </c>
    </row>
    <row r="219" spans="1:35" x14ac:dyDescent="0.25">
      <c r="A219" s="4" t="s">
        <v>330</v>
      </c>
      <c r="B219" s="1" t="s">
        <v>331</v>
      </c>
      <c r="C219" s="1" t="s">
        <v>20</v>
      </c>
      <c r="D219" s="1" t="s">
        <v>47</v>
      </c>
      <c r="E219" s="1" t="s">
        <v>22</v>
      </c>
      <c r="F219" s="1" t="s">
        <v>23</v>
      </c>
      <c r="G219" s="1" t="s">
        <v>12</v>
      </c>
      <c r="H219" s="1" t="s">
        <v>24</v>
      </c>
      <c r="I219" s="1" t="s">
        <v>24</v>
      </c>
      <c r="J219" s="1" t="s">
        <v>25</v>
      </c>
      <c r="K219" s="1" t="s">
        <v>25</v>
      </c>
      <c r="L219" s="1" t="s">
        <v>26</v>
      </c>
      <c r="M219" s="1" t="s">
        <v>25</v>
      </c>
      <c r="N219" s="1" t="s">
        <v>25</v>
      </c>
      <c r="O219" s="1" t="s">
        <v>25</v>
      </c>
      <c r="P219" s="1" t="s">
        <v>25</v>
      </c>
      <c r="Q219" s="1" t="s">
        <v>25</v>
      </c>
      <c r="R219" s="85" t="str">
        <f t="shared" si="12"/>
        <v>2045907</v>
      </c>
      <c r="S219" t="str">
        <f>VLOOKUP(A219,Data_NV!$A:$C,3,0)</f>
        <v xml:space="preserve">Trương Quang Thanh    </v>
      </c>
      <c r="T219" t="str">
        <f>VLOOKUP(A219,Data_NV!$A:$E,4,0)</f>
        <v>Kinh doanh</v>
      </c>
      <c r="U219" s="82">
        <f>DATEVALUE(Table2[[#This Row],[Ngày]])</f>
        <v>45907</v>
      </c>
      <c r="V219" t="str">
        <f>VLOOKUP(A219,Data_NV!$A:$E,5,0)</f>
        <v>Đang làm việc</v>
      </c>
      <c r="W219" s="10">
        <f>VLOOKUP(A219,Data_NV!$A:$I,8,0)</f>
        <v>0.33333333333333331</v>
      </c>
      <c r="X219" s="10">
        <f>VLOOKUP(A219,Data_NV!$A:$I,9,0)</f>
        <v>0.70833333333333337</v>
      </c>
      <c r="Y219" s="10">
        <f>IFERROR(TIMEVALUE(Table2[[#This Row],[Vào]]),0)</f>
        <v>0</v>
      </c>
      <c r="Z219" s="10">
        <f>IFERROR(TIMEVALUE(Table2[[#This Row],[Ra]]),0)</f>
        <v>0</v>
      </c>
      <c r="AA219" t="str">
        <f t="shared" si="13"/>
        <v>Chủ nhật</v>
      </c>
      <c r="AB219" s="105">
        <f t="shared" si="14"/>
        <v>0</v>
      </c>
      <c r="AC219" s="12" t="str">
        <f>IF(VLOOKUP(A219,Data_NV!$A:$I,7,0)="Không","",IF(OR(AND(Y219=0,Z219=0),AND(Y219&lt;&gt;0,Z219&lt;&gt;0)),"","Quên chấm công"))</f>
        <v/>
      </c>
      <c r="AD219" s="12">
        <f>IF(VLOOKUP(A219,Data_NV!$A:$I,7,0)="Không",0,IF(AND(Y219=0,Z219=0),0,IF(X219&lt;=Z219,0,ROUNDDOWN((X219-Z219)*24*60,0))))</f>
        <v>0</v>
      </c>
      <c r="AE219" s="12">
        <f>IF(VLOOKUP(A219,Data_NV!$A:$I,6,0)="Không",0,IF(Z219&lt;=X219,0,ROUNDDOWN((Z219-X219)*24*60,0)))</f>
        <v>0</v>
      </c>
      <c r="AF219" s="26">
        <f t="shared" si="15"/>
        <v>0</v>
      </c>
      <c r="AG219" s="27" t="str">
        <f>IF(AC219="","",IF(COUNTIFS($AC$3:AC219,"Quên chấm công",$S$3:S219,S219)&gt;3,"Không chấm công do vi phạm quá 3 lần",IF(COUNTIFS($AC$3:AC219,"Quên chấm công",$S$3:S219,S219)&gt;2,"Trừ toàn bộ chuyên cần tháng do vi phạm lần 3",IF(COUNTIFS($AC$3:AC219,"Quên chấm công",$S$3:S219,S219)&gt;1,"Trừ 1/2 ngày lương",50000))))</f>
        <v/>
      </c>
      <c r="AH219" s="12" t="str">
        <f>IF(AF219=0,"",IF(COUNTIFS($AF$3:AF219,"&gt;0",$S$3:S219,S219)&gt;3,"Trừ toàn bộ chuyên cần tháng",""))</f>
        <v/>
      </c>
      <c r="AI219" s="12"/>
    </row>
    <row r="220" spans="1:35" x14ac:dyDescent="0.25">
      <c r="A220" s="4" t="s">
        <v>330</v>
      </c>
      <c r="B220" s="1" t="s">
        <v>331</v>
      </c>
      <c r="C220" s="1" t="s">
        <v>20</v>
      </c>
      <c r="D220" s="1" t="s">
        <v>48</v>
      </c>
      <c r="E220" s="1" t="s">
        <v>22</v>
      </c>
      <c r="F220" s="1" t="s">
        <v>23</v>
      </c>
      <c r="G220" s="1" t="s">
        <v>12</v>
      </c>
      <c r="H220" s="1" t="s">
        <v>335</v>
      </c>
      <c r="I220" s="1" t="s">
        <v>24</v>
      </c>
      <c r="J220" s="1" t="s">
        <v>25</v>
      </c>
      <c r="K220" s="1" t="s">
        <v>25</v>
      </c>
      <c r="L220" s="1" t="s">
        <v>26</v>
      </c>
      <c r="M220" s="1" t="s">
        <v>25</v>
      </c>
      <c r="N220" s="1" t="s">
        <v>25</v>
      </c>
      <c r="O220" s="1" t="s">
        <v>25</v>
      </c>
      <c r="P220" s="1" t="s">
        <v>25</v>
      </c>
      <c r="Q220" s="1" t="s">
        <v>25</v>
      </c>
      <c r="R220" s="85" t="str">
        <f t="shared" si="12"/>
        <v>2045908</v>
      </c>
      <c r="S220" t="str">
        <f>VLOOKUP(A220,Data_NV!$A:$C,3,0)</f>
        <v xml:space="preserve">Trương Quang Thanh    </v>
      </c>
      <c r="T220" t="str">
        <f>VLOOKUP(A220,Data_NV!$A:$E,4,0)</f>
        <v>Kinh doanh</v>
      </c>
      <c r="U220" s="82">
        <f>DATEVALUE(Table2[[#This Row],[Ngày]])</f>
        <v>45908</v>
      </c>
      <c r="V220" t="str">
        <f>VLOOKUP(A220,Data_NV!$A:$E,5,0)</f>
        <v>Đang làm việc</v>
      </c>
      <c r="W220" s="10">
        <f>VLOOKUP(A220,Data_NV!$A:$I,8,0)</f>
        <v>0.33333333333333331</v>
      </c>
      <c r="X220" s="10">
        <f>VLOOKUP(A220,Data_NV!$A:$I,9,0)</f>
        <v>0.70833333333333337</v>
      </c>
      <c r="Y220" s="10">
        <f>IFERROR(TIMEVALUE(Table2[[#This Row],[Vào]]),0)</f>
        <v>0.30450231481481482</v>
      </c>
      <c r="Z220" s="10">
        <f>IFERROR(TIMEVALUE(Table2[[#This Row],[Ra]]),0)</f>
        <v>0</v>
      </c>
      <c r="AA220" t="str">
        <f t="shared" si="13"/>
        <v>x</v>
      </c>
      <c r="AB220" s="105">
        <f t="shared" si="14"/>
        <v>0</v>
      </c>
      <c r="AC220" s="12" t="str">
        <f>IF(VLOOKUP(A220,Data_NV!$A:$I,7,0)="Không","",IF(OR(AND(Y220=0,Z220=0),AND(Y220&lt;&gt;0,Z220&lt;&gt;0)),"","Quên chấm công"))</f>
        <v/>
      </c>
      <c r="AD220" s="12">
        <f>IF(VLOOKUP(A220,Data_NV!$A:$I,7,0)="Không",0,IF(AND(Y220=0,Z220=0),0,IF(X220&lt;=Z220,0,ROUNDDOWN((X220-Z220)*24*60,0))))</f>
        <v>0</v>
      </c>
      <c r="AE220" s="12">
        <f>IF(VLOOKUP(A220,Data_NV!$A:$I,6,0)="Không",0,IF(Z220&lt;=X220,0,ROUNDDOWN((Z220-X220)*24*60,0)))</f>
        <v>0</v>
      </c>
      <c r="AF220" s="26">
        <f t="shared" si="15"/>
        <v>0</v>
      </c>
      <c r="AG220" s="27" t="str">
        <f>IF(AC220="","",IF(COUNTIFS($AC$3:AC220,"Quên chấm công",$S$3:S220,S220)&gt;3,"Không chấm công do vi phạm quá 3 lần",IF(COUNTIFS($AC$3:AC220,"Quên chấm công",$S$3:S220,S220)&gt;2,"Trừ toàn bộ chuyên cần tháng do vi phạm lần 3",IF(COUNTIFS($AC$3:AC220,"Quên chấm công",$S$3:S220,S220)&gt;1,"Trừ 1/2 ngày lương",50000))))</f>
        <v/>
      </c>
      <c r="AH220" s="12" t="str">
        <f>IF(AF220=0,"",IF(COUNTIFS($AF$3:AF220,"&gt;0",$S$3:S220,S220)&gt;3,"Trừ toàn bộ chuyên cần tháng",""))</f>
        <v/>
      </c>
      <c r="AI220" s="12"/>
    </row>
    <row r="221" spans="1:35" x14ac:dyDescent="0.25">
      <c r="A221" s="4" t="s">
        <v>330</v>
      </c>
      <c r="B221" s="1" t="s">
        <v>331</v>
      </c>
      <c r="C221" s="1" t="s">
        <v>20</v>
      </c>
      <c r="D221" s="1" t="s">
        <v>53</v>
      </c>
      <c r="E221" s="1" t="s">
        <v>22</v>
      </c>
      <c r="F221" s="1" t="s">
        <v>23</v>
      </c>
      <c r="G221" s="1" t="s">
        <v>12</v>
      </c>
      <c r="H221" s="1" t="s">
        <v>336</v>
      </c>
      <c r="I221" s="1" t="s">
        <v>24</v>
      </c>
      <c r="J221" s="1" t="s">
        <v>25</v>
      </c>
      <c r="K221" s="1" t="s">
        <v>25</v>
      </c>
      <c r="L221" s="1" t="s">
        <v>26</v>
      </c>
      <c r="M221" s="1" t="s">
        <v>25</v>
      </c>
      <c r="N221" s="1" t="s">
        <v>25</v>
      </c>
      <c r="O221" s="1" t="s">
        <v>25</v>
      </c>
      <c r="P221" s="1" t="s">
        <v>25</v>
      </c>
      <c r="Q221" s="1" t="s">
        <v>25</v>
      </c>
      <c r="R221" s="85" t="str">
        <f t="shared" si="12"/>
        <v>2045909</v>
      </c>
      <c r="S221" t="str">
        <f>VLOOKUP(A221,Data_NV!$A:$C,3,0)</f>
        <v xml:space="preserve">Trương Quang Thanh    </v>
      </c>
      <c r="T221" t="str">
        <f>VLOOKUP(A221,Data_NV!$A:$E,4,0)</f>
        <v>Kinh doanh</v>
      </c>
      <c r="U221" s="82">
        <f>DATEVALUE(Table2[[#This Row],[Ngày]])</f>
        <v>45909</v>
      </c>
      <c r="V221" t="str">
        <f>VLOOKUP(A221,Data_NV!$A:$E,5,0)</f>
        <v>Đang làm việc</v>
      </c>
      <c r="W221" s="10">
        <f>VLOOKUP(A221,Data_NV!$A:$I,8,0)</f>
        <v>0.33333333333333331</v>
      </c>
      <c r="X221" s="10">
        <f>VLOOKUP(A221,Data_NV!$A:$I,9,0)</f>
        <v>0.70833333333333337</v>
      </c>
      <c r="Y221" s="10">
        <f>IFERROR(TIMEVALUE(Table2[[#This Row],[Vào]]),0)</f>
        <v>0.32732638888888888</v>
      </c>
      <c r="Z221" s="10">
        <f>IFERROR(TIMEVALUE(Table2[[#This Row],[Ra]]),0)</f>
        <v>0</v>
      </c>
      <c r="AA221" t="str">
        <f t="shared" si="13"/>
        <v>x</v>
      </c>
      <c r="AB221" s="105">
        <f t="shared" si="14"/>
        <v>0</v>
      </c>
      <c r="AC221" s="12" t="str">
        <f>IF(VLOOKUP(A221,Data_NV!$A:$I,7,0)="Không","",IF(OR(AND(Y221=0,Z221=0),AND(Y221&lt;&gt;0,Z221&lt;&gt;0)),"","Quên chấm công"))</f>
        <v/>
      </c>
      <c r="AD221" s="12">
        <f>IF(VLOOKUP(A221,Data_NV!$A:$I,7,0)="Không",0,IF(AND(Y221=0,Z221=0),0,IF(X221&lt;=Z221,0,ROUNDDOWN((X221-Z221)*24*60,0))))</f>
        <v>0</v>
      </c>
      <c r="AE221" s="12">
        <f>IF(VLOOKUP(A221,Data_NV!$A:$I,6,0)="Không",0,IF(Z221&lt;=X221,0,ROUNDDOWN((Z221-X221)*24*60,0)))</f>
        <v>0</v>
      </c>
      <c r="AF221" s="26">
        <f t="shared" si="15"/>
        <v>0</v>
      </c>
      <c r="AG221" s="27" t="str">
        <f>IF(AC221="","",IF(COUNTIFS($AC$3:AC221,"Quên chấm công",$S$3:S221,S221)&gt;3,"Không chấm công do vi phạm quá 3 lần",IF(COUNTIFS($AC$3:AC221,"Quên chấm công",$S$3:S221,S221)&gt;2,"Trừ toàn bộ chuyên cần tháng do vi phạm lần 3",IF(COUNTIFS($AC$3:AC221,"Quên chấm công",$S$3:S221,S221)&gt;1,"Trừ 1/2 ngày lương",50000))))</f>
        <v/>
      </c>
      <c r="AH221" s="12" t="str">
        <f>IF(AF221=0,"",IF(COUNTIFS($AF$3:AF221,"&gt;0",$S$3:S221,S221)&gt;3,"Trừ toàn bộ chuyên cần tháng",""))</f>
        <v/>
      </c>
      <c r="AI221" s="12"/>
    </row>
    <row r="222" spans="1:35" x14ac:dyDescent="0.25">
      <c r="A222" s="4" t="s">
        <v>330</v>
      </c>
      <c r="B222" s="1" t="s">
        <v>331</v>
      </c>
      <c r="C222" s="1" t="s">
        <v>20</v>
      </c>
      <c r="D222" s="1" t="s">
        <v>58</v>
      </c>
      <c r="E222" s="1" t="s">
        <v>22</v>
      </c>
      <c r="F222" s="1" t="s">
        <v>23</v>
      </c>
      <c r="G222" s="1" t="s">
        <v>12</v>
      </c>
      <c r="H222" s="1" t="s">
        <v>337</v>
      </c>
      <c r="I222" s="1" t="s">
        <v>24</v>
      </c>
      <c r="J222" s="1" t="s">
        <v>25</v>
      </c>
      <c r="K222" s="1" t="s">
        <v>25</v>
      </c>
      <c r="L222" s="1" t="s">
        <v>26</v>
      </c>
      <c r="M222" s="1" t="s">
        <v>25</v>
      </c>
      <c r="N222" s="1" t="s">
        <v>25</v>
      </c>
      <c r="O222" s="1" t="s">
        <v>25</v>
      </c>
      <c r="P222" s="1" t="s">
        <v>25</v>
      </c>
      <c r="Q222" s="1" t="s">
        <v>25</v>
      </c>
      <c r="R222" s="85" t="str">
        <f t="shared" si="12"/>
        <v>2045910</v>
      </c>
      <c r="S222" t="str">
        <f>VLOOKUP(A222,Data_NV!$A:$C,3,0)</f>
        <v xml:space="preserve">Trương Quang Thanh    </v>
      </c>
      <c r="T222" t="str">
        <f>VLOOKUP(A222,Data_NV!$A:$E,4,0)</f>
        <v>Kinh doanh</v>
      </c>
      <c r="U222" s="82">
        <f>DATEVALUE(Table2[[#This Row],[Ngày]])</f>
        <v>45910</v>
      </c>
      <c r="V222" t="str">
        <f>VLOOKUP(A222,Data_NV!$A:$E,5,0)</f>
        <v>Đang làm việc</v>
      </c>
      <c r="W222" s="10">
        <f>VLOOKUP(A222,Data_NV!$A:$I,8,0)</f>
        <v>0.33333333333333331</v>
      </c>
      <c r="X222" s="10">
        <f>VLOOKUP(A222,Data_NV!$A:$I,9,0)</f>
        <v>0.70833333333333337</v>
      </c>
      <c r="Y222" s="10">
        <f>IFERROR(TIMEVALUE(Table2[[#This Row],[Vào]]),0)</f>
        <v>0.32385416666666667</v>
      </c>
      <c r="Z222" s="10">
        <f>IFERROR(TIMEVALUE(Table2[[#This Row],[Ra]]),0)</f>
        <v>0</v>
      </c>
      <c r="AA222" t="str">
        <f t="shared" si="13"/>
        <v>x</v>
      </c>
      <c r="AB222" s="105">
        <f t="shared" si="14"/>
        <v>0</v>
      </c>
      <c r="AC222" s="12" t="str">
        <f>IF(VLOOKUP(A222,Data_NV!$A:$I,7,0)="Không","",IF(OR(AND(Y222=0,Z222=0),AND(Y222&lt;&gt;0,Z222&lt;&gt;0)),"","Quên chấm công"))</f>
        <v/>
      </c>
      <c r="AD222" s="12">
        <f>IF(VLOOKUP(A222,Data_NV!$A:$I,7,0)="Không",0,IF(AND(Y222=0,Z222=0),0,IF(X222&lt;=Z222,0,ROUNDDOWN((X222-Z222)*24*60,0))))</f>
        <v>0</v>
      </c>
      <c r="AE222" s="12">
        <f>IF(VLOOKUP(A222,Data_NV!$A:$I,6,0)="Không",0,IF(Z222&lt;=X222,0,ROUNDDOWN((Z222-X222)*24*60,0)))</f>
        <v>0</v>
      </c>
      <c r="AF222" s="26">
        <f t="shared" si="15"/>
        <v>0</v>
      </c>
      <c r="AG222" s="27" t="str">
        <f>IF(AC222="","",IF(COUNTIFS($AC$3:AC222,"Quên chấm công",$S$3:S222,S222)&gt;3,"Không chấm công do vi phạm quá 3 lần",IF(COUNTIFS($AC$3:AC222,"Quên chấm công",$S$3:S222,S222)&gt;2,"Trừ toàn bộ chuyên cần tháng do vi phạm lần 3",IF(COUNTIFS($AC$3:AC222,"Quên chấm công",$S$3:S222,S222)&gt;1,"Trừ 1/2 ngày lương",50000))))</f>
        <v/>
      </c>
      <c r="AH222" s="12" t="str">
        <f>IF(AF222=0,"",IF(COUNTIFS($AF$3:AF222,"&gt;0",$S$3:S222,S222)&gt;3,"Trừ toàn bộ chuyên cần tháng",""))</f>
        <v/>
      </c>
      <c r="AI222" s="12"/>
    </row>
    <row r="223" spans="1:35" x14ac:dyDescent="0.25">
      <c r="A223" s="4" t="s">
        <v>330</v>
      </c>
      <c r="B223" s="1" t="s">
        <v>331</v>
      </c>
      <c r="C223" s="1" t="s">
        <v>20</v>
      </c>
      <c r="D223" s="1" t="s">
        <v>63</v>
      </c>
      <c r="E223" s="1" t="s">
        <v>22</v>
      </c>
      <c r="F223" s="1" t="s">
        <v>23</v>
      </c>
      <c r="G223" s="1" t="s">
        <v>12</v>
      </c>
      <c r="H223" s="1" t="s">
        <v>338</v>
      </c>
      <c r="I223" s="1" t="s">
        <v>24</v>
      </c>
      <c r="J223" s="1" t="s">
        <v>25</v>
      </c>
      <c r="K223" s="1" t="s">
        <v>25</v>
      </c>
      <c r="L223" s="1" t="s">
        <v>26</v>
      </c>
      <c r="M223" s="1" t="s">
        <v>25</v>
      </c>
      <c r="N223" s="1" t="s">
        <v>25</v>
      </c>
      <c r="O223" s="1" t="s">
        <v>25</v>
      </c>
      <c r="P223" s="1" t="s">
        <v>25</v>
      </c>
      <c r="Q223" s="1" t="s">
        <v>25</v>
      </c>
      <c r="R223" s="85" t="str">
        <f t="shared" si="12"/>
        <v>2045911</v>
      </c>
      <c r="S223" t="str">
        <f>VLOOKUP(A223,Data_NV!$A:$C,3,0)</f>
        <v xml:space="preserve">Trương Quang Thanh    </v>
      </c>
      <c r="T223" t="str">
        <f>VLOOKUP(A223,Data_NV!$A:$E,4,0)</f>
        <v>Kinh doanh</v>
      </c>
      <c r="U223" s="82">
        <f>DATEVALUE(Table2[[#This Row],[Ngày]])</f>
        <v>45911</v>
      </c>
      <c r="V223" t="str">
        <f>VLOOKUP(A223,Data_NV!$A:$E,5,0)</f>
        <v>Đang làm việc</v>
      </c>
      <c r="W223" s="10">
        <f>VLOOKUP(A223,Data_NV!$A:$I,8,0)</f>
        <v>0.33333333333333331</v>
      </c>
      <c r="X223" s="10">
        <f>VLOOKUP(A223,Data_NV!$A:$I,9,0)</f>
        <v>0.70833333333333337</v>
      </c>
      <c r="Y223" s="10">
        <f>IFERROR(TIMEVALUE(Table2[[#This Row],[Vào]]),0)</f>
        <v>0.32715277777777779</v>
      </c>
      <c r="Z223" s="10">
        <f>IFERROR(TIMEVALUE(Table2[[#This Row],[Ra]]),0)</f>
        <v>0</v>
      </c>
      <c r="AA223" t="str">
        <f t="shared" si="13"/>
        <v>x</v>
      </c>
      <c r="AB223" s="105">
        <f t="shared" si="14"/>
        <v>0</v>
      </c>
      <c r="AC223" s="12" t="str">
        <f>IF(VLOOKUP(A223,Data_NV!$A:$I,7,0)="Không","",IF(OR(AND(Y223=0,Z223=0),AND(Y223&lt;&gt;0,Z223&lt;&gt;0)),"","Quên chấm công"))</f>
        <v/>
      </c>
      <c r="AD223" s="12">
        <f>IF(VLOOKUP(A223,Data_NV!$A:$I,7,0)="Không",0,IF(AND(Y223=0,Z223=0),0,IF(X223&lt;=Z223,0,ROUNDDOWN((X223-Z223)*24*60,0))))</f>
        <v>0</v>
      </c>
      <c r="AE223" s="12">
        <f>IF(VLOOKUP(A223,Data_NV!$A:$I,6,0)="Không",0,IF(Z223&lt;=X223,0,ROUNDDOWN((Z223-X223)*24*60,0)))</f>
        <v>0</v>
      </c>
      <c r="AF223" s="26">
        <f t="shared" si="15"/>
        <v>0</v>
      </c>
      <c r="AG223" s="27" t="str">
        <f>IF(AC223="","",IF(COUNTIFS($AC$3:AC223,"Quên chấm công",$S$3:S223,S223)&gt;3,"Không chấm công do vi phạm quá 3 lần",IF(COUNTIFS($AC$3:AC223,"Quên chấm công",$S$3:S223,S223)&gt;2,"Trừ toàn bộ chuyên cần tháng do vi phạm lần 3",IF(COUNTIFS($AC$3:AC223,"Quên chấm công",$S$3:S223,S223)&gt;1,"Trừ 1/2 ngày lương",50000))))</f>
        <v/>
      </c>
      <c r="AH223" s="12" t="str">
        <f>IF(AF223=0,"",IF(COUNTIFS($AF$3:AF223,"&gt;0",$S$3:S223,S223)&gt;3,"Trừ toàn bộ chuyên cần tháng",""))</f>
        <v/>
      </c>
      <c r="AI223" s="12"/>
    </row>
    <row r="224" spans="1:35" x14ac:dyDescent="0.25">
      <c r="A224" s="4" t="s">
        <v>330</v>
      </c>
      <c r="B224" s="1" t="s">
        <v>331</v>
      </c>
      <c r="C224" s="1" t="s">
        <v>20</v>
      </c>
      <c r="D224" s="1" t="s">
        <v>67</v>
      </c>
      <c r="E224" s="1" t="s">
        <v>22</v>
      </c>
      <c r="F224" s="1" t="s">
        <v>23</v>
      </c>
      <c r="G224" s="1" t="s">
        <v>12</v>
      </c>
      <c r="H224" s="1" t="s">
        <v>24</v>
      </c>
      <c r="I224" s="1" t="s">
        <v>24</v>
      </c>
      <c r="J224" s="1" t="s">
        <v>25</v>
      </c>
      <c r="K224" s="1" t="s">
        <v>25</v>
      </c>
      <c r="L224" s="1" t="s">
        <v>26</v>
      </c>
      <c r="M224" s="1" t="s">
        <v>25</v>
      </c>
      <c r="N224" s="1" t="s">
        <v>25</v>
      </c>
      <c r="O224" s="1" t="s">
        <v>25</v>
      </c>
      <c r="P224" s="1" t="s">
        <v>25</v>
      </c>
      <c r="Q224" s="1" t="s">
        <v>25</v>
      </c>
      <c r="R224" s="85" t="str">
        <f t="shared" si="12"/>
        <v>2045912</v>
      </c>
      <c r="S224" t="str">
        <f>VLOOKUP(A224,Data_NV!$A:$C,3,0)</f>
        <v xml:space="preserve">Trương Quang Thanh    </v>
      </c>
      <c r="T224" t="str">
        <f>VLOOKUP(A224,Data_NV!$A:$E,4,0)</f>
        <v>Kinh doanh</v>
      </c>
      <c r="U224" s="82">
        <f>DATEVALUE(Table2[[#This Row],[Ngày]])</f>
        <v>45912</v>
      </c>
      <c r="V224" t="str">
        <f>VLOOKUP(A224,Data_NV!$A:$E,5,0)</f>
        <v>Đang làm việc</v>
      </c>
      <c r="W224" s="10">
        <f>VLOOKUP(A224,Data_NV!$A:$I,8,0)</f>
        <v>0.33333333333333331</v>
      </c>
      <c r="X224" s="10">
        <f>VLOOKUP(A224,Data_NV!$A:$I,9,0)</f>
        <v>0.70833333333333337</v>
      </c>
      <c r="Y224" s="10">
        <f>IFERROR(TIMEVALUE(Table2[[#This Row],[Vào]]),0)</f>
        <v>0</v>
      </c>
      <c r="Z224" s="10">
        <f>IFERROR(TIMEVALUE(Table2[[#This Row],[Ra]]),0)</f>
        <v>0</v>
      </c>
      <c r="AA224" t="s">
        <v>1341</v>
      </c>
      <c r="AB224" s="105">
        <f t="shared" si="14"/>
        <v>0</v>
      </c>
      <c r="AC224" s="12" t="str">
        <f>IF(VLOOKUP(A224,Data_NV!$A:$I,7,0)="Không","",IF(OR(AND(Y224=0,Z224=0),AND(Y224&lt;&gt;0,Z224&lt;&gt;0)),"","Quên chấm công"))</f>
        <v/>
      </c>
      <c r="AD224" s="12">
        <f>IF(VLOOKUP(A224,Data_NV!$A:$I,7,0)="Không",0,IF(AND(Y224=0,Z224=0),0,IF(X224&lt;=Z224,0,ROUNDDOWN((X224-Z224)*24*60,0))))</f>
        <v>0</v>
      </c>
      <c r="AE224" s="12">
        <f>IF(VLOOKUP(A224,Data_NV!$A:$I,6,0)="Không",0,IF(Z224&lt;=X224,0,ROUNDDOWN((Z224-X224)*24*60,0)))</f>
        <v>0</v>
      </c>
      <c r="AF224" s="26">
        <f t="shared" si="15"/>
        <v>0</v>
      </c>
      <c r="AG224" s="27" t="str">
        <f>IF(AC224="","",IF(COUNTIFS($AC$3:AC224,"Quên chấm công",$S$3:S224,S224)&gt;3,"Không chấm công do vi phạm quá 3 lần",IF(COUNTIFS($AC$3:AC224,"Quên chấm công",$S$3:S224,S224)&gt;2,"Trừ toàn bộ chuyên cần tháng do vi phạm lần 3",IF(COUNTIFS($AC$3:AC224,"Quên chấm công",$S$3:S224,S224)&gt;1,"Trừ 1/2 ngày lương",50000))))</f>
        <v/>
      </c>
      <c r="AH224" s="12" t="str">
        <f>IF(AF224=0,"",IF(COUNTIFS($AF$3:AF224,"&gt;0",$S$3:S224,S224)&gt;3,"Trừ toàn bộ chuyên cần tháng",""))</f>
        <v/>
      </c>
      <c r="AI224" s="12" t="s">
        <v>1377</v>
      </c>
    </row>
    <row r="225" spans="1:35" x14ac:dyDescent="0.25">
      <c r="A225" s="4" t="s">
        <v>330</v>
      </c>
      <c r="B225" s="1" t="s">
        <v>331</v>
      </c>
      <c r="C225" s="1" t="s">
        <v>20</v>
      </c>
      <c r="D225" s="1" t="s">
        <v>69</v>
      </c>
      <c r="E225" s="1" t="s">
        <v>22</v>
      </c>
      <c r="F225" s="1" t="s">
        <v>23</v>
      </c>
      <c r="G225" s="1" t="s">
        <v>12</v>
      </c>
      <c r="H225" s="1" t="s">
        <v>339</v>
      </c>
      <c r="I225" s="1" t="s">
        <v>24</v>
      </c>
      <c r="J225" s="1" t="s">
        <v>25</v>
      </c>
      <c r="K225" s="1" t="s">
        <v>25</v>
      </c>
      <c r="L225" s="1" t="s">
        <v>26</v>
      </c>
      <c r="M225" s="1" t="s">
        <v>25</v>
      </c>
      <c r="N225" s="1" t="s">
        <v>25</v>
      </c>
      <c r="O225" s="1" t="s">
        <v>25</v>
      </c>
      <c r="P225" s="1" t="s">
        <v>25</v>
      </c>
      <c r="Q225" s="1" t="s">
        <v>25</v>
      </c>
      <c r="R225" s="85" t="str">
        <f t="shared" si="12"/>
        <v>2045913</v>
      </c>
      <c r="S225" t="str">
        <f>VLOOKUP(A225,Data_NV!$A:$C,3,0)</f>
        <v xml:space="preserve">Trương Quang Thanh    </v>
      </c>
      <c r="T225" t="str">
        <f>VLOOKUP(A225,Data_NV!$A:$E,4,0)</f>
        <v>Kinh doanh</v>
      </c>
      <c r="U225" s="82">
        <f>DATEVALUE(Table2[[#This Row],[Ngày]])</f>
        <v>45913</v>
      </c>
      <c r="V225" t="str">
        <f>VLOOKUP(A225,Data_NV!$A:$E,5,0)</f>
        <v>Đang làm việc</v>
      </c>
      <c r="W225" s="10">
        <f>VLOOKUP(A225,Data_NV!$A:$I,8,0)</f>
        <v>0.33333333333333331</v>
      </c>
      <c r="X225" s="10">
        <f>VLOOKUP(A225,Data_NV!$A:$I,9,0)</f>
        <v>0.70833333333333337</v>
      </c>
      <c r="Y225" s="10">
        <f>IFERROR(TIMEVALUE(Table2[[#This Row],[Vào]]),0)</f>
        <v>0.32283564814814814</v>
      </c>
      <c r="Z225" s="10">
        <f>IFERROR(TIMEVALUE(Table2[[#This Row],[Ra]]),0)</f>
        <v>0</v>
      </c>
      <c r="AA225" t="str">
        <f t="shared" si="13"/>
        <v>x</v>
      </c>
      <c r="AB225" s="105">
        <f t="shared" si="14"/>
        <v>0</v>
      </c>
      <c r="AC225" s="12" t="str">
        <f>IF(VLOOKUP(A225,Data_NV!$A:$I,7,0)="Không","",IF(OR(AND(Y225=0,Z225=0),AND(Y225&lt;&gt;0,Z225&lt;&gt;0)),"","Quên chấm công"))</f>
        <v/>
      </c>
      <c r="AD225" s="12">
        <f>IF(VLOOKUP(A225,Data_NV!$A:$I,7,0)="Không",0,IF(AND(Y225=0,Z225=0),0,IF(X225&lt;=Z225,0,ROUNDDOWN((X225-Z225)*24*60,0))))</f>
        <v>0</v>
      </c>
      <c r="AE225" s="12">
        <f>IF(VLOOKUP(A225,Data_NV!$A:$I,6,0)="Không",0,IF(Z225&lt;=X225,0,ROUNDDOWN((Z225-X225)*24*60,0)))</f>
        <v>0</v>
      </c>
      <c r="AF225" s="26">
        <f t="shared" si="15"/>
        <v>0</v>
      </c>
      <c r="AG225" s="27" t="str">
        <f>IF(AC225="","",IF(COUNTIFS($AC$3:AC225,"Quên chấm công",$S$3:S225,S225)&gt;3,"Không chấm công do vi phạm quá 3 lần",IF(COUNTIFS($AC$3:AC225,"Quên chấm công",$S$3:S225,S225)&gt;2,"Trừ toàn bộ chuyên cần tháng do vi phạm lần 3",IF(COUNTIFS($AC$3:AC225,"Quên chấm công",$S$3:S225,S225)&gt;1,"Trừ 1/2 ngày lương",50000))))</f>
        <v/>
      </c>
      <c r="AH225" s="12" t="str">
        <f>IF(AF225=0,"",IF(COUNTIFS($AF$3:AF225,"&gt;0",$S$3:S225,S225)&gt;3,"Trừ toàn bộ chuyên cần tháng",""))</f>
        <v/>
      </c>
      <c r="AI225" s="12"/>
    </row>
    <row r="226" spans="1:35" x14ac:dyDescent="0.25">
      <c r="A226" s="4" t="s">
        <v>330</v>
      </c>
      <c r="B226" s="1" t="s">
        <v>331</v>
      </c>
      <c r="C226" s="1" t="s">
        <v>20</v>
      </c>
      <c r="D226" s="1" t="s">
        <v>74</v>
      </c>
      <c r="E226" s="1" t="s">
        <v>22</v>
      </c>
      <c r="F226" s="1" t="s">
        <v>23</v>
      </c>
      <c r="G226" s="1" t="s">
        <v>12</v>
      </c>
      <c r="H226" s="1" t="s">
        <v>24</v>
      </c>
      <c r="I226" s="1" t="s">
        <v>24</v>
      </c>
      <c r="J226" s="1" t="s">
        <v>25</v>
      </c>
      <c r="K226" s="1" t="s">
        <v>25</v>
      </c>
      <c r="L226" s="1" t="s">
        <v>26</v>
      </c>
      <c r="M226" s="1" t="s">
        <v>25</v>
      </c>
      <c r="N226" s="1" t="s">
        <v>25</v>
      </c>
      <c r="O226" s="1" t="s">
        <v>25</v>
      </c>
      <c r="P226" s="1" t="s">
        <v>25</v>
      </c>
      <c r="Q226" s="1" t="s">
        <v>25</v>
      </c>
      <c r="R226" s="85" t="str">
        <f t="shared" si="12"/>
        <v>2045914</v>
      </c>
      <c r="S226" t="str">
        <f>VLOOKUP(A226,Data_NV!$A:$C,3,0)</f>
        <v xml:space="preserve">Trương Quang Thanh    </v>
      </c>
      <c r="T226" t="str">
        <f>VLOOKUP(A226,Data_NV!$A:$E,4,0)</f>
        <v>Kinh doanh</v>
      </c>
      <c r="U226" s="82">
        <f>DATEVALUE(Table2[[#This Row],[Ngày]])</f>
        <v>45914</v>
      </c>
      <c r="V226" t="str">
        <f>VLOOKUP(A226,Data_NV!$A:$E,5,0)</f>
        <v>Đang làm việc</v>
      </c>
      <c r="W226" s="10">
        <f>VLOOKUP(A226,Data_NV!$A:$I,8,0)</f>
        <v>0.33333333333333331</v>
      </c>
      <c r="X226" s="10">
        <f>VLOOKUP(A226,Data_NV!$A:$I,9,0)</f>
        <v>0.70833333333333337</v>
      </c>
      <c r="Y226" s="10">
        <f>IFERROR(TIMEVALUE(Table2[[#This Row],[Vào]]),0)</f>
        <v>0</v>
      </c>
      <c r="Z226" s="10">
        <f>IFERROR(TIMEVALUE(Table2[[#This Row],[Ra]]),0)</f>
        <v>0</v>
      </c>
      <c r="AA226" t="str">
        <f t="shared" si="13"/>
        <v>Chủ nhật</v>
      </c>
      <c r="AB226" s="105">
        <f t="shared" si="14"/>
        <v>0</v>
      </c>
      <c r="AC226" s="12" t="str">
        <f>IF(VLOOKUP(A226,Data_NV!$A:$I,7,0)="Không","",IF(OR(AND(Y226=0,Z226=0),AND(Y226&lt;&gt;0,Z226&lt;&gt;0)),"","Quên chấm công"))</f>
        <v/>
      </c>
      <c r="AD226" s="12">
        <f>IF(VLOOKUP(A226,Data_NV!$A:$I,7,0)="Không",0,IF(AND(Y226=0,Z226=0),0,IF(X226&lt;=Z226,0,ROUNDDOWN((X226-Z226)*24*60,0))))</f>
        <v>0</v>
      </c>
      <c r="AE226" s="12">
        <f>IF(VLOOKUP(A226,Data_NV!$A:$I,6,0)="Không",0,IF(Z226&lt;=X226,0,ROUNDDOWN((Z226-X226)*24*60,0)))</f>
        <v>0</v>
      </c>
      <c r="AF226" s="26">
        <f t="shared" si="15"/>
        <v>0</v>
      </c>
      <c r="AG226" s="27" t="str">
        <f>IF(AC226="","",IF(COUNTIFS($AC$3:AC226,"Quên chấm công",$S$3:S226,S226)&gt;3,"Không chấm công do vi phạm quá 3 lần",IF(COUNTIFS($AC$3:AC226,"Quên chấm công",$S$3:S226,S226)&gt;2,"Trừ toàn bộ chuyên cần tháng do vi phạm lần 3",IF(COUNTIFS($AC$3:AC226,"Quên chấm công",$S$3:S226,S226)&gt;1,"Trừ 1/2 ngày lương",50000))))</f>
        <v/>
      </c>
      <c r="AH226" s="12" t="str">
        <f>IF(AF226=0,"",IF(COUNTIFS($AF$3:AF226,"&gt;0",$S$3:S226,S226)&gt;3,"Trừ toàn bộ chuyên cần tháng",""))</f>
        <v/>
      </c>
      <c r="AI226" s="12"/>
    </row>
    <row r="227" spans="1:35" x14ac:dyDescent="0.25">
      <c r="A227" s="4" t="s">
        <v>330</v>
      </c>
      <c r="B227" s="1" t="s">
        <v>331</v>
      </c>
      <c r="C227" s="1" t="s">
        <v>20</v>
      </c>
      <c r="D227" s="1" t="s">
        <v>75</v>
      </c>
      <c r="E227" s="1" t="s">
        <v>22</v>
      </c>
      <c r="F227" s="1" t="s">
        <v>23</v>
      </c>
      <c r="G227" s="1" t="s">
        <v>12</v>
      </c>
      <c r="H227" s="1" t="s">
        <v>340</v>
      </c>
      <c r="I227" s="1" t="s">
        <v>24</v>
      </c>
      <c r="J227" s="1" t="s">
        <v>25</v>
      </c>
      <c r="K227" s="1" t="s">
        <v>25</v>
      </c>
      <c r="L227" s="1" t="s">
        <v>26</v>
      </c>
      <c r="M227" s="1" t="s">
        <v>25</v>
      </c>
      <c r="N227" s="1" t="s">
        <v>25</v>
      </c>
      <c r="O227" s="1" t="s">
        <v>25</v>
      </c>
      <c r="P227" s="1" t="s">
        <v>25</v>
      </c>
      <c r="Q227" s="1" t="s">
        <v>25</v>
      </c>
      <c r="R227" s="85" t="str">
        <f t="shared" si="12"/>
        <v>2045915</v>
      </c>
      <c r="S227" t="str">
        <f>VLOOKUP(A227,Data_NV!$A:$C,3,0)</f>
        <v xml:space="preserve">Trương Quang Thanh    </v>
      </c>
      <c r="T227" t="str">
        <f>VLOOKUP(A227,Data_NV!$A:$E,4,0)</f>
        <v>Kinh doanh</v>
      </c>
      <c r="U227" s="82">
        <f>DATEVALUE(Table2[[#This Row],[Ngày]])</f>
        <v>45915</v>
      </c>
      <c r="V227" t="str">
        <f>VLOOKUP(A227,Data_NV!$A:$E,5,0)</f>
        <v>Đang làm việc</v>
      </c>
      <c r="W227" s="10">
        <f>VLOOKUP(A227,Data_NV!$A:$I,8,0)</f>
        <v>0.33333333333333331</v>
      </c>
      <c r="X227" s="10">
        <f>VLOOKUP(A227,Data_NV!$A:$I,9,0)</f>
        <v>0.70833333333333337</v>
      </c>
      <c r="Y227" s="10">
        <f>IFERROR(TIMEVALUE(Table2[[#This Row],[Vào]]),0)</f>
        <v>0.330625</v>
      </c>
      <c r="Z227" s="10">
        <f>IFERROR(TIMEVALUE(Table2[[#This Row],[Ra]]),0)</f>
        <v>0</v>
      </c>
      <c r="AA227" t="str">
        <f t="shared" si="13"/>
        <v>x</v>
      </c>
      <c r="AB227" s="105">
        <f t="shared" si="14"/>
        <v>0</v>
      </c>
      <c r="AC227" s="12" t="str">
        <f>IF(VLOOKUP(A227,Data_NV!$A:$I,7,0)="Không","",IF(OR(AND(Y227=0,Z227=0),AND(Y227&lt;&gt;0,Z227&lt;&gt;0)),"","Quên chấm công"))</f>
        <v/>
      </c>
      <c r="AD227" s="12">
        <f>IF(VLOOKUP(A227,Data_NV!$A:$I,7,0)="Không",0,IF(AND(Y227=0,Z227=0),0,IF(X227&lt;=Z227,0,ROUNDDOWN((X227-Z227)*24*60,0))))</f>
        <v>0</v>
      </c>
      <c r="AE227" s="12">
        <f>IF(VLOOKUP(A227,Data_NV!$A:$I,6,0)="Không",0,IF(Z227&lt;=X227,0,ROUNDDOWN((Z227-X227)*24*60,0)))</f>
        <v>0</v>
      </c>
      <c r="AF227" s="26">
        <f t="shared" si="15"/>
        <v>0</v>
      </c>
      <c r="AG227" s="27" t="str">
        <f>IF(AC227="","",IF(COUNTIFS($AC$3:AC227,"Quên chấm công",$S$3:S227,S227)&gt;3,"Không chấm công do vi phạm quá 3 lần",IF(COUNTIFS($AC$3:AC227,"Quên chấm công",$S$3:S227,S227)&gt;2,"Trừ toàn bộ chuyên cần tháng do vi phạm lần 3",IF(COUNTIFS($AC$3:AC227,"Quên chấm công",$S$3:S227,S227)&gt;1,"Trừ 1/2 ngày lương",50000))))</f>
        <v/>
      </c>
      <c r="AH227" s="12" t="str">
        <f>IF(AF227=0,"",IF(COUNTIFS($AF$3:AF227,"&gt;0",$S$3:S227,S227)&gt;3,"Trừ toàn bộ chuyên cần tháng",""))</f>
        <v/>
      </c>
      <c r="AI227" s="12"/>
    </row>
    <row r="228" spans="1:35" x14ac:dyDescent="0.25">
      <c r="A228" s="4" t="s">
        <v>330</v>
      </c>
      <c r="B228" s="1" t="s">
        <v>331</v>
      </c>
      <c r="C228" s="1" t="s">
        <v>20</v>
      </c>
      <c r="D228" s="1" t="s">
        <v>80</v>
      </c>
      <c r="E228" s="1" t="s">
        <v>22</v>
      </c>
      <c r="F228" s="1" t="s">
        <v>23</v>
      </c>
      <c r="G228" s="1" t="s">
        <v>12</v>
      </c>
      <c r="H228" s="1" t="s">
        <v>341</v>
      </c>
      <c r="I228" s="1" t="s">
        <v>24</v>
      </c>
      <c r="J228" s="1" t="s">
        <v>25</v>
      </c>
      <c r="K228" s="1" t="s">
        <v>25</v>
      </c>
      <c r="L228" s="1" t="s">
        <v>26</v>
      </c>
      <c r="M228" s="1" t="s">
        <v>25</v>
      </c>
      <c r="N228" s="1" t="s">
        <v>25</v>
      </c>
      <c r="O228" s="1" t="s">
        <v>25</v>
      </c>
      <c r="P228" s="1" t="s">
        <v>25</v>
      </c>
      <c r="Q228" s="1" t="s">
        <v>25</v>
      </c>
      <c r="R228" s="85" t="str">
        <f t="shared" si="12"/>
        <v>2045916</v>
      </c>
      <c r="S228" t="str">
        <f>VLOOKUP(A228,Data_NV!$A:$C,3,0)</f>
        <v xml:space="preserve">Trương Quang Thanh    </v>
      </c>
      <c r="T228" t="str">
        <f>VLOOKUP(A228,Data_NV!$A:$E,4,0)</f>
        <v>Kinh doanh</v>
      </c>
      <c r="U228" s="82">
        <f>DATEVALUE(Table2[[#This Row],[Ngày]])</f>
        <v>45916</v>
      </c>
      <c r="V228" t="str">
        <f>VLOOKUP(A228,Data_NV!$A:$E,5,0)</f>
        <v>Đang làm việc</v>
      </c>
      <c r="W228" s="10">
        <f>VLOOKUP(A228,Data_NV!$A:$I,8,0)</f>
        <v>0.33333333333333331</v>
      </c>
      <c r="X228" s="10">
        <f>VLOOKUP(A228,Data_NV!$A:$I,9,0)</f>
        <v>0.70833333333333337</v>
      </c>
      <c r="Y228" s="10">
        <f>IFERROR(TIMEVALUE(Table2[[#This Row],[Vào]]),0)</f>
        <v>0.33137731481481481</v>
      </c>
      <c r="Z228" s="10">
        <f>IFERROR(TIMEVALUE(Table2[[#This Row],[Ra]]),0)</f>
        <v>0</v>
      </c>
      <c r="AA228" t="str">
        <f t="shared" si="13"/>
        <v>x</v>
      </c>
      <c r="AB228" s="105">
        <f t="shared" si="14"/>
        <v>0</v>
      </c>
      <c r="AC228" s="12" t="str">
        <f>IF(VLOOKUP(A228,Data_NV!$A:$I,7,0)="Không","",IF(OR(AND(Y228=0,Z228=0),AND(Y228&lt;&gt;0,Z228&lt;&gt;0)),"","Quên chấm công"))</f>
        <v/>
      </c>
      <c r="AD228" s="12">
        <f>IF(VLOOKUP(A228,Data_NV!$A:$I,7,0)="Không",0,IF(AND(Y228=0,Z228=0),0,IF(X228&lt;=Z228,0,ROUNDDOWN((X228-Z228)*24*60,0))))</f>
        <v>0</v>
      </c>
      <c r="AE228" s="12">
        <f>IF(VLOOKUP(A228,Data_NV!$A:$I,6,0)="Không",0,IF(Z228&lt;=X228,0,ROUNDDOWN((Z228-X228)*24*60,0)))</f>
        <v>0</v>
      </c>
      <c r="AF228" s="26">
        <f t="shared" si="15"/>
        <v>0</v>
      </c>
      <c r="AG228" s="27" t="str">
        <f>IF(AC228="","",IF(COUNTIFS($AC$3:AC228,"Quên chấm công",$S$3:S228,S228)&gt;3,"Không chấm công do vi phạm quá 3 lần",IF(COUNTIFS($AC$3:AC228,"Quên chấm công",$S$3:S228,S228)&gt;2,"Trừ toàn bộ chuyên cần tháng do vi phạm lần 3",IF(COUNTIFS($AC$3:AC228,"Quên chấm công",$S$3:S228,S228)&gt;1,"Trừ 1/2 ngày lương",50000))))</f>
        <v/>
      </c>
      <c r="AH228" s="12" t="str">
        <f>IF(AF228=0,"",IF(COUNTIFS($AF$3:AF228,"&gt;0",$S$3:S228,S228)&gt;3,"Trừ toàn bộ chuyên cần tháng",""))</f>
        <v/>
      </c>
      <c r="AI228" s="12"/>
    </row>
    <row r="229" spans="1:35" x14ac:dyDescent="0.25">
      <c r="A229" s="4" t="s">
        <v>330</v>
      </c>
      <c r="B229" s="1" t="s">
        <v>331</v>
      </c>
      <c r="C229" s="1" t="s">
        <v>20</v>
      </c>
      <c r="D229" s="1" t="s">
        <v>85</v>
      </c>
      <c r="E229" s="1" t="s">
        <v>22</v>
      </c>
      <c r="F229" s="1" t="s">
        <v>23</v>
      </c>
      <c r="G229" s="1" t="s">
        <v>12</v>
      </c>
      <c r="H229" s="1" t="s">
        <v>342</v>
      </c>
      <c r="I229" s="1" t="s">
        <v>24</v>
      </c>
      <c r="J229" s="1" t="s">
        <v>25</v>
      </c>
      <c r="K229" s="1" t="s">
        <v>25</v>
      </c>
      <c r="L229" s="1" t="s">
        <v>26</v>
      </c>
      <c r="M229" s="1" t="s">
        <v>25</v>
      </c>
      <c r="N229" s="1" t="s">
        <v>25</v>
      </c>
      <c r="O229" s="1" t="s">
        <v>25</v>
      </c>
      <c r="P229" s="1" t="s">
        <v>25</v>
      </c>
      <c r="Q229" s="1" t="s">
        <v>25</v>
      </c>
      <c r="R229" s="85" t="str">
        <f t="shared" si="12"/>
        <v>2045917</v>
      </c>
      <c r="S229" t="str">
        <f>VLOOKUP(A229,Data_NV!$A:$C,3,0)</f>
        <v xml:space="preserve">Trương Quang Thanh    </v>
      </c>
      <c r="T229" t="str">
        <f>VLOOKUP(A229,Data_NV!$A:$E,4,0)</f>
        <v>Kinh doanh</v>
      </c>
      <c r="U229" s="82">
        <f>DATEVALUE(Table2[[#This Row],[Ngày]])</f>
        <v>45917</v>
      </c>
      <c r="V229" t="str">
        <f>VLOOKUP(A229,Data_NV!$A:$E,5,0)</f>
        <v>Đang làm việc</v>
      </c>
      <c r="W229" s="10">
        <f>VLOOKUP(A229,Data_NV!$A:$I,8,0)</f>
        <v>0.33333333333333331</v>
      </c>
      <c r="X229" s="10">
        <f>VLOOKUP(A229,Data_NV!$A:$I,9,0)</f>
        <v>0.70833333333333337</v>
      </c>
      <c r="Y229" s="10">
        <f>IFERROR(TIMEVALUE(Table2[[#This Row],[Vào]]),0)</f>
        <v>0.3298611111111111</v>
      </c>
      <c r="Z229" s="10">
        <f>IFERROR(TIMEVALUE(Table2[[#This Row],[Ra]]),0)</f>
        <v>0</v>
      </c>
      <c r="AA229" t="str">
        <f t="shared" si="13"/>
        <v>x</v>
      </c>
      <c r="AB229" s="105">
        <f t="shared" si="14"/>
        <v>0</v>
      </c>
      <c r="AC229" s="12" t="str">
        <f>IF(VLOOKUP(A229,Data_NV!$A:$I,7,0)="Không","",IF(OR(AND(Y229=0,Z229=0),AND(Y229&lt;&gt;0,Z229&lt;&gt;0)),"","Quên chấm công"))</f>
        <v/>
      </c>
      <c r="AD229" s="12">
        <f>IF(VLOOKUP(A229,Data_NV!$A:$I,7,0)="Không",0,IF(AND(Y229=0,Z229=0),0,IF(X229&lt;=Z229,0,ROUNDDOWN((X229-Z229)*24*60,0))))</f>
        <v>0</v>
      </c>
      <c r="AE229" s="12">
        <f>IF(VLOOKUP(A229,Data_NV!$A:$I,6,0)="Không",0,IF(Z229&lt;=X229,0,ROUNDDOWN((Z229-X229)*24*60,0)))</f>
        <v>0</v>
      </c>
      <c r="AF229" s="26">
        <f t="shared" si="15"/>
        <v>0</v>
      </c>
      <c r="AG229" s="27" t="str">
        <f>IF(AC229="","",IF(COUNTIFS($AC$3:AC229,"Quên chấm công",$S$3:S229,S229)&gt;3,"Không chấm công do vi phạm quá 3 lần",IF(COUNTIFS($AC$3:AC229,"Quên chấm công",$S$3:S229,S229)&gt;2,"Trừ toàn bộ chuyên cần tháng do vi phạm lần 3",IF(COUNTIFS($AC$3:AC229,"Quên chấm công",$S$3:S229,S229)&gt;1,"Trừ 1/2 ngày lương",50000))))</f>
        <v/>
      </c>
      <c r="AH229" s="12" t="str">
        <f>IF(AF229=0,"",IF(COUNTIFS($AF$3:AF229,"&gt;0",$S$3:S229,S229)&gt;3,"Trừ toàn bộ chuyên cần tháng",""))</f>
        <v/>
      </c>
      <c r="AI229" s="12"/>
    </row>
    <row r="230" spans="1:35" x14ac:dyDescent="0.25">
      <c r="A230" s="4" t="s">
        <v>330</v>
      </c>
      <c r="B230" s="1" t="s">
        <v>331</v>
      </c>
      <c r="C230" s="1" t="s">
        <v>20</v>
      </c>
      <c r="D230" s="1" t="s">
        <v>90</v>
      </c>
      <c r="E230" s="1" t="s">
        <v>22</v>
      </c>
      <c r="F230" s="1" t="s">
        <v>23</v>
      </c>
      <c r="G230" s="1" t="s">
        <v>12</v>
      </c>
      <c r="H230" s="1" t="s">
        <v>24</v>
      </c>
      <c r="I230" s="1" t="s">
        <v>24</v>
      </c>
      <c r="J230" s="1" t="s">
        <v>25</v>
      </c>
      <c r="K230" s="1" t="s">
        <v>25</v>
      </c>
      <c r="L230" s="1" t="s">
        <v>26</v>
      </c>
      <c r="M230" s="1" t="s">
        <v>25</v>
      </c>
      <c r="N230" s="1" t="s">
        <v>25</v>
      </c>
      <c r="O230" s="1" t="s">
        <v>25</v>
      </c>
      <c r="P230" s="1" t="s">
        <v>25</v>
      </c>
      <c r="Q230" s="1" t="s">
        <v>25</v>
      </c>
      <c r="R230" s="85" t="str">
        <f t="shared" si="12"/>
        <v>2045918</v>
      </c>
      <c r="S230" t="str">
        <f>VLOOKUP(A230,Data_NV!$A:$C,3,0)</f>
        <v xml:space="preserve">Trương Quang Thanh    </v>
      </c>
      <c r="T230" t="str">
        <f>VLOOKUP(A230,Data_NV!$A:$E,4,0)</f>
        <v>Kinh doanh</v>
      </c>
      <c r="U230" s="82">
        <f>DATEVALUE(Table2[[#This Row],[Ngày]])</f>
        <v>45918</v>
      </c>
      <c r="V230" t="str">
        <f>VLOOKUP(A230,Data_NV!$A:$E,5,0)</f>
        <v>Đang làm việc</v>
      </c>
      <c r="W230" s="10">
        <f>VLOOKUP(A230,Data_NV!$A:$I,8,0)</f>
        <v>0.33333333333333331</v>
      </c>
      <c r="X230" s="10">
        <f>VLOOKUP(A230,Data_NV!$A:$I,9,0)</f>
        <v>0.70833333333333337</v>
      </c>
      <c r="Y230" s="10">
        <f>IFERROR(TIMEVALUE(Table2[[#This Row],[Vào]]),0)</f>
        <v>0</v>
      </c>
      <c r="Z230" s="10">
        <f>IFERROR(TIMEVALUE(Table2[[#This Row],[Ra]]),0)</f>
        <v>0</v>
      </c>
      <c r="AA230" t="s">
        <v>1341</v>
      </c>
      <c r="AB230" s="105">
        <f t="shared" si="14"/>
        <v>0</v>
      </c>
      <c r="AC230" s="12" t="str">
        <f>IF(VLOOKUP(A230,Data_NV!$A:$I,7,0)="Không","",IF(OR(AND(Y230=0,Z230=0),AND(Y230&lt;&gt;0,Z230&lt;&gt;0)),"","Quên chấm công"))</f>
        <v/>
      </c>
      <c r="AD230" s="12">
        <f>IF(VLOOKUP(A230,Data_NV!$A:$I,7,0)="Không",0,IF(AND(Y230=0,Z230=0),0,IF(X230&lt;=Z230,0,ROUNDDOWN((X230-Z230)*24*60,0))))</f>
        <v>0</v>
      </c>
      <c r="AE230" s="12">
        <f>IF(VLOOKUP(A230,Data_NV!$A:$I,6,0)="Không",0,IF(Z230&lt;=X230,0,ROUNDDOWN((Z230-X230)*24*60,0)))</f>
        <v>0</v>
      </c>
      <c r="AF230" s="26">
        <f t="shared" si="15"/>
        <v>0</v>
      </c>
      <c r="AG230" s="27" t="str">
        <f>IF(AC230="","",IF(COUNTIFS($AC$3:AC230,"Quên chấm công",$S$3:S230,S230)&gt;3,"Không chấm công do vi phạm quá 3 lần",IF(COUNTIFS($AC$3:AC230,"Quên chấm công",$S$3:S230,S230)&gt;2,"Trừ toàn bộ chuyên cần tháng do vi phạm lần 3",IF(COUNTIFS($AC$3:AC230,"Quên chấm công",$S$3:S230,S230)&gt;1,"Trừ 1/2 ngày lương",50000))))</f>
        <v/>
      </c>
      <c r="AH230" s="12" t="str">
        <f>IF(AF230=0,"",IF(COUNTIFS($AF$3:AF230,"&gt;0",$S$3:S230,S230)&gt;3,"Trừ toàn bộ chuyên cần tháng",""))</f>
        <v/>
      </c>
      <c r="AI230" s="12" t="s">
        <v>1378</v>
      </c>
    </row>
    <row r="231" spans="1:35" x14ac:dyDescent="0.25">
      <c r="A231" s="4" t="s">
        <v>330</v>
      </c>
      <c r="B231" s="1" t="s">
        <v>331</v>
      </c>
      <c r="C231" s="1" t="s">
        <v>20</v>
      </c>
      <c r="D231" s="1" t="s">
        <v>95</v>
      </c>
      <c r="E231" s="1" t="s">
        <v>22</v>
      </c>
      <c r="F231" s="1" t="s">
        <v>23</v>
      </c>
      <c r="G231" s="1" t="s">
        <v>12</v>
      </c>
      <c r="H231" s="1" t="s">
        <v>343</v>
      </c>
      <c r="I231" s="1" t="s">
        <v>24</v>
      </c>
      <c r="J231" s="1" t="s">
        <v>241</v>
      </c>
      <c r="K231" s="1" t="s">
        <v>25</v>
      </c>
      <c r="L231" s="1" t="s">
        <v>26</v>
      </c>
      <c r="M231" s="1" t="s">
        <v>25</v>
      </c>
      <c r="N231" s="1" t="s">
        <v>25</v>
      </c>
      <c r="O231" s="1" t="s">
        <v>25</v>
      </c>
      <c r="P231" s="1" t="s">
        <v>25</v>
      </c>
      <c r="Q231" s="1" t="s">
        <v>25</v>
      </c>
      <c r="R231" s="85" t="str">
        <f t="shared" si="12"/>
        <v>2045919</v>
      </c>
      <c r="S231" t="str">
        <f>VLOOKUP(A231,Data_NV!$A:$C,3,0)</f>
        <v xml:space="preserve">Trương Quang Thanh    </v>
      </c>
      <c r="T231" t="str">
        <f>VLOOKUP(A231,Data_NV!$A:$E,4,0)</f>
        <v>Kinh doanh</v>
      </c>
      <c r="U231" s="82">
        <f>DATEVALUE(Table2[[#This Row],[Ngày]])</f>
        <v>45919</v>
      </c>
      <c r="V231" t="str">
        <f>VLOOKUP(A231,Data_NV!$A:$E,5,0)</f>
        <v>Đang làm việc</v>
      </c>
      <c r="W231" s="10">
        <f>VLOOKUP(A231,Data_NV!$A:$I,8,0)</f>
        <v>0.33333333333333331</v>
      </c>
      <c r="X231" s="10">
        <f>VLOOKUP(A231,Data_NV!$A:$I,9,0)</f>
        <v>0.70833333333333337</v>
      </c>
      <c r="Y231" s="10">
        <f>IFERROR(TIMEVALUE(Table2[[#This Row],[Vào]]),0)</f>
        <v>0.3409375</v>
      </c>
      <c r="Z231" s="10">
        <f>IFERROR(TIMEVALUE(Table2[[#This Row],[Ra]]),0)</f>
        <v>0</v>
      </c>
      <c r="AA231" t="str">
        <f t="shared" si="13"/>
        <v>x</v>
      </c>
      <c r="AB231" s="105">
        <f t="shared" si="14"/>
        <v>10.950000000000033</v>
      </c>
      <c r="AC231" s="12" t="str">
        <f>IF(VLOOKUP(A231,Data_NV!$A:$I,7,0)="Không","",IF(OR(AND(Y231=0,Z231=0),AND(Y231&lt;&gt;0,Z231&lt;&gt;0)),"","Quên chấm công"))</f>
        <v/>
      </c>
      <c r="AD231" s="12">
        <f>IF(VLOOKUP(A231,Data_NV!$A:$I,7,0)="Không",0,IF(AND(Y231=0,Z231=0),0,IF(X231&lt;=Z231,0,ROUNDDOWN((X231-Z231)*24*60,0))))</f>
        <v>0</v>
      </c>
      <c r="AE231" s="12">
        <f>IF(VLOOKUP(A231,Data_NV!$A:$I,6,0)="Không",0,IF(Z231&lt;=X231,0,ROUNDDOWN((Z231-X231)*24*60,0)))</f>
        <v>0</v>
      </c>
      <c r="AF231" s="26">
        <f t="shared" si="15"/>
        <v>30000</v>
      </c>
      <c r="AG231" s="27" t="str">
        <f>IF(AC231="","",IF(COUNTIFS($AC$3:AC231,"Quên chấm công",$S$3:S231,S231)&gt;3,"Không chấm công do vi phạm quá 3 lần",IF(COUNTIFS($AC$3:AC231,"Quên chấm công",$S$3:S231,S231)&gt;2,"Trừ toàn bộ chuyên cần tháng do vi phạm lần 3",IF(COUNTIFS($AC$3:AC231,"Quên chấm công",$S$3:S231,S231)&gt;1,"Trừ 1/2 ngày lương",50000))))</f>
        <v/>
      </c>
      <c r="AH231" s="12" t="str">
        <f>IF(AF231=0,"",IF(COUNTIFS($AF$3:AF231,"&gt;0",$S$3:S231,S231)&gt;3,"Trừ toàn bộ chuyên cần tháng",""))</f>
        <v/>
      </c>
      <c r="AI231" s="12"/>
    </row>
    <row r="232" spans="1:35" x14ac:dyDescent="0.25">
      <c r="A232" s="4" t="s">
        <v>330</v>
      </c>
      <c r="B232" s="1" t="s">
        <v>331</v>
      </c>
      <c r="C232" s="1" t="s">
        <v>20</v>
      </c>
      <c r="D232" s="1" t="s">
        <v>100</v>
      </c>
      <c r="E232" s="1" t="s">
        <v>22</v>
      </c>
      <c r="F232" s="1" t="s">
        <v>23</v>
      </c>
      <c r="G232" s="1" t="s">
        <v>12</v>
      </c>
      <c r="H232" s="1" t="s">
        <v>344</v>
      </c>
      <c r="I232" s="1" t="s">
        <v>24</v>
      </c>
      <c r="J232" s="1" t="s">
        <v>345</v>
      </c>
      <c r="K232" s="1" t="s">
        <v>25</v>
      </c>
      <c r="L232" s="1" t="s">
        <v>26</v>
      </c>
      <c r="M232" s="1" t="s">
        <v>25</v>
      </c>
      <c r="N232" s="1" t="s">
        <v>25</v>
      </c>
      <c r="O232" s="1" t="s">
        <v>25</v>
      </c>
      <c r="P232" s="1" t="s">
        <v>25</v>
      </c>
      <c r="Q232" s="1" t="s">
        <v>25</v>
      </c>
      <c r="R232" s="85" t="str">
        <f t="shared" si="12"/>
        <v>2045920</v>
      </c>
      <c r="S232" t="str">
        <f>VLOOKUP(A232,Data_NV!$A:$C,3,0)</f>
        <v xml:space="preserve">Trương Quang Thanh    </v>
      </c>
      <c r="T232" t="str">
        <f>VLOOKUP(A232,Data_NV!$A:$E,4,0)</f>
        <v>Kinh doanh</v>
      </c>
      <c r="U232" s="82">
        <f>DATEVALUE(Table2[[#This Row],[Ngày]])</f>
        <v>45920</v>
      </c>
      <c r="V232" t="str">
        <f>VLOOKUP(A232,Data_NV!$A:$E,5,0)</f>
        <v>Đang làm việc</v>
      </c>
      <c r="W232" s="10">
        <f>VLOOKUP(A232,Data_NV!$A:$I,8,0)</f>
        <v>0.33333333333333331</v>
      </c>
      <c r="X232" s="10">
        <f>VLOOKUP(A232,Data_NV!$A:$I,9,0)</f>
        <v>0.70833333333333337</v>
      </c>
      <c r="Y232" s="10">
        <f>IFERROR(TIMEVALUE(Table2[[#This Row],[Vào]]),0)</f>
        <v>0.34673611111111113</v>
      </c>
      <c r="Z232" s="10">
        <f>IFERROR(TIMEVALUE(Table2[[#This Row],[Ra]]),0)</f>
        <v>0</v>
      </c>
      <c r="AA232" t="str">
        <f t="shared" si="13"/>
        <v>x</v>
      </c>
      <c r="AB232" s="105">
        <f t="shared" si="14"/>
        <v>19.300000000000061</v>
      </c>
      <c r="AC232" s="12" t="str">
        <f>IF(VLOOKUP(A232,Data_NV!$A:$I,7,0)="Không","",IF(OR(AND(Y232=0,Z232=0),AND(Y232&lt;&gt;0,Z232&lt;&gt;0)),"","Quên chấm công"))</f>
        <v/>
      </c>
      <c r="AD232" s="12">
        <f>IF(VLOOKUP(A232,Data_NV!$A:$I,7,0)="Không",0,IF(AND(Y232=0,Z232=0),0,IF(X232&lt;=Z232,0,ROUNDDOWN((X232-Z232)*24*60,0))))</f>
        <v>0</v>
      </c>
      <c r="AE232" s="12">
        <f>IF(VLOOKUP(A232,Data_NV!$A:$I,6,0)="Không",0,IF(Z232&lt;=X232,0,ROUNDDOWN((Z232-X232)*24*60,0)))</f>
        <v>0</v>
      </c>
      <c r="AF232" s="26">
        <f t="shared" si="15"/>
        <v>50000</v>
      </c>
      <c r="AG232" s="27" t="str">
        <f>IF(AC232="","",IF(COUNTIFS($AC$3:AC232,"Quên chấm công",$S$3:S232,S232)&gt;3,"Không chấm công do vi phạm quá 3 lần",IF(COUNTIFS($AC$3:AC232,"Quên chấm công",$S$3:S232,S232)&gt;2,"Trừ toàn bộ chuyên cần tháng do vi phạm lần 3",IF(COUNTIFS($AC$3:AC232,"Quên chấm công",$S$3:S232,S232)&gt;1,"Trừ 1/2 ngày lương",50000))))</f>
        <v/>
      </c>
      <c r="AH232" s="12" t="str">
        <f>IF(AF232=0,"",IF(COUNTIFS($AF$3:AF232,"&gt;0",$S$3:S232,S232)&gt;3,"Trừ toàn bộ chuyên cần tháng",""))</f>
        <v/>
      </c>
      <c r="AI232" s="12" t="s">
        <v>1379</v>
      </c>
    </row>
    <row r="233" spans="1:35" x14ac:dyDescent="0.25">
      <c r="A233" s="4" t="s">
        <v>330</v>
      </c>
      <c r="B233" s="1" t="s">
        <v>331</v>
      </c>
      <c r="C233" s="1" t="s">
        <v>20</v>
      </c>
      <c r="D233" s="1" t="s">
        <v>105</v>
      </c>
      <c r="E233" s="1" t="s">
        <v>22</v>
      </c>
      <c r="F233" s="1" t="s">
        <v>23</v>
      </c>
      <c r="G233" s="1" t="s">
        <v>12</v>
      </c>
      <c r="H233" s="1" t="s">
        <v>24</v>
      </c>
      <c r="I233" s="1" t="s">
        <v>24</v>
      </c>
      <c r="J233" s="1" t="s">
        <v>25</v>
      </c>
      <c r="K233" s="1" t="s">
        <v>25</v>
      </c>
      <c r="L233" s="1" t="s">
        <v>26</v>
      </c>
      <c r="M233" s="1" t="s">
        <v>25</v>
      </c>
      <c r="N233" s="1" t="s">
        <v>25</v>
      </c>
      <c r="O233" s="1" t="s">
        <v>25</v>
      </c>
      <c r="P233" s="1" t="s">
        <v>25</v>
      </c>
      <c r="Q233" s="1" t="s">
        <v>25</v>
      </c>
      <c r="R233" s="85" t="str">
        <f t="shared" si="12"/>
        <v>2045921</v>
      </c>
      <c r="S233" t="str">
        <f>VLOOKUP(A233,Data_NV!$A:$C,3,0)</f>
        <v xml:space="preserve">Trương Quang Thanh    </v>
      </c>
      <c r="T233" t="str">
        <f>VLOOKUP(A233,Data_NV!$A:$E,4,0)</f>
        <v>Kinh doanh</v>
      </c>
      <c r="U233" s="82">
        <f>DATEVALUE(Table2[[#This Row],[Ngày]])</f>
        <v>45921</v>
      </c>
      <c r="V233" t="str">
        <f>VLOOKUP(A233,Data_NV!$A:$E,5,0)</f>
        <v>Đang làm việc</v>
      </c>
      <c r="W233" s="10">
        <f>VLOOKUP(A233,Data_NV!$A:$I,8,0)</f>
        <v>0.33333333333333331</v>
      </c>
      <c r="X233" s="10">
        <f>VLOOKUP(A233,Data_NV!$A:$I,9,0)</f>
        <v>0.70833333333333337</v>
      </c>
      <c r="Y233" s="10">
        <f>IFERROR(TIMEVALUE(Table2[[#This Row],[Vào]]),0)</f>
        <v>0</v>
      </c>
      <c r="Z233" s="10">
        <f>IFERROR(TIMEVALUE(Table2[[#This Row],[Ra]]),0)</f>
        <v>0</v>
      </c>
      <c r="AA233" t="str">
        <f t="shared" si="13"/>
        <v>Chủ nhật</v>
      </c>
      <c r="AB233" s="105">
        <f t="shared" si="14"/>
        <v>0</v>
      </c>
      <c r="AC233" s="12" t="str">
        <f>IF(VLOOKUP(A233,Data_NV!$A:$I,7,0)="Không","",IF(OR(AND(Y233=0,Z233=0),AND(Y233&lt;&gt;0,Z233&lt;&gt;0)),"","Quên chấm công"))</f>
        <v/>
      </c>
      <c r="AD233" s="12">
        <f>IF(VLOOKUP(A233,Data_NV!$A:$I,7,0)="Không",0,IF(AND(Y233=0,Z233=0),0,IF(X233&lt;=Z233,0,ROUNDDOWN((X233-Z233)*24*60,0))))</f>
        <v>0</v>
      </c>
      <c r="AE233" s="12">
        <f>IF(VLOOKUP(A233,Data_NV!$A:$I,6,0)="Không",0,IF(Z233&lt;=X233,0,ROUNDDOWN((Z233-X233)*24*60,0)))</f>
        <v>0</v>
      </c>
      <c r="AF233" s="26">
        <f t="shared" si="15"/>
        <v>0</v>
      </c>
      <c r="AG233" s="27" t="str">
        <f>IF(AC233="","",IF(COUNTIFS($AC$3:AC233,"Quên chấm công",$S$3:S233,S233)&gt;3,"Không chấm công do vi phạm quá 3 lần",IF(COUNTIFS($AC$3:AC233,"Quên chấm công",$S$3:S233,S233)&gt;2,"Trừ toàn bộ chuyên cần tháng do vi phạm lần 3",IF(COUNTIFS($AC$3:AC233,"Quên chấm công",$S$3:S233,S233)&gt;1,"Trừ 1/2 ngày lương",50000))))</f>
        <v/>
      </c>
      <c r="AH233" s="12" t="str">
        <f>IF(AF233=0,"",IF(COUNTIFS($AF$3:AF233,"&gt;0",$S$3:S233,S233)&gt;3,"Trừ toàn bộ chuyên cần tháng",""))</f>
        <v/>
      </c>
      <c r="AI233" s="12"/>
    </row>
    <row r="234" spans="1:35" x14ac:dyDescent="0.25">
      <c r="A234" s="4" t="s">
        <v>330</v>
      </c>
      <c r="B234" s="1" t="s">
        <v>331</v>
      </c>
      <c r="C234" s="1" t="s">
        <v>20</v>
      </c>
      <c r="D234" s="1" t="s">
        <v>106</v>
      </c>
      <c r="E234" s="1" t="s">
        <v>22</v>
      </c>
      <c r="F234" s="1" t="s">
        <v>23</v>
      </c>
      <c r="G234" s="1" t="s">
        <v>12</v>
      </c>
      <c r="H234" s="1" t="s">
        <v>24</v>
      </c>
      <c r="I234" s="1" t="s">
        <v>24</v>
      </c>
      <c r="J234" s="1" t="s">
        <v>25</v>
      </c>
      <c r="K234" s="1" t="s">
        <v>25</v>
      </c>
      <c r="L234" s="1" t="s">
        <v>26</v>
      </c>
      <c r="M234" s="1" t="s">
        <v>25</v>
      </c>
      <c r="N234" s="1" t="s">
        <v>25</v>
      </c>
      <c r="O234" s="1" t="s">
        <v>25</v>
      </c>
      <c r="P234" s="1" t="s">
        <v>25</v>
      </c>
      <c r="Q234" s="1" t="s">
        <v>25</v>
      </c>
      <c r="R234" s="85" t="str">
        <f t="shared" si="12"/>
        <v>2045922</v>
      </c>
      <c r="S234" t="str">
        <f>VLOOKUP(A234,Data_NV!$A:$C,3,0)</f>
        <v xml:space="preserve">Trương Quang Thanh    </v>
      </c>
      <c r="T234" t="str">
        <f>VLOOKUP(A234,Data_NV!$A:$E,4,0)</f>
        <v>Kinh doanh</v>
      </c>
      <c r="U234" s="82">
        <f>DATEVALUE(Table2[[#This Row],[Ngày]])</f>
        <v>45922</v>
      </c>
      <c r="V234" t="str">
        <f>VLOOKUP(A234,Data_NV!$A:$E,5,0)</f>
        <v>Đang làm việc</v>
      </c>
      <c r="W234" s="10">
        <f>VLOOKUP(A234,Data_NV!$A:$I,8,0)</f>
        <v>0.33333333333333331</v>
      </c>
      <c r="X234" s="10">
        <f>VLOOKUP(A234,Data_NV!$A:$I,9,0)</f>
        <v>0.70833333333333337</v>
      </c>
      <c r="Y234" s="10">
        <f>IFERROR(TIMEVALUE(Table2[[#This Row],[Vào]]),0)</f>
        <v>0</v>
      </c>
      <c r="Z234" s="10">
        <f>IFERROR(TIMEVALUE(Table2[[#This Row],[Ra]]),0)</f>
        <v>0</v>
      </c>
      <c r="AA234" t="s">
        <v>1373</v>
      </c>
      <c r="AB234" s="105">
        <f t="shared" si="14"/>
        <v>0</v>
      </c>
      <c r="AC234" s="12" t="str">
        <f>IF(VLOOKUP(A234,Data_NV!$A:$I,7,0)="Không","",IF(OR(AND(Y234=0,Z234=0),AND(Y234&lt;&gt;0,Z234&lt;&gt;0)),"","Quên chấm công"))</f>
        <v/>
      </c>
      <c r="AD234" s="12">
        <f>IF(VLOOKUP(A234,Data_NV!$A:$I,7,0)="Không",0,IF(AND(Y234=0,Z234=0),0,IF(X234&lt;=Z234,0,ROUNDDOWN((X234-Z234)*24*60,0))))</f>
        <v>0</v>
      </c>
      <c r="AE234" s="12">
        <f>IF(VLOOKUP(A234,Data_NV!$A:$I,6,0)="Không",0,IF(Z234&lt;=X234,0,ROUNDDOWN((Z234-X234)*24*60,0)))</f>
        <v>0</v>
      </c>
      <c r="AF234" s="26">
        <f t="shared" si="15"/>
        <v>0</v>
      </c>
      <c r="AG234" s="27" t="str">
        <f>IF(AC234="","",IF(COUNTIFS($AC$3:AC234,"Quên chấm công",$S$3:S234,S234)&gt;3,"Không chấm công do vi phạm quá 3 lần",IF(COUNTIFS($AC$3:AC234,"Quên chấm công",$S$3:S234,S234)&gt;2,"Trừ toàn bộ chuyên cần tháng do vi phạm lần 3",IF(COUNTIFS($AC$3:AC234,"Quên chấm công",$S$3:S234,S234)&gt;1,"Trừ 1/2 ngày lương",50000))))</f>
        <v/>
      </c>
      <c r="AH234" s="12" t="str">
        <f>IF(AF234=0,"",IF(COUNTIFS($AF$3:AF234,"&gt;0",$S$3:S234,S234)&gt;3,"Trừ toàn bộ chuyên cần tháng",""))</f>
        <v/>
      </c>
      <c r="AI234" s="12" t="s">
        <v>1376</v>
      </c>
    </row>
    <row r="235" spans="1:35" x14ac:dyDescent="0.25">
      <c r="A235" s="4" t="s">
        <v>330</v>
      </c>
      <c r="B235" s="1" t="s">
        <v>331</v>
      </c>
      <c r="C235" s="1" t="s">
        <v>20</v>
      </c>
      <c r="D235" s="1" t="s">
        <v>111</v>
      </c>
      <c r="E235" s="1" t="s">
        <v>22</v>
      </c>
      <c r="F235" s="1" t="s">
        <v>23</v>
      </c>
      <c r="G235" s="1" t="s">
        <v>12</v>
      </c>
      <c r="H235" s="1" t="s">
        <v>346</v>
      </c>
      <c r="I235" s="1" t="s">
        <v>24</v>
      </c>
      <c r="J235" s="1" t="s">
        <v>25</v>
      </c>
      <c r="K235" s="1" t="s">
        <v>25</v>
      </c>
      <c r="L235" s="1" t="s">
        <v>26</v>
      </c>
      <c r="M235" s="1" t="s">
        <v>25</v>
      </c>
      <c r="N235" s="1" t="s">
        <v>25</v>
      </c>
      <c r="O235" s="1" t="s">
        <v>25</v>
      </c>
      <c r="P235" s="1" t="s">
        <v>25</v>
      </c>
      <c r="Q235" s="1" t="s">
        <v>25</v>
      </c>
      <c r="R235" s="85" t="str">
        <f t="shared" si="12"/>
        <v>2045923</v>
      </c>
      <c r="S235" t="str">
        <f>VLOOKUP(A235,Data_NV!$A:$C,3,0)</f>
        <v xml:space="preserve">Trương Quang Thanh    </v>
      </c>
      <c r="T235" t="str">
        <f>VLOOKUP(A235,Data_NV!$A:$E,4,0)</f>
        <v>Kinh doanh</v>
      </c>
      <c r="U235" s="82">
        <f>DATEVALUE(Table2[[#This Row],[Ngày]])</f>
        <v>45923</v>
      </c>
      <c r="V235" t="str">
        <f>VLOOKUP(A235,Data_NV!$A:$E,5,0)</f>
        <v>Đang làm việc</v>
      </c>
      <c r="W235" s="10">
        <f>VLOOKUP(A235,Data_NV!$A:$I,8,0)</f>
        <v>0.33333333333333331</v>
      </c>
      <c r="X235" s="10">
        <f>VLOOKUP(A235,Data_NV!$A:$I,9,0)</f>
        <v>0.70833333333333337</v>
      </c>
      <c r="Y235" s="10">
        <f>IFERROR(TIMEVALUE(Table2[[#This Row],[Vào]]),0)</f>
        <v>0.3167476851851852</v>
      </c>
      <c r="Z235" s="10">
        <f>IFERROR(TIMEVALUE(Table2[[#This Row],[Ra]]),0)</f>
        <v>0</v>
      </c>
      <c r="AA235" t="str">
        <f t="shared" si="13"/>
        <v>x</v>
      </c>
      <c r="AB235" s="105">
        <f t="shared" si="14"/>
        <v>0</v>
      </c>
      <c r="AC235" s="12" t="str">
        <f>IF(VLOOKUP(A235,Data_NV!$A:$I,7,0)="Không","",IF(OR(AND(Y235=0,Z235=0),AND(Y235&lt;&gt;0,Z235&lt;&gt;0)),"","Quên chấm công"))</f>
        <v/>
      </c>
      <c r="AD235" s="12">
        <f>IF(VLOOKUP(A235,Data_NV!$A:$I,7,0)="Không",0,IF(AND(Y235=0,Z235=0),0,IF(X235&lt;=Z235,0,ROUNDDOWN((X235-Z235)*24*60,0))))</f>
        <v>0</v>
      </c>
      <c r="AE235" s="12">
        <f>IF(VLOOKUP(A235,Data_NV!$A:$I,6,0)="Không",0,IF(Z235&lt;=X235,0,ROUNDDOWN((Z235-X235)*24*60,0)))</f>
        <v>0</v>
      </c>
      <c r="AF235" s="26">
        <f t="shared" si="15"/>
        <v>0</v>
      </c>
      <c r="AG235" s="27" t="str">
        <f>IF(AC235="","",IF(COUNTIFS($AC$3:AC235,"Quên chấm công",$S$3:S235,S235)&gt;3,"Không chấm công do vi phạm quá 3 lần",IF(COUNTIFS($AC$3:AC235,"Quên chấm công",$S$3:S235,S235)&gt;2,"Trừ toàn bộ chuyên cần tháng do vi phạm lần 3",IF(COUNTIFS($AC$3:AC235,"Quên chấm công",$S$3:S235,S235)&gt;1,"Trừ 1/2 ngày lương",50000))))</f>
        <v/>
      </c>
      <c r="AH235" s="12" t="str">
        <f>IF(AF235=0,"",IF(COUNTIFS($AF$3:AF235,"&gt;0",$S$3:S235,S235)&gt;3,"Trừ toàn bộ chuyên cần tháng",""))</f>
        <v/>
      </c>
      <c r="AI235" s="12"/>
    </row>
    <row r="236" spans="1:35" x14ac:dyDescent="0.25">
      <c r="A236" s="4" t="s">
        <v>330</v>
      </c>
      <c r="B236" s="1" t="s">
        <v>331</v>
      </c>
      <c r="C236" s="1" t="s">
        <v>20</v>
      </c>
      <c r="D236" s="1" t="s">
        <v>116</v>
      </c>
      <c r="E236" s="1" t="s">
        <v>22</v>
      </c>
      <c r="F236" s="1" t="s">
        <v>23</v>
      </c>
      <c r="G236" s="1" t="s">
        <v>12</v>
      </c>
      <c r="H236" s="1" t="s">
        <v>347</v>
      </c>
      <c r="I236" s="1" t="s">
        <v>24</v>
      </c>
      <c r="J236" s="1" t="s">
        <v>25</v>
      </c>
      <c r="K236" s="1" t="s">
        <v>25</v>
      </c>
      <c r="L236" s="1" t="s">
        <v>26</v>
      </c>
      <c r="M236" s="1" t="s">
        <v>25</v>
      </c>
      <c r="N236" s="1" t="s">
        <v>25</v>
      </c>
      <c r="O236" s="1" t="s">
        <v>25</v>
      </c>
      <c r="P236" s="1" t="s">
        <v>25</v>
      </c>
      <c r="Q236" s="1" t="s">
        <v>25</v>
      </c>
      <c r="R236" s="85" t="str">
        <f t="shared" si="12"/>
        <v>2045924</v>
      </c>
      <c r="S236" t="str">
        <f>VLOOKUP(A236,Data_NV!$A:$C,3,0)</f>
        <v xml:space="preserve">Trương Quang Thanh    </v>
      </c>
      <c r="T236" t="str">
        <f>VLOOKUP(A236,Data_NV!$A:$E,4,0)</f>
        <v>Kinh doanh</v>
      </c>
      <c r="U236" s="82">
        <f>DATEVALUE(Table2[[#This Row],[Ngày]])</f>
        <v>45924</v>
      </c>
      <c r="V236" t="str">
        <f>VLOOKUP(A236,Data_NV!$A:$E,5,0)</f>
        <v>Đang làm việc</v>
      </c>
      <c r="W236" s="10">
        <f>VLOOKUP(A236,Data_NV!$A:$I,8,0)</f>
        <v>0.33333333333333331</v>
      </c>
      <c r="X236" s="10">
        <f>VLOOKUP(A236,Data_NV!$A:$I,9,0)</f>
        <v>0.70833333333333337</v>
      </c>
      <c r="Y236" s="10">
        <f>IFERROR(TIMEVALUE(Table2[[#This Row],[Vào]]),0)</f>
        <v>0.31564814814814812</v>
      </c>
      <c r="Z236" s="10">
        <f>IFERROR(TIMEVALUE(Table2[[#This Row],[Ra]]),0)</f>
        <v>0</v>
      </c>
      <c r="AA236" t="str">
        <f t="shared" si="13"/>
        <v>x</v>
      </c>
      <c r="AB236" s="105">
        <f t="shared" si="14"/>
        <v>0</v>
      </c>
      <c r="AC236" s="12" t="str">
        <f>IF(VLOOKUP(A236,Data_NV!$A:$I,7,0)="Không","",IF(OR(AND(Y236=0,Z236=0),AND(Y236&lt;&gt;0,Z236&lt;&gt;0)),"","Quên chấm công"))</f>
        <v/>
      </c>
      <c r="AD236" s="12">
        <f>IF(VLOOKUP(A236,Data_NV!$A:$I,7,0)="Không",0,IF(AND(Y236=0,Z236=0),0,IF(X236&lt;=Z236,0,ROUNDDOWN((X236-Z236)*24*60,0))))</f>
        <v>0</v>
      </c>
      <c r="AE236" s="12">
        <f>IF(VLOOKUP(A236,Data_NV!$A:$I,6,0)="Không",0,IF(Z236&lt;=X236,0,ROUNDDOWN((Z236-X236)*24*60,0)))</f>
        <v>0</v>
      </c>
      <c r="AF236" s="26">
        <f t="shared" si="15"/>
        <v>0</v>
      </c>
      <c r="AG236" s="27" t="str">
        <f>IF(AC236="","",IF(COUNTIFS($AC$3:AC236,"Quên chấm công",$S$3:S236,S236)&gt;3,"Không chấm công do vi phạm quá 3 lần",IF(COUNTIFS($AC$3:AC236,"Quên chấm công",$S$3:S236,S236)&gt;2,"Trừ toàn bộ chuyên cần tháng do vi phạm lần 3",IF(COUNTIFS($AC$3:AC236,"Quên chấm công",$S$3:S236,S236)&gt;1,"Trừ 1/2 ngày lương",50000))))</f>
        <v/>
      </c>
      <c r="AH236" s="12" t="str">
        <f>IF(AF236=0,"",IF(COUNTIFS($AF$3:AF236,"&gt;0",$S$3:S236,S236)&gt;3,"Trừ toàn bộ chuyên cần tháng",""))</f>
        <v/>
      </c>
      <c r="AI236" s="12"/>
    </row>
    <row r="237" spans="1:35" x14ac:dyDescent="0.25">
      <c r="A237" s="4" t="s">
        <v>330</v>
      </c>
      <c r="B237" s="1" t="s">
        <v>331</v>
      </c>
      <c r="C237" s="1" t="s">
        <v>20</v>
      </c>
      <c r="D237" s="1" t="s">
        <v>121</v>
      </c>
      <c r="E237" s="1" t="s">
        <v>22</v>
      </c>
      <c r="F237" s="1" t="s">
        <v>23</v>
      </c>
      <c r="G237" s="1" t="s">
        <v>12</v>
      </c>
      <c r="H237" s="1" t="s">
        <v>348</v>
      </c>
      <c r="I237" s="1" t="s">
        <v>24</v>
      </c>
      <c r="J237" s="1" t="s">
        <v>25</v>
      </c>
      <c r="K237" s="1" t="s">
        <v>25</v>
      </c>
      <c r="L237" s="1" t="s">
        <v>26</v>
      </c>
      <c r="M237" s="1" t="s">
        <v>25</v>
      </c>
      <c r="N237" s="1" t="s">
        <v>25</v>
      </c>
      <c r="O237" s="1" t="s">
        <v>25</v>
      </c>
      <c r="P237" s="1" t="s">
        <v>25</v>
      </c>
      <c r="Q237" s="1" t="s">
        <v>25</v>
      </c>
      <c r="R237" s="85" t="str">
        <f t="shared" si="12"/>
        <v>2045925</v>
      </c>
      <c r="S237" t="str">
        <f>VLOOKUP(A237,Data_NV!$A:$C,3,0)</f>
        <v xml:space="preserve">Trương Quang Thanh    </v>
      </c>
      <c r="T237" t="str">
        <f>VLOOKUP(A237,Data_NV!$A:$E,4,0)</f>
        <v>Kinh doanh</v>
      </c>
      <c r="U237" s="82">
        <f>DATEVALUE(Table2[[#This Row],[Ngày]])</f>
        <v>45925</v>
      </c>
      <c r="V237" t="str">
        <f>VLOOKUP(A237,Data_NV!$A:$E,5,0)</f>
        <v>Đang làm việc</v>
      </c>
      <c r="W237" s="10">
        <f>VLOOKUP(A237,Data_NV!$A:$I,8,0)</f>
        <v>0.33333333333333331</v>
      </c>
      <c r="X237" s="10">
        <f>VLOOKUP(A237,Data_NV!$A:$I,9,0)</f>
        <v>0.70833333333333337</v>
      </c>
      <c r="Y237" s="10">
        <f>IFERROR(TIMEVALUE(Table2[[#This Row],[Vào]]),0)</f>
        <v>0.31664351851851852</v>
      </c>
      <c r="Z237" s="10">
        <f>IFERROR(TIMEVALUE(Table2[[#This Row],[Ra]]),0)</f>
        <v>0</v>
      </c>
      <c r="AA237" t="str">
        <f t="shared" si="13"/>
        <v>x</v>
      </c>
      <c r="AB237" s="105">
        <f t="shared" si="14"/>
        <v>0</v>
      </c>
      <c r="AC237" s="12" t="str">
        <f>IF(VLOOKUP(A237,Data_NV!$A:$I,7,0)="Không","",IF(OR(AND(Y237=0,Z237=0),AND(Y237&lt;&gt;0,Z237&lt;&gt;0)),"","Quên chấm công"))</f>
        <v/>
      </c>
      <c r="AD237" s="12">
        <f>IF(VLOOKUP(A237,Data_NV!$A:$I,7,0)="Không",0,IF(AND(Y237=0,Z237=0),0,IF(X237&lt;=Z237,0,ROUNDDOWN((X237-Z237)*24*60,0))))</f>
        <v>0</v>
      </c>
      <c r="AE237" s="12">
        <f>IF(VLOOKUP(A237,Data_NV!$A:$I,6,0)="Không",0,IF(Z237&lt;=X237,0,ROUNDDOWN((Z237-X237)*24*60,0)))</f>
        <v>0</v>
      </c>
      <c r="AF237" s="26">
        <f t="shared" si="15"/>
        <v>0</v>
      </c>
      <c r="AG237" s="27" t="str">
        <f>IF(AC237="","",IF(COUNTIFS($AC$3:AC237,"Quên chấm công",$S$3:S237,S237)&gt;3,"Không chấm công do vi phạm quá 3 lần",IF(COUNTIFS($AC$3:AC237,"Quên chấm công",$S$3:S237,S237)&gt;2,"Trừ toàn bộ chuyên cần tháng do vi phạm lần 3",IF(COUNTIFS($AC$3:AC237,"Quên chấm công",$S$3:S237,S237)&gt;1,"Trừ 1/2 ngày lương",50000))))</f>
        <v/>
      </c>
      <c r="AH237" s="12" t="str">
        <f>IF(AF237=0,"",IF(COUNTIFS($AF$3:AF237,"&gt;0",$S$3:S237,S237)&gt;3,"Trừ toàn bộ chuyên cần tháng",""))</f>
        <v/>
      </c>
      <c r="AI237" s="12"/>
    </row>
    <row r="238" spans="1:35" x14ac:dyDescent="0.25">
      <c r="A238" s="4" t="s">
        <v>330</v>
      </c>
      <c r="B238" s="1" t="s">
        <v>331</v>
      </c>
      <c r="C238" s="1" t="s">
        <v>20</v>
      </c>
      <c r="D238" s="1" t="s">
        <v>123</v>
      </c>
      <c r="E238" s="1" t="s">
        <v>22</v>
      </c>
      <c r="F238" s="1" t="s">
        <v>23</v>
      </c>
      <c r="G238" s="1" t="s">
        <v>12</v>
      </c>
      <c r="H238" s="1" t="s">
        <v>349</v>
      </c>
      <c r="I238" s="1" t="s">
        <v>24</v>
      </c>
      <c r="J238" s="1" t="s">
        <v>25</v>
      </c>
      <c r="K238" s="1" t="s">
        <v>25</v>
      </c>
      <c r="L238" s="1" t="s">
        <v>26</v>
      </c>
      <c r="M238" s="1" t="s">
        <v>25</v>
      </c>
      <c r="N238" s="1" t="s">
        <v>25</v>
      </c>
      <c r="O238" s="1" t="s">
        <v>25</v>
      </c>
      <c r="P238" s="1" t="s">
        <v>25</v>
      </c>
      <c r="Q238" s="1" t="s">
        <v>25</v>
      </c>
      <c r="R238" s="85" t="str">
        <f t="shared" si="12"/>
        <v>2045926</v>
      </c>
      <c r="S238" t="str">
        <f>VLOOKUP(A238,Data_NV!$A:$C,3,0)</f>
        <v xml:space="preserve">Trương Quang Thanh    </v>
      </c>
      <c r="T238" t="str">
        <f>VLOOKUP(A238,Data_NV!$A:$E,4,0)</f>
        <v>Kinh doanh</v>
      </c>
      <c r="U238" s="82">
        <f>DATEVALUE(Table2[[#This Row],[Ngày]])</f>
        <v>45926</v>
      </c>
      <c r="V238" t="str">
        <f>VLOOKUP(A238,Data_NV!$A:$E,5,0)</f>
        <v>Đang làm việc</v>
      </c>
      <c r="W238" s="10">
        <f>VLOOKUP(A238,Data_NV!$A:$I,8,0)</f>
        <v>0.33333333333333331</v>
      </c>
      <c r="X238" s="10">
        <f>VLOOKUP(A238,Data_NV!$A:$I,9,0)</f>
        <v>0.70833333333333337</v>
      </c>
      <c r="Y238" s="10">
        <f>IFERROR(TIMEVALUE(Table2[[#This Row],[Vào]]),0)</f>
        <v>0.31831018518518517</v>
      </c>
      <c r="Z238" s="10">
        <f>IFERROR(TIMEVALUE(Table2[[#This Row],[Ra]]),0)</f>
        <v>0</v>
      </c>
      <c r="AA238" t="str">
        <f t="shared" si="13"/>
        <v>x</v>
      </c>
      <c r="AB238" s="105">
        <f t="shared" si="14"/>
        <v>0</v>
      </c>
      <c r="AC238" s="12" t="str">
        <f>IF(VLOOKUP(A238,Data_NV!$A:$I,7,0)="Không","",IF(OR(AND(Y238=0,Z238=0),AND(Y238&lt;&gt;0,Z238&lt;&gt;0)),"","Quên chấm công"))</f>
        <v/>
      </c>
      <c r="AD238" s="12">
        <f>IF(VLOOKUP(A238,Data_NV!$A:$I,7,0)="Không",0,IF(AND(Y238=0,Z238=0),0,IF(X238&lt;=Z238,0,ROUNDDOWN((X238-Z238)*24*60,0))))</f>
        <v>0</v>
      </c>
      <c r="AE238" s="12">
        <f>IF(VLOOKUP(A238,Data_NV!$A:$I,6,0)="Không",0,IF(Z238&lt;=X238,0,ROUNDDOWN((Z238-X238)*24*60,0)))</f>
        <v>0</v>
      </c>
      <c r="AF238" s="26">
        <f t="shared" si="15"/>
        <v>0</v>
      </c>
      <c r="AG238" s="27" t="str">
        <f>IF(AC238="","",IF(COUNTIFS($AC$3:AC238,"Quên chấm công",$S$3:S238,S238)&gt;3,"Không chấm công do vi phạm quá 3 lần",IF(COUNTIFS($AC$3:AC238,"Quên chấm công",$S$3:S238,S238)&gt;2,"Trừ toàn bộ chuyên cần tháng do vi phạm lần 3",IF(COUNTIFS($AC$3:AC238,"Quên chấm công",$S$3:S238,S238)&gt;1,"Trừ 1/2 ngày lương",50000))))</f>
        <v/>
      </c>
      <c r="AH238" s="12" t="str">
        <f>IF(AF238=0,"",IF(COUNTIFS($AF$3:AF238,"&gt;0",$S$3:S238,S238)&gt;3,"Trừ toàn bộ chuyên cần tháng",""))</f>
        <v/>
      </c>
      <c r="AI238" s="12"/>
    </row>
    <row r="239" spans="1:35" x14ac:dyDescent="0.25">
      <c r="A239" s="4" t="s">
        <v>330</v>
      </c>
      <c r="B239" s="1" t="s">
        <v>331</v>
      </c>
      <c r="C239" s="1" t="s">
        <v>20</v>
      </c>
      <c r="D239" s="1" t="s">
        <v>125</v>
      </c>
      <c r="E239" s="1" t="s">
        <v>22</v>
      </c>
      <c r="F239" s="1" t="s">
        <v>23</v>
      </c>
      <c r="G239" s="1" t="s">
        <v>12</v>
      </c>
      <c r="H239" s="1" t="s">
        <v>24</v>
      </c>
      <c r="I239" s="1" t="s">
        <v>24</v>
      </c>
      <c r="J239" s="1" t="s">
        <v>25</v>
      </c>
      <c r="K239" s="1" t="s">
        <v>25</v>
      </c>
      <c r="L239" s="1" t="s">
        <v>26</v>
      </c>
      <c r="M239" s="1" t="s">
        <v>25</v>
      </c>
      <c r="N239" s="1" t="s">
        <v>25</v>
      </c>
      <c r="O239" s="1" t="s">
        <v>25</v>
      </c>
      <c r="P239" s="1" t="s">
        <v>25</v>
      </c>
      <c r="Q239" s="1" t="s">
        <v>25</v>
      </c>
      <c r="R239" s="85" t="str">
        <f t="shared" si="12"/>
        <v>2045927</v>
      </c>
      <c r="S239" t="str">
        <f>VLOOKUP(A239,Data_NV!$A:$C,3,0)</f>
        <v xml:space="preserve">Trương Quang Thanh    </v>
      </c>
      <c r="T239" t="str">
        <f>VLOOKUP(A239,Data_NV!$A:$E,4,0)</f>
        <v>Kinh doanh</v>
      </c>
      <c r="U239" s="82">
        <f>DATEVALUE(Table2[[#This Row],[Ngày]])</f>
        <v>45927</v>
      </c>
      <c r="V239" t="str">
        <f>VLOOKUP(A239,Data_NV!$A:$E,5,0)</f>
        <v>Đang làm việc</v>
      </c>
      <c r="W239" s="10">
        <f>VLOOKUP(A239,Data_NV!$A:$I,8,0)</f>
        <v>0.33333333333333331</v>
      </c>
      <c r="X239" s="10">
        <f>VLOOKUP(A239,Data_NV!$A:$I,9,0)</f>
        <v>0.70833333333333337</v>
      </c>
      <c r="Y239" s="10">
        <f>IFERROR(TIMEVALUE(Table2[[#This Row],[Vào]]),0)</f>
        <v>0</v>
      </c>
      <c r="Z239" s="10">
        <f>IFERROR(TIMEVALUE(Table2[[#This Row],[Ra]]),0)</f>
        <v>0</v>
      </c>
      <c r="AA239" t="s">
        <v>1341</v>
      </c>
      <c r="AB239" s="105">
        <f t="shared" si="14"/>
        <v>0</v>
      </c>
      <c r="AC239" s="12" t="str">
        <f>IF(VLOOKUP(A239,Data_NV!$A:$I,7,0)="Không","",IF(OR(AND(Y239=0,Z239=0),AND(Y239&lt;&gt;0,Z239&lt;&gt;0)),"","Quên chấm công"))</f>
        <v/>
      </c>
      <c r="AD239" s="12">
        <f>IF(VLOOKUP(A239,Data_NV!$A:$I,7,0)="Không",0,IF(AND(Y239=0,Z239=0),0,IF(X239&lt;=Z239,0,ROUNDDOWN((X239-Z239)*24*60,0))))</f>
        <v>0</v>
      </c>
      <c r="AE239" s="12">
        <f>IF(VLOOKUP(A239,Data_NV!$A:$I,6,0)="Không",0,IF(Z239&lt;=X239,0,ROUNDDOWN((Z239-X239)*24*60,0)))</f>
        <v>0</v>
      </c>
      <c r="AF239" s="26">
        <f t="shared" si="15"/>
        <v>0</v>
      </c>
      <c r="AG239" s="27" t="str">
        <f>IF(AC239="","",IF(COUNTIFS($AC$3:AC239,"Quên chấm công",$S$3:S239,S239)&gt;3,"Không chấm công do vi phạm quá 3 lần",IF(COUNTIFS($AC$3:AC239,"Quên chấm công",$S$3:S239,S239)&gt;2,"Trừ toàn bộ chuyên cần tháng do vi phạm lần 3",IF(COUNTIFS($AC$3:AC239,"Quên chấm công",$S$3:S239,S239)&gt;1,"Trừ 1/2 ngày lương",50000))))</f>
        <v/>
      </c>
      <c r="AH239" s="12" t="str">
        <f>IF(AF239=0,"",IF(COUNTIFS($AF$3:AF239,"&gt;0",$S$3:S239,S239)&gt;3,"Trừ toàn bộ chuyên cần tháng",""))</f>
        <v/>
      </c>
      <c r="AI239" s="12" t="s">
        <v>1380</v>
      </c>
    </row>
    <row r="240" spans="1:35" x14ac:dyDescent="0.25">
      <c r="A240" s="4" t="s">
        <v>330</v>
      </c>
      <c r="B240" s="1" t="s">
        <v>331</v>
      </c>
      <c r="C240" s="1" t="s">
        <v>20</v>
      </c>
      <c r="D240" s="1" t="s">
        <v>130</v>
      </c>
      <c r="E240" s="1" t="s">
        <v>22</v>
      </c>
      <c r="F240" s="1" t="s">
        <v>23</v>
      </c>
      <c r="G240" s="1" t="s">
        <v>12</v>
      </c>
      <c r="H240" s="1" t="s">
        <v>24</v>
      </c>
      <c r="I240" s="1" t="s">
        <v>24</v>
      </c>
      <c r="J240" s="1" t="s">
        <v>25</v>
      </c>
      <c r="K240" s="1" t="s">
        <v>25</v>
      </c>
      <c r="L240" s="1" t="s">
        <v>26</v>
      </c>
      <c r="M240" s="1" t="s">
        <v>25</v>
      </c>
      <c r="N240" s="1" t="s">
        <v>25</v>
      </c>
      <c r="O240" s="1" t="s">
        <v>25</v>
      </c>
      <c r="P240" s="1" t="s">
        <v>25</v>
      </c>
      <c r="Q240" s="1" t="s">
        <v>25</v>
      </c>
      <c r="R240" s="85" t="str">
        <f t="shared" si="12"/>
        <v>2045928</v>
      </c>
      <c r="S240" t="str">
        <f>VLOOKUP(A240,Data_NV!$A:$C,3,0)</f>
        <v xml:space="preserve">Trương Quang Thanh    </v>
      </c>
      <c r="T240" t="str">
        <f>VLOOKUP(A240,Data_NV!$A:$E,4,0)</f>
        <v>Kinh doanh</v>
      </c>
      <c r="U240" s="82">
        <f>DATEVALUE(Table2[[#This Row],[Ngày]])</f>
        <v>45928</v>
      </c>
      <c r="V240" t="str">
        <f>VLOOKUP(A240,Data_NV!$A:$E,5,0)</f>
        <v>Đang làm việc</v>
      </c>
      <c r="W240" s="10">
        <f>VLOOKUP(A240,Data_NV!$A:$I,8,0)</f>
        <v>0.33333333333333331</v>
      </c>
      <c r="X240" s="10">
        <f>VLOOKUP(A240,Data_NV!$A:$I,9,0)</f>
        <v>0.70833333333333337</v>
      </c>
      <c r="Y240" s="10">
        <f>IFERROR(TIMEVALUE(Table2[[#This Row],[Vào]]),0)</f>
        <v>0</v>
      </c>
      <c r="Z240" s="10">
        <f>IFERROR(TIMEVALUE(Table2[[#This Row],[Ra]]),0)</f>
        <v>0</v>
      </c>
      <c r="AA240" t="str">
        <f t="shared" si="13"/>
        <v>Chủ nhật</v>
      </c>
      <c r="AB240" s="105">
        <f t="shared" si="14"/>
        <v>0</v>
      </c>
      <c r="AC240" s="12" t="str">
        <f>IF(VLOOKUP(A240,Data_NV!$A:$I,7,0)="Không","",IF(OR(AND(Y240=0,Z240=0),AND(Y240&lt;&gt;0,Z240&lt;&gt;0)),"","Quên chấm công"))</f>
        <v/>
      </c>
      <c r="AD240" s="12">
        <f>IF(VLOOKUP(A240,Data_NV!$A:$I,7,0)="Không",0,IF(AND(Y240=0,Z240=0),0,IF(X240&lt;=Z240,0,ROUNDDOWN((X240-Z240)*24*60,0))))</f>
        <v>0</v>
      </c>
      <c r="AE240" s="12">
        <f>IF(VLOOKUP(A240,Data_NV!$A:$I,6,0)="Không",0,IF(Z240&lt;=X240,0,ROUNDDOWN((Z240-X240)*24*60,0)))</f>
        <v>0</v>
      </c>
      <c r="AF240" s="26">
        <f t="shared" si="15"/>
        <v>0</v>
      </c>
      <c r="AG240" s="27" t="str">
        <f>IF(AC240="","",IF(COUNTIFS($AC$3:AC240,"Quên chấm công",$S$3:S240,S240)&gt;3,"Không chấm công do vi phạm quá 3 lần",IF(COUNTIFS($AC$3:AC240,"Quên chấm công",$S$3:S240,S240)&gt;2,"Trừ toàn bộ chuyên cần tháng do vi phạm lần 3",IF(COUNTIFS($AC$3:AC240,"Quên chấm công",$S$3:S240,S240)&gt;1,"Trừ 1/2 ngày lương",50000))))</f>
        <v/>
      </c>
      <c r="AH240" s="12" t="str">
        <f>IF(AF240=0,"",IF(COUNTIFS($AF$3:AF240,"&gt;0",$S$3:S240,S240)&gt;3,"Trừ toàn bộ chuyên cần tháng",""))</f>
        <v/>
      </c>
      <c r="AI240" s="12"/>
    </row>
    <row r="241" spans="1:35" x14ac:dyDescent="0.25">
      <c r="A241" s="4" t="s">
        <v>330</v>
      </c>
      <c r="B241" s="1" t="s">
        <v>331</v>
      </c>
      <c r="C241" s="1" t="s">
        <v>20</v>
      </c>
      <c r="D241" s="1" t="s">
        <v>131</v>
      </c>
      <c r="E241" s="1" t="s">
        <v>22</v>
      </c>
      <c r="F241" s="1" t="s">
        <v>23</v>
      </c>
      <c r="G241" s="1" t="s">
        <v>12</v>
      </c>
      <c r="H241" s="1" t="s">
        <v>350</v>
      </c>
      <c r="I241" s="1" t="s">
        <v>24</v>
      </c>
      <c r="J241" s="1" t="s">
        <v>25</v>
      </c>
      <c r="K241" s="1" t="s">
        <v>25</v>
      </c>
      <c r="L241" s="1" t="s">
        <v>26</v>
      </c>
      <c r="M241" s="1" t="s">
        <v>25</v>
      </c>
      <c r="N241" s="1" t="s">
        <v>25</v>
      </c>
      <c r="O241" s="1" t="s">
        <v>25</v>
      </c>
      <c r="P241" s="1" t="s">
        <v>25</v>
      </c>
      <c r="Q241" s="1" t="s">
        <v>25</v>
      </c>
      <c r="R241" s="85" t="str">
        <f t="shared" si="12"/>
        <v>2045929</v>
      </c>
      <c r="S241" t="str">
        <f>VLOOKUP(A241,Data_NV!$A:$C,3,0)</f>
        <v xml:space="preserve">Trương Quang Thanh    </v>
      </c>
      <c r="T241" t="str">
        <f>VLOOKUP(A241,Data_NV!$A:$E,4,0)</f>
        <v>Kinh doanh</v>
      </c>
      <c r="U241" s="82">
        <f>DATEVALUE(Table2[[#This Row],[Ngày]])</f>
        <v>45929</v>
      </c>
      <c r="V241" t="str">
        <f>VLOOKUP(A241,Data_NV!$A:$E,5,0)</f>
        <v>Đang làm việc</v>
      </c>
      <c r="W241" s="10">
        <f>VLOOKUP(A241,Data_NV!$A:$I,8,0)</f>
        <v>0.33333333333333331</v>
      </c>
      <c r="X241" s="10">
        <f>VLOOKUP(A241,Data_NV!$A:$I,9,0)</f>
        <v>0.70833333333333337</v>
      </c>
      <c r="Y241" s="10">
        <f>IFERROR(TIMEVALUE(Table2[[#This Row],[Vào]]),0)</f>
        <v>0.32390046296296299</v>
      </c>
      <c r="Z241" s="10">
        <f>IFERROR(TIMEVALUE(Table2[[#This Row],[Ra]]),0)</f>
        <v>0</v>
      </c>
      <c r="AA241" t="str">
        <f t="shared" si="13"/>
        <v>x</v>
      </c>
      <c r="AB241" s="105">
        <f t="shared" si="14"/>
        <v>0</v>
      </c>
      <c r="AC241" s="12" t="str">
        <f>IF(VLOOKUP(A241,Data_NV!$A:$I,7,0)="Không","",IF(OR(AND(Y241=0,Z241=0),AND(Y241&lt;&gt;0,Z241&lt;&gt;0)),"","Quên chấm công"))</f>
        <v/>
      </c>
      <c r="AD241" s="12">
        <f>IF(VLOOKUP(A241,Data_NV!$A:$I,7,0)="Không",0,IF(AND(Y241=0,Z241=0),0,IF(X241&lt;=Z241,0,ROUNDDOWN((X241-Z241)*24*60,0))))</f>
        <v>0</v>
      </c>
      <c r="AE241" s="12">
        <f>IF(VLOOKUP(A241,Data_NV!$A:$I,6,0)="Không",0,IF(Z241&lt;=X241,0,ROUNDDOWN((Z241-X241)*24*60,0)))</f>
        <v>0</v>
      </c>
      <c r="AF241" s="26">
        <f t="shared" si="15"/>
        <v>0</v>
      </c>
      <c r="AG241" s="27" t="str">
        <f>IF(AC241="","",IF(COUNTIFS($AC$3:AC241,"Quên chấm công",$S$3:S241,S241)&gt;3,"Không chấm công do vi phạm quá 3 lần",IF(COUNTIFS($AC$3:AC241,"Quên chấm công",$S$3:S241,S241)&gt;2,"Trừ toàn bộ chuyên cần tháng do vi phạm lần 3",IF(COUNTIFS($AC$3:AC241,"Quên chấm công",$S$3:S241,S241)&gt;1,"Trừ 1/2 ngày lương",50000))))</f>
        <v/>
      </c>
      <c r="AH241" s="12" t="str">
        <f>IF(AF241=0,"",IF(COUNTIFS($AF$3:AF241,"&gt;0",$S$3:S241,S241)&gt;3,"Trừ toàn bộ chuyên cần tháng",""))</f>
        <v/>
      </c>
      <c r="AI241" s="12"/>
    </row>
    <row r="242" spans="1:35" x14ac:dyDescent="0.25">
      <c r="A242" s="4" t="s">
        <v>330</v>
      </c>
      <c r="B242" s="1" t="s">
        <v>331</v>
      </c>
      <c r="C242" s="1" t="s">
        <v>20</v>
      </c>
      <c r="D242" s="1" t="s">
        <v>136</v>
      </c>
      <c r="E242" s="1" t="s">
        <v>22</v>
      </c>
      <c r="F242" s="1" t="s">
        <v>23</v>
      </c>
      <c r="G242" s="1" t="s">
        <v>12</v>
      </c>
      <c r="H242" s="1" t="s">
        <v>351</v>
      </c>
      <c r="I242" s="1" t="s">
        <v>24</v>
      </c>
      <c r="J242" s="1" t="s">
        <v>25</v>
      </c>
      <c r="K242" s="1" t="s">
        <v>25</v>
      </c>
      <c r="L242" s="1" t="s">
        <v>26</v>
      </c>
      <c r="M242" s="1" t="s">
        <v>25</v>
      </c>
      <c r="N242" s="1" t="s">
        <v>25</v>
      </c>
      <c r="O242" s="1" t="s">
        <v>25</v>
      </c>
      <c r="P242" s="1" t="s">
        <v>25</v>
      </c>
      <c r="Q242" s="1" t="s">
        <v>25</v>
      </c>
      <c r="R242" s="85" t="str">
        <f t="shared" si="12"/>
        <v>2045930</v>
      </c>
      <c r="S242" t="str">
        <f>VLOOKUP(A242,Data_NV!$A:$C,3,0)</f>
        <v xml:space="preserve">Trương Quang Thanh    </v>
      </c>
      <c r="T242" t="str">
        <f>VLOOKUP(A242,Data_NV!$A:$E,4,0)</f>
        <v>Kinh doanh</v>
      </c>
      <c r="U242" s="82">
        <f>DATEVALUE(Table2[[#This Row],[Ngày]])</f>
        <v>45930</v>
      </c>
      <c r="V242" t="str">
        <f>VLOOKUP(A242,Data_NV!$A:$E,5,0)</f>
        <v>Đang làm việc</v>
      </c>
      <c r="W242" s="10">
        <f>VLOOKUP(A242,Data_NV!$A:$I,8,0)</f>
        <v>0.33333333333333331</v>
      </c>
      <c r="X242" s="10">
        <f>VLOOKUP(A242,Data_NV!$A:$I,9,0)</f>
        <v>0.70833333333333337</v>
      </c>
      <c r="Y242" s="10">
        <f>IFERROR(TIMEVALUE(Table2[[#This Row],[Vào]]),0)</f>
        <v>0.31792824074074072</v>
      </c>
      <c r="Z242" s="10">
        <f>IFERROR(TIMEVALUE(Table2[[#This Row],[Ra]]),0)</f>
        <v>0</v>
      </c>
      <c r="AA242" t="str">
        <f t="shared" si="13"/>
        <v>x</v>
      </c>
      <c r="AB242" s="105">
        <f t="shared" si="14"/>
        <v>0</v>
      </c>
      <c r="AC242" s="12" t="str">
        <f>IF(VLOOKUP(A242,Data_NV!$A:$I,7,0)="Không","",IF(OR(AND(Y242=0,Z242=0),AND(Y242&lt;&gt;0,Z242&lt;&gt;0)),"","Quên chấm công"))</f>
        <v/>
      </c>
      <c r="AD242" s="12">
        <f>IF(VLOOKUP(A242,Data_NV!$A:$I,7,0)="Không",0,IF(AND(Y242=0,Z242=0),0,IF(X242&lt;=Z242,0,ROUNDDOWN((X242-Z242)*24*60,0))))</f>
        <v>0</v>
      </c>
      <c r="AE242" s="12">
        <f>IF(VLOOKUP(A242,Data_NV!$A:$I,6,0)="Không",0,IF(Z242&lt;=X242,0,ROUNDDOWN((Z242-X242)*24*60,0)))</f>
        <v>0</v>
      </c>
      <c r="AF242" s="26">
        <f t="shared" si="15"/>
        <v>0</v>
      </c>
      <c r="AG242" s="27" t="str">
        <f>IF(AC242="","",IF(COUNTIFS($AC$3:AC242,"Quên chấm công",$S$3:S242,S242)&gt;3,"Không chấm công do vi phạm quá 3 lần",IF(COUNTIFS($AC$3:AC242,"Quên chấm công",$S$3:S242,S242)&gt;2,"Trừ toàn bộ chuyên cần tháng do vi phạm lần 3",IF(COUNTIFS($AC$3:AC242,"Quên chấm công",$S$3:S242,S242)&gt;1,"Trừ 1/2 ngày lương",50000))))</f>
        <v/>
      </c>
      <c r="AH242" s="12" t="str">
        <f>IF(AF242=0,"",IF(COUNTIFS($AF$3:AF242,"&gt;0",$S$3:S242,S242)&gt;3,"Trừ toàn bộ chuyên cần tháng",""))</f>
        <v/>
      </c>
      <c r="AI242" s="12"/>
    </row>
    <row r="243" spans="1:35" x14ac:dyDescent="0.25">
      <c r="A243" s="4" t="s">
        <v>352</v>
      </c>
      <c r="B243" s="1" t="s">
        <v>353</v>
      </c>
      <c r="C243" s="1" t="s">
        <v>20</v>
      </c>
      <c r="D243" s="1" t="s">
        <v>21</v>
      </c>
      <c r="E243" s="1" t="s">
        <v>22</v>
      </c>
      <c r="F243" s="1" t="s">
        <v>23</v>
      </c>
      <c r="G243" s="1" t="s">
        <v>12</v>
      </c>
      <c r="H243" s="1" t="s">
        <v>24</v>
      </c>
      <c r="I243" s="1" t="s">
        <v>24</v>
      </c>
      <c r="J243" s="1" t="s">
        <v>25</v>
      </c>
      <c r="K243" s="1" t="s">
        <v>25</v>
      </c>
      <c r="L243" s="1" t="s">
        <v>26</v>
      </c>
      <c r="M243" s="1" t="s">
        <v>25</v>
      </c>
      <c r="N243" s="1" t="s">
        <v>25</v>
      </c>
      <c r="O243" s="1" t="s">
        <v>25</v>
      </c>
      <c r="P243" s="1" t="s">
        <v>25</v>
      </c>
      <c r="Q243" s="1" t="s">
        <v>25</v>
      </c>
      <c r="R243" s="85" t="str">
        <f t="shared" si="12"/>
        <v>2145901</v>
      </c>
      <c r="S243" t="str">
        <f>VLOOKUP(A243,Data_NV!$A:$C,3,0)</f>
        <v>Phạm Anh Vũ</v>
      </c>
      <c r="T243" t="str">
        <f>VLOOKUP(A243,Data_NV!$A:$E,4,0)</f>
        <v>Kế toán - Văn phòng</v>
      </c>
      <c r="U243" s="82">
        <f>DATEVALUE(Table2[[#This Row],[Ngày]])</f>
        <v>45901</v>
      </c>
      <c r="V243" t="str">
        <f>VLOOKUP(A243,Data_NV!$A:$E,5,0)</f>
        <v>Đang làm việc</v>
      </c>
      <c r="W243" s="10">
        <f>VLOOKUP(A243,Data_NV!$A:$I,8,0)</f>
        <v>0.33333333333333331</v>
      </c>
      <c r="X243" s="10">
        <f>VLOOKUP(A243,Data_NV!$A:$I,9,0)</f>
        <v>0.70833333333333337</v>
      </c>
      <c r="Y243" s="10">
        <f>IFERROR(TIMEVALUE(Table2[[#This Row],[Vào]]),0)</f>
        <v>0</v>
      </c>
      <c r="Z243" s="10">
        <f>IFERROR(TIMEVALUE(Table2[[#This Row],[Ra]]),0)</f>
        <v>0</v>
      </c>
      <c r="AA243" s="97" t="s">
        <v>1349</v>
      </c>
      <c r="AB243" s="105">
        <f t="shared" si="14"/>
        <v>0</v>
      </c>
      <c r="AC243" s="12" t="str">
        <f>IF(VLOOKUP(A243,Data_NV!$A:$I,7,0)="Không","",IF(OR(AND(Y243=0,Z243=0),AND(Y243&lt;&gt;0,Z243&lt;&gt;0)),"","Quên chấm công"))</f>
        <v/>
      </c>
      <c r="AD243" s="12">
        <f>IF(VLOOKUP(A243,Data_NV!$A:$I,7,0)="Không",0,IF(AND(Y243=0,Z243=0),0,IF(X243&lt;=Z243,0,ROUNDDOWN((X243-Z243)*24*60,0))))</f>
        <v>0</v>
      </c>
      <c r="AE243" s="12">
        <f>IF(VLOOKUP(A243,Data_NV!$A:$I,6,0)="Không",0,IF(Z243&lt;=X243,0,ROUNDDOWN((Z243-X243)*24*60,0)))</f>
        <v>0</v>
      </c>
      <c r="AF243" s="26">
        <f t="shared" si="15"/>
        <v>0</v>
      </c>
      <c r="AG243" s="27" t="str">
        <f>IF(AC243="","",IF(COUNTIFS($AC$3:AC243,"Quên chấm công",$S$3:S243,S243)&gt;3,"Không chấm công do vi phạm quá 3 lần",IF(COUNTIFS($AC$3:AC243,"Quên chấm công",$S$3:S243,S243)&gt;2,"Trừ toàn bộ chuyên cần tháng do vi phạm lần 3",IF(COUNTIFS($AC$3:AC243,"Quên chấm công",$S$3:S243,S243)&gt;1,"Trừ 1/2 ngày lương",50000))))</f>
        <v/>
      </c>
      <c r="AH243" s="12" t="str">
        <f>IF(AF243=0,"",IF(COUNTIFS($AF$3:AF243,"&gt;0",$S$3:S243,S243)&gt;3,"Trừ toàn bộ chuyên cần tháng",""))</f>
        <v/>
      </c>
      <c r="AI243" s="98" t="s">
        <v>1369</v>
      </c>
    </row>
    <row r="244" spans="1:35" x14ac:dyDescent="0.25">
      <c r="A244" s="4" t="s">
        <v>352</v>
      </c>
      <c r="B244" s="1" t="s">
        <v>353</v>
      </c>
      <c r="C244" s="1" t="s">
        <v>20</v>
      </c>
      <c r="D244" s="1" t="s">
        <v>27</v>
      </c>
      <c r="E244" s="1" t="s">
        <v>22</v>
      </c>
      <c r="F244" s="1" t="s">
        <v>23</v>
      </c>
      <c r="G244" s="1" t="s">
        <v>12</v>
      </c>
      <c r="H244" s="1" t="s">
        <v>24</v>
      </c>
      <c r="I244" s="1" t="s">
        <v>24</v>
      </c>
      <c r="J244" s="1" t="s">
        <v>25</v>
      </c>
      <c r="K244" s="1" t="s">
        <v>25</v>
      </c>
      <c r="L244" s="1" t="s">
        <v>26</v>
      </c>
      <c r="M244" s="1" t="s">
        <v>25</v>
      </c>
      <c r="N244" s="1" t="s">
        <v>25</v>
      </c>
      <c r="O244" s="1" t="s">
        <v>25</v>
      </c>
      <c r="P244" s="1" t="s">
        <v>25</v>
      </c>
      <c r="Q244" s="1" t="s">
        <v>25</v>
      </c>
      <c r="R244" s="85" t="str">
        <f t="shared" si="12"/>
        <v>2145902</v>
      </c>
      <c r="S244" t="str">
        <f>VLOOKUP(A244,Data_NV!$A:$C,3,0)</f>
        <v>Phạm Anh Vũ</v>
      </c>
      <c r="T244" t="str">
        <f>VLOOKUP(A244,Data_NV!$A:$E,4,0)</f>
        <v>Kế toán - Văn phòng</v>
      </c>
      <c r="U244" s="82">
        <f>DATEVALUE(Table2[[#This Row],[Ngày]])</f>
        <v>45902</v>
      </c>
      <c r="V244" t="str">
        <f>VLOOKUP(A244,Data_NV!$A:$E,5,0)</f>
        <v>Đang làm việc</v>
      </c>
      <c r="W244" s="10">
        <f>VLOOKUP(A244,Data_NV!$A:$I,8,0)</f>
        <v>0.33333333333333331</v>
      </c>
      <c r="X244" s="10">
        <f>VLOOKUP(A244,Data_NV!$A:$I,9,0)</f>
        <v>0.70833333333333337</v>
      </c>
      <c r="Y244" s="10">
        <f>IFERROR(TIMEVALUE(Table2[[#This Row],[Vào]]),0)</f>
        <v>0</v>
      </c>
      <c r="Z244" s="10">
        <f>IFERROR(TIMEVALUE(Table2[[#This Row],[Ra]]),0)</f>
        <v>0</v>
      </c>
      <c r="AA244" s="97" t="s">
        <v>1349</v>
      </c>
      <c r="AB244" s="105">
        <f t="shared" si="14"/>
        <v>0</v>
      </c>
      <c r="AC244" s="12" t="str">
        <f>IF(VLOOKUP(A244,Data_NV!$A:$I,7,0)="Không","",IF(OR(AND(Y244=0,Z244=0),AND(Y244&lt;&gt;0,Z244&lt;&gt;0)),"","Quên chấm công"))</f>
        <v/>
      </c>
      <c r="AD244" s="12">
        <f>IF(VLOOKUP(A244,Data_NV!$A:$I,7,0)="Không",0,IF(AND(Y244=0,Z244=0),0,IF(X244&lt;=Z244,0,ROUNDDOWN((X244-Z244)*24*60,0))))</f>
        <v>0</v>
      </c>
      <c r="AE244" s="12">
        <f>IF(VLOOKUP(A244,Data_NV!$A:$I,6,0)="Không",0,IF(Z244&lt;=X244,0,ROUNDDOWN((Z244-X244)*24*60,0)))</f>
        <v>0</v>
      </c>
      <c r="AF244" s="26">
        <f t="shared" si="15"/>
        <v>0</v>
      </c>
      <c r="AG244" s="27" t="str">
        <f>IF(AC244="","",IF(COUNTIFS($AC$3:AC244,"Quên chấm công",$S$3:S244,S244)&gt;3,"Không chấm công do vi phạm quá 3 lần",IF(COUNTIFS($AC$3:AC244,"Quên chấm công",$S$3:S244,S244)&gt;2,"Trừ toàn bộ chuyên cần tháng do vi phạm lần 3",IF(COUNTIFS($AC$3:AC244,"Quên chấm công",$S$3:S244,S244)&gt;1,"Trừ 1/2 ngày lương",50000))))</f>
        <v/>
      </c>
      <c r="AH244" s="12" t="str">
        <f>IF(AF244=0,"",IF(COUNTIFS($AF$3:AF244,"&gt;0",$S$3:S244,S244)&gt;3,"Trừ toàn bộ chuyên cần tháng",""))</f>
        <v/>
      </c>
      <c r="AI244" s="98" t="s">
        <v>1369</v>
      </c>
    </row>
    <row r="245" spans="1:35" x14ac:dyDescent="0.25">
      <c r="A245" s="4" t="s">
        <v>352</v>
      </c>
      <c r="B245" s="1" t="s">
        <v>353</v>
      </c>
      <c r="C245" s="1" t="s">
        <v>20</v>
      </c>
      <c r="D245" s="1" t="s">
        <v>28</v>
      </c>
      <c r="E245" s="1" t="s">
        <v>22</v>
      </c>
      <c r="F245" s="1" t="s">
        <v>23</v>
      </c>
      <c r="G245" s="1" t="s">
        <v>12</v>
      </c>
      <c r="H245" s="1" t="s">
        <v>24</v>
      </c>
      <c r="I245" s="1" t="s">
        <v>24</v>
      </c>
      <c r="J245" s="1" t="s">
        <v>25</v>
      </c>
      <c r="K245" s="1" t="s">
        <v>25</v>
      </c>
      <c r="L245" s="1" t="s">
        <v>26</v>
      </c>
      <c r="M245" s="1" t="s">
        <v>25</v>
      </c>
      <c r="N245" s="1" t="s">
        <v>25</v>
      </c>
      <c r="O245" s="1" t="s">
        <v>25</v>
      </c>
      <c r="P245" s="1" t="s">
        <v>25</v>
      </c>
      <c r="Q245" s="1" t="s">
        <v>25</v>
      </c>
      <c r="R245" s="85" t="str">
        <f t="shared" si="12"/>
        <v>2145903</v>
      </c>
      <c r="S245" t="str">
        <f>VLOOKUP(A245,Data_NV!$A:$C,3,0)</f>
        <v>Phạm Anh Vũ</v>
      </c>
      <c r="T245" t="str">
        <f>VLOOKUP(A245,Data_NV!$A:$E,4,0)</f>
        <v>Kế toán - Văn phòng</v>
      </c>
      <c r="U245" s="82">
        <f>DATEVALUE(Table2[[#This Row],[Ngày]])</f>
        <v>45903</v>
      </c>
      <c r="V245" t="str">
        <f>VLOOKUP(A245,Data_NV!$A:$E,5,0)</f>
        <v>Đang làm việc</v>
      </c>
      <c r="W245" s="10">
        <f>VLOOKUP(A245,Data_NV!$A:$I,8,0)</f>
        <v>0.33333333333333331</v>
      </c>
      <c r="X245" s="10">
        <f>VLOOKUP(A245,Data_NV!$A:$I,9,0)</f>
        <v>0.70833333333333337</v>
      </c>
      <c r="Y245" s="10">
        <f>IFERROR(TIMEVALUE(Table2[[#This Row],[Vào]]),0)</f>
        <v>0</v>
      </c>
      <c r="Z245" s="10">
        <f>IFERROR(TIMEVALUE(Table2[[#This Row],[Ra]]),0)</f>
        <v>0</v>
      </c>
      <c r="AA245" t="str">
        <f t="shared" si="13"/>
        <v/>
      </c>
      <c r="AB245" s="105">
        <f t="shared" si="14"/>
        <v>0</v>
      </c>
      <c r="AC245" s="12" t="str">
        <f>IF(VLOOKUP(A245,Data_NV!$A:$I,7,0)="Không","",IF(OR(AND(Y245=0,Z245=0),AND(Y245&lt;&gt;0,Z245&lt;&gt;0)),"","Quên chấm công"))</f>
        <v/>
      </c>
      <c r="AD245" s="12">
        <f>IF(VLOOKUP(A245,Data_NV!$A:$I,7,0)="Không",0,IF(AND(Y245=0,Z245=0),0,IF(X245&lt;=Z245,0,ROUNDDOWN((X245-Z245)*24*60,0))))</f>
        <v>0</v>
      </c>
      <c r="AE245" s="12">
        <f>IF(VLOOKUP(A245,Data_NV!$A:$I,6,0)="Không",0,IF(Z245&lt;=X245,0,ROUNDDOWN((Z245-X245)*24*60,0)))</f>
        <v>0</v>
      </c>
      <c r="AF245" s="26">
        <f t="shared" si="15"/>
        <v>0</v>
      </c>
      <c r="AG245" s="27" t="str">
        <f>IF(AC245="","",IF(COUNTIFS($AC$3:AC245,"Quên chấm công",$S$3:S245,S245)&gt;3,"Không chấm công do vi phạm quá 3 lần",IF(COUNTIFS($AC$3:AC245,"Quên chấm công",$S$3:S245,S245)&gt;2,"Trừ toàn bộ chuyên cần tháng do vi phạm lần 3",IF(COUNTIFS($AC$3:AC245,"Quên chấm công",$S$3:S245,S245)&gt;1,"Trừ 1/2 ngày lương",50000))))</f>
        <v/>
      </c>
      <c r="AH245" s="12" t="str">
        <f>IF(AF245=0,"",IF(COUNTIFS($AF$3:AF245,"&gt;0",$S$3:S245,S245)&gt;3,"Trừ toàn bộ chuyên cần tháng",""))</f>
        <v/>
      </c>
      <c r="AI245" s="12"/>
    </row>
    <row r="246" spans="1:35" x14ac:dyDescent="0.25">
      <c r="A246" s="4" t="s">
        <v>352</v>
      </c>
      <c r="B246" s="1" t="s">
        <v>353</v>
      </c>
      <c r="C246" s="1" t="s">
        <v>20</v>
      </c>
      <c r="D246" s="1" t="s">
        <v>35</v>
      </c>
      <c r="E246" s="1" t="s">
        <v>22</v>
      </c>
      <c r="F246" s="1" t="s">
        <v>23</v>
      </c>
      <c r="G246" s="1" t="s">
        <v>29</v>
      </c>
      <c r="H246" s="1" t="s">
        <v>354</v>
      </c>
      <c r="I246" s="1" t="s">
        <v>355</v>
      </c>
      <c r="J246" s="1" t="s">
        <v>25</v>
      </c>
      <c r="K246" s="1" t="s">
        <v>310</v>
      </c>
      <c r="L246" s="1" t="s">
        <v>25</v>
      </c>
      <c r="M246" s="1" t="s">
        <v>26</v>
      </c>
      <c r="N246" s="1" t="s">
        <v>25</v>
      </c>
      <c r="O246" s="1" t="s">
        <v>311</v>
      </c>
      <c r="P246" s="1" t="s">
        <v>25</v>
      </c>
      <c r="Q246" s="1" t="s">
        <v>25</v>
      </c>
      <c r="R246" s="85" t="str">
        <f t="shared" si="12"/>
        <v>2145904</v>
      </c>
      <c r="S246" t="str">
        <f>VLOOKUP(A246,Data_NV!$A:$C,3,0)</f>
        <v>Phạm Anh Vũ</v>
      </c>
      <c r="T246" t="str">
        <f>VLOOKUP(A246,Data_NV!$A:$E,4,0)</f>
        <v>Kế toán - Văn phòng</v>
      </c>
      <c r="U246" s="82">
        <f>DATEVALUE(Table2[[#This Row],[Ngày]])</f>
        <v>45904</v>
      </c>
      <c r="V246" t="str">
        <f>VLOOKUP(A246,Data_NV!$A:$E,5,0)</f>
        <v>Đang làm việc</v>
      </c>
      <c r="W246" s="10">
        <f>VLOOKUP(A246,Data_NV!$A:$I,8,0)</f>
        <v>0.33333333333333331</v>
      </c>
      <c r="X246" s="10">
        <f>VLOOKUP(A246,Data_NV!$A:$I,9,0)</f>
        <v>0.70833333333333337</v>
      </c>
      <c r="Y246" s="10">
        <f>IFERROR(TIMEVALUE(Table2[[#This Row],[Vào]]),0)</f>
        <v>0.32069444444444445</v>
      </c>
      <c r="Z246" s="10">
        <f>IFERROR(TIMEVALUE(Table2[[#This Row],[Ra]]),0)</f>
        <v>0.76547453703703705</v>
      </c>
      <c r="AA246" t="str">
        <f t="shared" si="13"/>
        <v>x</v>
      </c>
      <c r="AB246" s="105">
        <f t="shared" si="14"/>
        <v>0</v>
      </c>
      <c r="AC246" s="12" t="str">
        <f>IF(VLOOKUP(A246,Data_NV!$A:$I,7,0)="Không","",IF(OR(AND(Y246=0,Z246=0),AND(Y246&lt;&gt;0,Z246&lt;&gt;0)),"","Quên chấm công"))</f>
        <v/>
      </c>
      <c r="AD246" s="12">
        <f>IF(VLOOKUP(A246,Data_NV!$A:$I,7,0)="Không",0,IF(AND(Y246=0,Z246=0),0,IF(X246&lt;=Z246,0,ROUNDDOWN((X246-Z246)*24*60,0))))</f>
        <v>0</v>
      </c>
      <c r="AE246" s="12">
        <f>IF(VLOOKUP(A246,Data_NV!$A:$I,6,0)="Không",0,IF(Z246&lt;=X246,0,ROUNDDOWN((Z246-X246)*24*60,0)))</f>
        <v>82</v>
      </c>
      <c r="AF246" s="26">
        <f t="shared" si="15"/>
        <v>0</v>
      </c>
      <c r="AG246" s="27" t="str">
        <f>IF(AC246="","",IF(COUNTIFS($AC$3:AC246,"Quên chấm công",$S$3:S246,S246)&gt;3,"Không chấm công do vi phạm quá 3 lần",IF(COUNTIFS($AC$3:AC246,"Quên chấm công",$S$3:S246,S246)&gt;2,"Trừ toàn bộ chuyên cần tháng do vi phạm lần 3",IF(COUNTIFS($AC$3:AC246,"Quên chấm công",$S$3:S246,S246)&gt;1,"Trừ 1/2 ngày lương",50000))))</f>
        <v/>
      </c>
      <c r="AH246" s="12" t="str">
        <f>IF(AF246=0,"",IF(COUNTIFS($AF$3:AF246,"&gt;0",$S$3:S246,S246)&gt;3,"Trừ toàn bộ chuyên cần tháng",""))</f>
        <v/>
      </c>
      <c r="AI246" s="12"/>
    </row>
    <row r="247" spans="1:35" x14ac:dyDescent="0.25">
      <c r="A247" s="4" t="s">
        <v>352</v>
      </c>
      <c r="B247" s="1" t="s">
        <v>353</v>
      </c>
      <c r="C247" s="1" t="s">
        <v>20</v>
      </c>
      <c r="D247" s="1" t="s">
        <v>37</v>
      </c>
      <c r="E247" s="1" t="s">
        <v>22</v>
      </c>
      <c r="F247" s="1" t="s">
        <v>23</v>
      </c>
      <c r="G247" s="1" t="s">
        <v>10</v>
      </c>
      <c r="H247" s="1" t="s">
        <v>356</v>
      </c>
      <c r="I247" s="1" t="s">
        <v>357</v>
      </c>
      <c r="J247" s="1" t="s">
        <v>358</v>
      </c>
      <c r="K247" s="1" t="s">
        <v>359</v>
      </c>
      <c r="L247" s="1" t="s">
        <v>25</v>
      </c>
      <c r="M247" s="1" t="s">
        <v>26</v>
      </c>
      <c r="N247" s="1" t="s">
        <v>25</v>
      </c>
      <c r="O247" s="1" t="s">
        <v>360</v>
      </c>
      <c r="P247" s="1" t="s">
        <v>25</v>
      </c>
      <c r="Q247" s="1" t="s">
        <v>25</v>
      </c>
      <c r="R247" s="85" t="str">
        <f t="shared" si="12"/>
        <v>2145905</v>
      </c>
      <c r="S247" t="str">
        <f>VLOOKUP(A247,Data_NV!$A:$C,3,0)</f>
        <v>Phạm Anh Vũ</v>
      </c>
      <c r="T247" t="str">
        <f>VLOOKUP(A247,Data_NV!$A:$E,4,0)</f>
        <v>Kế toán - Văn phòng</v>
      </c>
      <c r="U247" s="82">
        <f>DATEVALUE(Table2[[#This Row],[Ngày]])</f>
        <v>45905</v>
      </c>
      <c r="V247" t="str">
        <f>VLOOKUP(A247,Data_NV!$A:$E,5,0)</f>
        <v>Đang làm việc</v>
      </c>
      <c r="W247" s="10">
        <f>VLOOKUP(A247,Data_NV!$A:$I,8,0)</f>
        <v>0.33333333333333331</v>
      </c>
      <c r="X247" s="10">
        <f>VLOOKUP(A247,Data_NV!$A:$I,9,0)</f>
        <v>0.70833333333333337</v>
      </c>
      <c r="Y247" s="10">
        <f>IFERROR(TIMEVALUE(Table2[[#This Row],[Vào]]),0)</f>
        <v>0.33427083333333335</v>
      </c>
      <c r="Z247" s="10">
        <f>IFERROR(TIMEVALUE(Table2[[#This Row],[Ra]]),0)</f>
        <v>0.78131944444444446</v>
      </c>
      <c r="AA247" t="str">
        <f t="shared" si="13"/>
        <v>x</v>
      </c>
      <c r="AB247" s="105">
        <f t="shared" si="14"/>
        <v>1.3500000000000512</v>
      </c>
      <c r="AC247" s="12" t="str">
        <f>IF(VLOOKUP(A247,Data_NV!$A:$I,7,0)="Không","",IF(OR(AND(Y247=0,Z247=0),AND(Y247&lt;&gt;0,Z247&lt;&gt;0)),"","Quên chấm công"))</f>
        <v/>
      </c>
      <c r="AD247" s="12">
        <f>IF(VLOOKUP(A247,Data_NV!$A:$I,7,0)="Không",0,IF(AND(Y247=0,Z247=0),0,IF(X247&lt;=Z247,0,ROUNDDOWN((X247-Z247)*24*60,0))))</f>
        <v>0</v>
      </c>
      <c r="AE247" s="12">
        <f>IF(VLOOKUP(A247,Data_NV!$A:$I,6,0)="Không",0,IF(Z247&lt;=X247,0,ROUNDDOWN((Z247-X247)*24*60,0)))</f>
        <v>105</v>
      </c>
      <c r="AF247" s="26">
        <f t="shared" si="15"/>
        <v>0</v>
      </c>
      <c r="AG247" s="27" t="str">
        <f>IF(AC247="","",IF(COUNTIFS($AC$3:AC247,"Quên chấm công",$S$3:S247,S247)&gt;3,"Không chấm công do vi phạm quá 3 lần",IF(COUNTIFS($AC$3:AC247,"Quên chấm công",$S$3:S247,S247)&gt;2,"Trừ toàn bộ chuyên cần tháng do vi phạm lần 3",IF(COUNTIFS($AC$3:AC247,"Quên chấm công",$S$3:S247,S247)&gt;1,"Trừ 1/2 ngày lương",50000))))</f>
        <v/>
      </c>
      <c r="AH247" s="12" t="str">
        <f>IF(AF247=0,"",IF(COUNTIFS($AF$3:AF247,"&gt;0",$S$3:S247,S247)&gt;3,"Trừ toàn bộ chuyên cần tháng",""))</f>
        <v/>
      </c>
      <c r="AI247" s="12"/>
    </row>
    <row r="248" spans="1:35" x14ac:dyDescent="0.25">
      <c r="A248" s="4" t="s">
        <v>352</v>
      </c>
      <c r="B248" s="1" t="s">
        <v>353</v>
      </c>
      <c r="C248" s="1" t="s">
        <v>20</v>
      </c>
      <c r="D248" s="1" t="s">
        <v>42</v>
      </c>
      <c r="E248" s="1" t="s">
        <v>22</v>
      </c>
      <c r="F248" s="1" t="s">
        <v>23</v>
      </c>
      <c r="G248" s="1" t="s">
        <v>29</v>
      </c>
      <c r="H248" s="1" t="s">
        <v>361</v>
      </c>
      <c r="I248" s="1" t="s">
        <v>362</v>
      </c>
      <c r="J248" s="1" t="s">
        <v>25</v>
      </c>
      <c r="K248" s="1" t="s">
        <v>363</v>
      </c>
      <c r="L248" s="1" t="s">
        <v>25</v>
      </c>
      <c r="M248" s="1" t="s">
        <v>26</v>
      </c>
      <c r="N248" s="1" t="s">
        <v>25</v>
      </c>
      <c r="O248" s="1" t="s">
        <v>364</v>
      </c>
      <c r="P248" s="1" t="s">
        <v>25</v>
      </c>
      <c r="Q248" s="1" t="s">
        <v>25</v>
      </c>
      <c r="R248" s="85" t="str">
        <f t="shared" si="12"/>
        <v>2145906</v>
      </c>
      <c r="S248" t="str">
        <f>VLOOKUP(A248,Data_NV!$A:$C,3,0)</f>
        <v>Phạm Anh Vũ</v>
      </c>
      <c r="T248" t="str">
        <f>VLOOKUP(A248,Data_NV!$A:$E,4,0)</f>
        <v>Kế toán - Văn phòng</v>
      </c>
      <c r="U248" s="82">
        <f>DATEVALUE(Table2[[#This Row],[Ngày]])</f>
        <v>45906</v>
      </c>
      <c r="V248" t="str">
        <f>VLOOKUP(A248,Data_NV!$A:$E,5,0)</f>
        <v>Đang làm việc</v>
      </c>
      <c r="W248" s="10">
        <f>VLOOKUP(A248,Data_NV!$A:$I,8,0)</f>
        <v>0.33333333333333331</v>
      </c>
      <c r="X248" s="10">
        <f>VLOOKUP(A248,Data_NV!$A:$I,9,0)</f>
        <v>0.70833333333333337</v>
      </c>
      <c r="Y248" s="10">
        <f>IFERROR(TIMEVALUE(Table2[[#This Row],[Vào]]),0)</f>
        <v>0.33243055555555556</v>
      </c>
      <c r="Z248" s="10">
        <f>IFERROR(TIMEVALUE(Table2[[#This Row],[Ra]]),0)</f>
        <v>0.77818287037037037</v>
      </c>
      <c r="AA248" t="str">
        <f t="shared" si="13"/>
        <v>x</v>
      </c>
      <c r="AB248" s="105">
        <f t="shared" si="14"/>
        <v>0</v>
      </c>
      <c r="AC248" s="12" t="str">
        <f>IF(VLOOKUP(A248,Data_NV!$A:$I,7,0)="Không","",IF(OR(AND(Y248=0,Z248=0),AND(Y248&lt;&gt;0,Z248&lt;&gt;0)),"","Quên chấm công"))</f>
        <v/>
      </c>
      <c r="AD248" s="12">
        <f>IF(VLOOKUP(A248,Data_NV!$A:$I,7,0)="Không",0,IF(AND(Y248=0,Z248=0),0,IF(X248&lt;=Z248,0,ROUNDDOWN((X248-Z248)*24*60,0))))</f>
        <v>0</v>
      </c>
      <c r="AE248" s="12">
        <f>IF(VLOOKUP(A248,Data_NV!$A:$I,6,0)="Không",0,IF(Z248&lt;=X248,0,ROUNDDOWN((Z248-X248)*24*60,0)))</f>
        <v>100</v>
      </c>
      <c r="AF248" s="26">
        <f t="shared" si="15"/>
        <v>0</v>
      </c>
      <c r="AG248" s="27" t="str">
        <f>IF(AC248="","",IF(COUNTIFS($AC$3:AC248,"Quên chấm công",$S$3:S248,S248)&gt;3,"Không chấm công do vi phạm quá 3 lần",IF(COUNTIFS($AC$3:AC248,"Quên chấm công",$S$3:S248,S248)&gt;2,"Trừ toàn bộ chuyên cần tháng do vi phạm lần 3",IF(COUNTIFS($AC$3:AC248,"Quên chấm công",$S$3:S248,S248)&gt;1,"Trừ 1/2 ngày lương",50000))))</f>
        <v/>
      </c>
      <c r="AH248" s="12" t="str">
        <f>IF(AF248=0,"",IF(COUNTIFS($AF$3:AF248,"&gt;0",$S$3:S248,S248)&gt;3,"Trừ toàn bộ chuyên cần tháng",""))</f>
        <v/>
      </c>
      <c r="AI248" s="12"/>
    </row>
    <row r="249" spans="1:35" x14ac:dyDescent="0.25">
      <c r="A249" s="4" t="s">
        <v>352</v>
      </c>
      <c r="B249" s="1" t="s">
        <v>353</v>
      </c>
      <c r="C249" s="1" t="s">
        <v>20</v>
      </c>
      <c r="D249" s="1" t="s">
        <v>47</v>
      </c>
      <c r="E249" s="1" t="s">
        <v>22</v>
      </c>
      <c r="F249" s="1" t="s">
        <v>23</v>
      </c>
      <c r="G249" s="1" t="s">
        <v>12</v>
      </c>
      <c r="H249" s="1" t="s">
        <v>24</v>
      </c>
      <c r="I249" s="1" t="s">
        <v>24</v>
      </c>
      <c r="J249" s="1" t="s">
        <v>25</v>
      </c>
      <c r="K249" s="1" t="s">
        <v>25</v>
      </c>
      <c r="L249" s="1" t="s">
        <v>26</v>
      </c>
      <c r="M249" s="1" t="s">
        <v>25</v>
      </c>
      <c r="N249" s="1" t="s">
        <v>25</v>
      </c>
      <c r="O249" s="1" t="s">
        <v>25</v>
      </c>
      <c r="P249" s="1" t="s">
        <v>25</v>
      </c>
      <c r="Q249" s="1" t="s">
        <v>25</v>
      </c>
      <c r="R249" s="85" t="str">
        <f t="shared" si="12"/>
        <v>2145907</v>
      </c>
      <c r="S249" t="str">
        <f>VLOOKUP(A249,Data_NV!$A:$C,3,0)</f>
        <v>Phạm Anh Vũ</v>
      </c>
      <c r="T249" t="str">
        <f>VLOOKUP(A249,Data_NV!$A:$E,4,0)</f>
        <v>Kế toán - Văn phòng</v>
      </c>
      <c r="U249" s="82">
        <f>DATEVALUE(Table2[[#This Row],[Ngày]])</f>
        <v>45907</v>
      </c>
      <c r="V249" t="str">
        <f>VLOOKUP(A249,Data_NV!$A:$E,5,0)</f>
        <v>Đang làm việc</v>
      </c>
      <c r="W249" s="10">
        <f>VLOOKUP(A249,Data_NV!$A:$I,8,0)</f>
        <v>0.33333333333333331</v>
      </c>
      <c r="X249" s="10">
        <f>VLOOKUP(A249,Data_NV!$A:$I,9,0)</f>
        <v>0.70833333333333337</v>
      </c>
      <c r="Y249" s="10">
        <f>IFERROR(TIMEVALUE(Table2[[#This Row],[Vào]]),0)</f>
        <v>0</v>
      </c>
      <c r="Z249" s="10">
        <f>IFERROR(TIMEVALUE(Table2[[#This Row],[Ra]]),0)</f>
        <v>0</v>
      </c>
      <c r="AA249" t="str">
        <f t="shared" si="13"/>
        <v>Chủ nhật</v>
      </c>
      <c r="AB249" s="105">
        <f t="shared" si="14"/>
        <v>0</v>
      </c>
      <c r="AC249" s="12" t="str">
        <f>IF(VLOOKUP(A249,Data_NV!$A:$I,7,0)="Không","",IF(OR(AND(Y249=0,Z249=0),AND(Y249&lt;&gt;0,Z249&lt;&gt;0)),"","Quên chấm công"))</f>
        <v/>
      </c>
      <c r="AD249" s="12">
        <f>IF(VLOOKUP(A249,Data_NV!$A:$I,7,0)="Không",0,IF(AND(Y249=0,Z249=0),0,IF(X249&lt;=Z249,0,ROUNDDOWN((X249-Z249)*24*60,0))))</f>
        <v>0</v>
      </c>
      <c r="AE249" s="12">
        <f>IF(VLOOKUP(A249,Data_NV!$A:$I,6,0)="Không",0,IF(Z249&lt;=X249,0,ROUNDDOWN((Z249-X249)*24*60,0)))</f>
        <v>0</v>
      </c>
      <c r="AF249" s="26">
        <f t="shared" si="15"/>
        <v>0</v>
      </c>
      <c r="AG249" s="27" t="str">
        <f>IF(AC249="","",IF(COUNTIFS($AC$3:AC249,"Quên chấm công",$S$3:S249,S249)&gt;3,"Không chấm công do vi phạm quá 3 lần",IF(COUNTIFS($AC$3:AC249,"Quên chấm công",$S$3:S249,S249)&gt;2,"Trừ toàn bộ chuyên cần tháng do vi phạm lần 3",IF(COUNTIFS($AC$3:AC249,"Quên chấm công",$S$3:S249,S249)&gt;1,"Trừ 1/2 ngày lương",50000))))</f>
        <v/>
      </c>
      <c r="AH249" s="12" t="str">
        <f>IF(AF249=0,"",IF(COUNTIFS($AF$3:AF249,"&gt;0",$S$3:S249,S249)&gt;3,"Trừ toàn bộ chuyên cần tháng",""))</f>
        <v/>
      </c>
      <c r="AI249" s="12"/>
    </row>
    <row r="250" spans="1:35" x14ac:dyDescent="0.25">
      <c r="A250" s="4" t="s">
        <v>352</v>
      </c>
      <c r="B250" s="1" t="s">
        <v>353</v>
      </c>
      <c r="C250" s="1" t="s">
        <v>20</v>
      </c>
      <c r="D250" s="1" t="s">
        <v>48</v>
      </c>
      <c r="E250" s="1" t="s">
        <v>22</v>
      </c>
      <c r="F250" s="1" t="s">
        <v>23</v>
      </c>
      <c r="G250" s="1" t="s">
        <v>29</v>
      </c>
      <c r="H250" s="1" t="s">
        <v>365</v>
      </c>
      <c r="I250" s="1" t="s">
        <v>366</v>
      </c>
      <c r="J250" s="1" t="s">
        <v>25</v>
      </c>
      <c r="K250" s="1" t="s">
        <v>51</v>
      </c>
      <c r="L250" s="1" t="s">
        <v>25</v>
      </c>
      <c r="M250" s="1" t="s">
        <v>26</v>
      </c>
      <c r="N250" s="1" t="s">
        <v>25</v>
      </c>
      <c r="O250" s="1" t="s">
        <v>52</v>
      </c>
      <c r="P250" s="1" t="s">
        <v>25</v>
      </c>
      <c r="Q250" s="1" t="s">
        <v>25</v>
      </c>
      <c r="R250" s="85" t="str">
        <f t="shared" si="12"/>
        <v>2145908</v>
      </c>
      <c r="S250" t="str">
        <f>VLOOKUP(A250,Data_NV!$A:$C,3,0)</f>
        <v>Phạm Anh Vũ</v>
      </c>
      <c r="T250" t="str">
        <f>VLOOKUP(A250,Data_NV!$A:$E,4,0)</f>
        <v>Kế toán - Văn phòng</v>
      </c>
      <c r="U250" s="82">
        <f>DATEVALUE(Table2[[#This Row],[Ngày]])</f>
        <v>45908</v>
      </c>
      <c r="V250" t="str">
        <f>VLOOKUP(A250,Data_NV!$A:$E,5,0)</f>
        <v>Đang làm việc</v>
      </c>
      <c r="W250" s="10">
        <f>VLOOKUP(A250,Data_NV!$A:$I,8,0)</f>
        <v>0.33333333333333331</v>
      </c>
      <c r="X250" s="10">
        <f>VLOOKUP(A250,Data_NV!$A:$I,9,0)</f>
        <v>0.70833333333333337</v>
      </c>
      <c r="Y250" s="10">
        <f>IFERROR(TIMEVALUE(Table2[[#This Row],[Vào]]),0)</f>
        <v>0.3322222222222222</v>
      </c>
      <c r="Z250" s="10">
        <f>IFERROR(TIMEVALUE(Table2[[#This Row],[Ra]]),0)</f>
        <v>0.77193287037037039</v>
      </c>
      <c r="AA250" t="str">
        <f t="shared" si="13"/>
        <v>x</v>
      </c>
      <c r="AB250" s="105">
        <f t="shared" si="14"/>
        <v>0</v>
      </c>
      <c r="AC250" s="12" t="str">
        <f>IF(VLOOKUP(A250,Data_NV!$A:$I,7,0)="Không","",IF(OR(AND(Y250=0,Z250=0),AND(Y250&lt;&gt;0,Z250&lt;&gt;0)),"","Quên chấm công"))</f>
        <v/>
      </c>
      <c r="AD250" s="12">
        <f>IF(VLOOKUP(A250,Data_NV!$A:$I,7,0)="Không",0,IF(AND(Y250=0,Z250=0),0,IF(X250&lt;=Z250,0,ROUNDDOWN((X250-Z250)*24*60,0))))</f>
        <v>0</v>
      </c>
      <c r="AE250" s="12">
        <f>IF(VLOOKUP(A250,Data_NV!$A:$I,6,0)="Không",0,IF(Z250&lt;=X250,0,ROUNDDOWN((Z250-X250)*24*60,0)))</f>
        <v>91</v>
      </c>
      <c r="AF250" s="26">
        <f t="shared" si="15"/>
        <v>0</v>
      </c>
      <c r="AG250" s="27" t="str">
        <f>IF(AC250="","",IF(COUNTIFS($AC$3:AC250,"Quên chấm công",$S$3:S250,S250)&gt;3,"Không chấm công do vi phạm quá 3 lần",IF(COUNTIFS($AC$3:AC250,"Quên chấm công",$S$3:S250,S250)&gt;2,"Trừ toàn bộ chuyên cần tháng do vi phạm lần 3",IF(COUNTIFS($AC$3:AC250,"Quên chấm công",$S$3:S250,S250)&gt;1,"Trừ 1/2 ngày lương",50000))))</f>
        <v/>
      </c>
      <c r="AH250" s="12" t="str">
        <f>IF(AF250=0,"",IF(COUNTIFS($AF$3:AF250,"&gt;0",$S$3:S250,S250)&gt;3,"Trừ toàn bộ chuyên cần tháng",""))</f>
        <v/>
      </c>
      <c r="AI250" s="12"/>
    </row>
    <row r="251" spans="1:35" x14ac:dyDescent="0.25">
      <c r="A251" s="4" t="s">
        <v>352</v>
      </c>
      <c r="B251" s="1" t="s">
        <v>353</v>
      </c>
      <c r="C251" s="1" t="s">
        <v>20</v>
      </c>
      <c r="D251" s="1" t="s">
        <v>53</v>
      </c>
      <c r="E251" s="1" t="s">
        <v>22</v>
      </c>
      <c r="F251" s="1" t="s">
        <v>23</v>
      </c>
      <c r="G251" s="1" t="s">
        <v>29</v>
      </c>
      <c r="H251" s="1" t="s">
        <v>367</v>
      </c>
      <c r="I251" s="1" t="s">
        <v>368</v>
      </c>
      <c r="J251" s="1" t="s">
        <v>25</v>
      </c>
      <c r="K251" s="1" t="s">
        <v>369</v>
      </c>
      <c r="L251" s="1" t="s">
        <v>25</v>
      </c>
      <c r="M251" s="1" t="s">
        <v>26</v>
      </c>
      <c r="N251" s="1" t="s">
        <v>25</v>
      </c>
      <c r="O251" s="1" t="s">
        <v>316</v>
      </c>
      <c r="P251" s="1" t="s">
        <v>25</v>
      </c>
      <c r="Q251" s="1" t="s">
        <v>25</v>
      </c>
      <c r="R251" s="85" t="str">
        <f t="shared" si="12"/>
        <v>2145909</v>
      </c>
      <c r="S251" t="str">
        <f>VLOOKUP(A251,Data_NV!$A:$C,3,0)</f>
        <v>Phạm Anh Vũ</v>
      </c>
      <c r="T251" t="str">
        <f>VLOOKUP(A251,Data_NV!$A:$E,4,0)</f>
        <v>Kế toán - Văn phòng</v>
      </c>
      <c r="U251" s="82">
        <f>DATEVALUE(Table2[[#This Row],[Ngày]])</f>
        <v>45909</v>
      </c>
      <c r="V251" t="str">
        <f>VLOOKUP(A251,Data_NV!$A:$E,5,0)</f>
        <v>Đang làm việc</v>
      </c>
      <c r="W251" s="10">
        <f>VLOOKUP(A251,Data_NV!$A:$I,8,0)</f>
        <v>0.33333333333333331</v>
      </c>
      <c r="X251" s="10">
        <f>VLOOKUP(A251,Data_NV!$A:$I,9,0)</f>
        <v>0.70833333333333337</v>
      </c>
      <c r="Y251" s="10">
        <f>IFERROR(TIMEVALUE(Table2[[#This Row],[Vào]]),0)</f>
        <v>0.33224537037037039</v>
      </c>
      <c r="Z251" s="10">
        <f>IFERROR(TIMEVALUE(Table2[[#This Row],[Ra]]),0)</f>
        <v>0.78703703703703709</v>
      </c>
      <c r="AA251" t="str">
        <f t="shared" si="13"/>
        <v>x</v>
      </c>
      <c r="AB251" s="105">
        <f t="shared" si="14"/>
        <v>0</v>
      </c>
      <c r="AC251" s="12" t="str">
        <f>IF(VLOOKUP(A251,Data_NV!$A:$I,7,0)="Không","",IF(OR(AND(Y251=0,Z251=0),AND(Y251&lt;&gt;0,Z251&lt;&gt;0)),"","Quên chấm công"))</f>
        <v/>
      </c>
      <c r="AD251" s="12">
        <f>IF(VLOOKUP(A251,Data_NV!$A:$I,7,0)="Không",0,IF(AND(Y251=0,Z251=0),0,IF(X251&lt;=Z251,0,ROUNDDOWN((X251-Z251)*24*60,0))))</f>
        <v>0</v>
      </c>
      <c r="AE251" s="12">
        <f>IF(VLOOKUP(A251,Data_NV!$A:$I,6,0)="Không",0,IF(Z251&lt;=X251,0,ROUNDDOWN((Z251-X251)*24*60,0)))</f>
        <v>113</v>
      </c>
      <c r="AF251" s="26">
        <f t="shared" si="15"/>
        <v>0</v>
      </c>
      <c r="AG251" s="27" t="str">
        <f>IF(AC251="","",IF(COUNTIFS($AC$3:AC251,"Quên chấm công",$S$3:S251,S251)&gt;3,"Không chấm công do vi phạm quá 3 lần",IF(COUNTIFS($AC$3:AC251,"Quên chấm công",$S$3:S251,S251)&gt;2,"Trừ toàn bộ chuyên cần tháng do vi phạm lần 3",IF(COUNTIFS($AC$3:AC251,"Quên chấm công",$S$3:S251,S251)&gt;1,"Trừ 1/2 ngày lương",50000))))</f>
        <v/>
      </c>
      <c r="AH251" s="12" t="str">
        <f>IF(AF251=0,"",IF(COUNTIFS($AF$3:AF251,"&gt;0",$S$3:S251,S251)&gt;3,"Trừ toàn bộ chuyên cần tháng",""))</f>
        <v/>
      </c>
      <c r="AI251" s="12"/>
    </row>
    <row r="252" spans="1:35" x14ac:dyDescent="0.25">
      <c r="A252" s="4" t="s">
        <v>352</v>
      </c>
      <c r="B252" s="1" t="s">
        <v>353</v>
      </c>
      <c r="C252" s="1" t="s">
        <v>20</v>
      </c>
      <c r="D252" s="1" t="s">
        <v>58</v>
      </c>
      <c r="E252" s="1" t="s">
        <v>22</v>
      </c>
      <c r="F252" s="1" t="s">
        <v>23</v>
      </c>
      <c r="G252" s="1" t="s">
        <v>10</v>
      </c>
      <c r="H252" s="1" t="s">
        <v>370</v>
      </c>
      <c r="I252" s="1" t="s">
        <v>371</v>
      </c>
      <c r="J252" s="1" t="s">
        <v>25</v>
      </c>
      <c r="K252" s="1" t="s">
        <v>372</v>
      </c>
      <c r="L252" s="1" t="s">
        <v>25</v>
      </c>
      <c r="M252" s="1" t="s">
        <v>26</v>
      </c>
      <c r="N252" s="1" t="s">
        <v>25</v>
      </c>
      <c r="O252" s="1" t="s">
        <v>373</v>
      </c>
      <c r="P252" s="1" t="s">
        <v>25</v>
      </c>
      <c r="Q252" s="1" t="s">
        <v>25</v>
      </c>
      <c r="R252" s="85" t="str">
        <f t="shared" si="12"/>
        <v>2145910</v>
      </c>
      <c r="S252" t="str">
        <f>VLOOKUP(A252,Data_NV!$A:$C,3,0)</f>
        <v>Phạm Anh Vũ</v>
      </c>
      <c r="T252" t="str">
        <f>VLOOKUP(A252,Data_NV!$A:$E,4,0)</f>
        <v>Kế toán - Văn phòng</v>
      </c>
      <c r="U252" s="82">
        <f>DATEVALUE(Table2[[#This Row],[Ngày]])</f>
        <v>45910</v>
      </c>
      <c r="V252" t="str">
        <f>VLOOKUP(A252,Data_NV!$A:$E,5,0)</f>
        <v>Đang làm việc</v>
      </c>
      <c r="W252" s="10">
        <f>VLOOKUP(A252,Data_NV!$A:$I,8,0)</f>
        <v>0.33333333333333331</v>
      </c>
      <c r="X252" s="10">
        <f>VLOOKUP(A252,Data_NV!$A:$I,9,0)</f>
        <v>0.70833333333333337</v>
      </c>
      <c r="Y252" s="10">
        <f>IFERROR(TIMEVALUE(Table2[[#This Row],[Vào]]),0)</f>
        <v>0.33336805555555554</v>
      </c>
      <c r="Z252" s="10">
        <f>IFERROR(TIMEVALUE(Table2[[#This Row],[Ra]]),0)</f>
        <v>0.7826967592592593</v>
      </c>
      <c r="AA252" t="str">
        <f t="shared" si="13"/>
        <v>x</v>
      </c>
      <c r="AB252" s="105">
        <f t="shared" si="14"/>
        <v>5.0000000000007816E-2</v>
      </c>
      <c r="AC252" s="12" t="str">
        <f>IF(VLOOKUP(A252,Data_NV!$A:$I,7,0)="Không","",IF(OR(AND(Y252=0,Z252=0),AND(Y252&lt;&gt;0,Z252&lt;&gt;0)),"","Quên chấm công"))</f>
        <v/>
      </c>
      <c r="AD252" s="12">
        <f>IF(VLOOKUP(A252,Data_NV!$A:$I,7,0)="Không",0,IF(AND(Y252=0,Z252=0),0,IF(X252&lt;=Z252,0,ROUNDDOWN((X252-Z252)*24*60,0))))</f>
        <v>0</v>
      </c>
      <c r="AE252" s="12">
        <f>IF(VLOOKUP(A252,Data_NV!$A:$I,6,0)="Không",0,IF(Z252&lt;=X252,0,ROUNDDOWN((Z252-X252)*24*60,0)))</f>
        <v>107</v>
      </c>
      <c r="AF252" s="26">
        <f t="shared" si="15"/>
        <v>0</v>
      </c>
      <c r="AG252" s="27" t="str">
        <f>IF(AC252="","",IF(COUNTIFS($AC$3:AC252,"Quên chấm công",$S$3:S252,S252)&gt;3,"Không chấm công do vi phạm quá 3 lần",IF(COUNTIFS($AC$3:AC252,"Quên chấm công",$S$3:S252,S252)&gt;2,"Trừ toàn bộ chuyên cần tháng do vi phạm lần 3",IF(COUNTIFS($AC$3:AC252,"Quên chấm công",$S$3:S252,S252)&gt;1,"Trừ 1/2 ngày lương",50000))))</f>
        <v/>
      </c>
      <c r="AH252" s="12" t="str">
        <f>IF(AF252=0,"",IF(COUNTIFS($AF$3:AF252,"&gt;0",$S$3:S252,S252)&gt;3,"Trừ toàn bộ chuyên cần tháng",""))</f>
        <v/>
      </c>
      <c r="AI252" s="12"/>
    </row>
    <row r="253" spans="1:35" x14ac:dyDescent="0.25">
      <c r="A253" s="4" t="s">
        <v>352</v>
      </c>
      <c r="B253" s="1" t="s">
        <v>353</v>
      </c>
      <c r="C253" s="1" t="s">
        <v>20</v>
      </c>
      <c r="D253" s="1" t="s">
        <v>63</v>
      </c>
      <c r="E253" s="1" t="s">
        <v>22</v>
      </c>
      <c r="F253" s="1" t="s">
        <v>23</v>
      </c>
      <c r="G253" s="1" t="s">
        <v>29</v>
      </c>
      <c r="H253" s="1" t="s">
        <v>374</v>
      </c>
      <c r="I253" s="1" t="s">
        <v>375</v>
      </c>
      <c r="J253" s="1" t="s">
        <v>25</v>
      </c>
      <c r="K253" s="1" t="s">
        <v>376</v>
      </c>
      <c r="L253" s="1" t="s">
        <v>25</v>
      </c>
      <c r="M253" s="1" t="s">
        <v>26</v>
      </c>
      <c r="N253" s="1" t="s">
        <v>25</v>
      </c>
      <c r="O253" s="1" t="s">
        <v>377</v>
      </c>
      <c r="P253" s="1" t="s">
        <v>25</v>
      </c>
      <c r="Q253" s="1" t="s">
        <v>25</v>
      </c>
      <c r="R253" s="85" t="str">
        <f t="shared" si="12"/>
        <v>2145911</v>
      </c>
      <c r="S253" t="str">
        <f>VLOOKUP(A253,Data_NV!$A:$C,3,0)</f>
        <v>Phạm Anh Vũ</v>
      </c>
      <c r="T253" t="str">
        <f>VLOOKUP(A253,Data_NV!$A:$E,4,0)</f>
        <v>Kế toán - Văn phòng</v>
      </c>
      <c r="U253" s="82">
        <f>DATEVALUE(Table2[[#This Row],[Ngày]])</f>
        <v>45911</v>
      </c>
      <c r="V253" t="str">
        <f>VLOOKUP(A253,Data_NV!$A:$E,5,0)</f>
        <v>Đang làm việc</v>
      </c>
      <c r="W253" s="10">
        <f>VLOOKUP(A253,Data_NV!$A:$I,8,0)</f>
        <v>0.33333333333333331</v>
      </c>
      <c r="X253" s="10">
        <f>VLOOKUP(A253,Data_NV!$A:$I,9,0)</f>
        <v>0.70833333333333337</v>
      </c>
      <c r="Y253" s="10">
        <f>IFERROR(TIMEVALUE(Table2[[#This Row],[Vào]]),0)</f>
        <v>0.3321412037037037</v>
      </c>
      <c r="Z253" s="10">
        <f>IFERROR(TIMEVALUE(Table2[[#This Row],[Ra]]),0)</f>
        <v>0.78760416666666666</v>
      </c>
      <c r="AA253" t="str">
        <f t="shared" si="13"/>
        <v>x</v>
      </c>
      <c r="AB253" s="105">
        <f t="shared" si="14"/>
        <v>0</v>
      </c>
      <c r="AC253" s="12" t="str">
        <f>IF(VLOOKUP(A253,Data_NV!$A:$I,7,0)="Không","",IF(OR(AND(Y253=0,Z253=0),AND(Y253&lt;&gt;0,Z253&lt;&gt;0)),"","Quên chấm công"))</f>
        <v/>
      </c>
      <c r="AD253" s="12">
        <f>IF(VLOOKUP(A253,Data_NV!$A:$I,7,0)="Không",0,IF(AND(Y253=0,Z253=0),0,IF(X253&lt;=Z253,0,ROUNDDOWN((X253-Z253)*24*60,0))))</f>
        <v>0</v>
      </c>
      <c r="AE253" s="12">
        <f>IF(VLOOKUP(A253,Data_NV!$A:$I,6,0)="Không",0,IF(Z253&lt;=X253,0,ROUNDDOWN((Z253-X253)*24*60,0)))</f>
        <v>114</v>
      </c>
      <c r="AF253" s="26">
        <f t="shared" si="15"/>
        <v>0</v>
      </c>
      <c r="AG253" s="27" t="str">
        <f>IF(AC253="","",IF(COUNTIFS($AC$3:AC253,"Quên chấm công",$S$3:S253,S253)&gt;3,"Không chấm công do vi phạm quá 3 lần",IF(COUNTIFS($AC$3:AC253,"Quên chấm công",$S$3:S253,S253)&gt;2,"Trừ toàn bộ chuyên cần tháng do vi phạm lần 3",IF(COUNTIFS($AC$3:AC253,"Quên chấm công",$S$3:S253,S253)&gt;1,"Trừ 1/2 ngày lương",50000))))</f>
        <v/>
      </c>
      <c r="AH253" s="12" t="str">
        <f>IF(AF253=0,"",IF(COUNTIFS($AF$3:AF253,"&gt;0",$S$3:S253,S253)&gt;3,"Trừ toàn bộ chuyên cần tháng",""))</f>
        <v/>
      </c>
      <c r="AI253" s="12"/>
    </row>
    <row r="254" spans="1:35" x14ac:dyDescent="0.25">
      <c r="A254" s="4" t="s">
        <v>352</v>
      </c>
      <c r="B254" s="1" t="s">
        <v>353</v>
      </c>
      <c r="C254" s="1" t="s">
        <v>20</v>
      </c>
      <c r="D254" s="1" t="s">
        <v>67</v>
      </c>
      <c r="E254" s="1" t="s">
        <v>22</v>
      </c>
      <c r="F254" s="1" t="s">
        <v>23</v>
      </c>
      <c r="G254" s="1" t="s">
        <v>10</v>
      </c>
      <c r="H254" s="1" t="s">
        <v>378</v>
      </c>
      <c r="I254" s="1" t="s">
        <v>379</v>
      </c>
      <c r="J254" s="1" t="s">
        <v>314</v>
      </c>
      <c r="K254" s="1" t="s">
        <v>380</v>
      </c>
      <c r="L254" s="1" t="s">
        <v>25</v>
      </c>
      <c r="M254" s="1" t="s">
        <v>26</v>
      </c>
      <c r="N254" s="1" t="s">
        <v>25</v>
      </c>
      <c r="O254" s="1" t="s">
        <v>99</v>
      </c>
      <c r="P254" s="1" t="s">
        <v>25</v>
      </c>
      <c r="Q254" s="1" t="s">
        <v>25</v>
      </c>
      <c r="R254" s="85" t="str">
        <f t="shared" si="12"/>
        <v>2145912</v>
      </c>
      <c r="S254" t="str">
        <f>VLOOKUP(A254,Data_NV!$A:$C,3,0)</f>
        <v>Phạm Anh Vũ</v>
      </c>
      <c r="T254" t="str">
        <f>VLOOKUP(A254,Data_NV!$A:$E,4,0)</f>
        <v>Kế toán - Văn phòng</v>
      </c>
      <c r="U254" s="82">
        <f>DATEVALUE(Table2[[#This Row],[Ngày]])</f>
        <v>45912</v>
      </c>
      <c r="V254" t="str">
        <f>VLOOKUP(A254,Data_NV!$A:$E,5,0)</f>
        <v>Đang làm việc</v>
      </c>
      <c r="W254" s="10">
        <f>VLOOKUP(A254,Data_NV!$A:$I,8,0)</f>
        <v>0.33333333333333331</v>
      </c>
      <c r="X254" s="10">
        <f>VLOOKUP(A254,Data_NV!$A:$I,9,0)</f>
        <v>0.70833333333333337</v>
      </c>
      <c r="Y254" s="10">
        <f>IFERROR(TIMEVALUE(Table2[[#This Row],[Vào]]),0)</f>
        <v>0.33501157407407406</v>
      </c>
      <c r="Z254" s="10">
        <f>IFERROR(TIMEVALUE(Table2[[#This Row],[Ra]]),0)</f>
        <v>0.76806712962962964</v>
      </c>
      <c r="AA254" t="str">
        <f t="shared" si="13"/>
        <v>x</v>
      </c>
      <c r="AB254" s="105">
        <f t="shared" si="14"/>
        <v>2.4166666666666714</v>
      </c>
      <c r="AC254" s="12" t="str">
        <f>IF(VLOOKUP(A254,Data_NV!$A:$I,7,0)="Không","",IF(OR(AND(Y254=0,Z254=0),AND(Y254&lt;&gt;0,Z254&lt;&gt;0)),"","Quên chấm công"))</f>
        <v/>
      </c>
      <c r="AD254" s="12">
        <f>IF(VLOOKUP(A254,Data_NV!$A:$I,7,0)="Không",0,IF(AND(Y254=0,Z254=0),0,IF(X254&lt;=Z254,0,ROUNDDOWN((X254-Z254)*24*60,0))))</f>
        <v>0</v>
      </c>
      <c r="AE254" s="12">
        <f>IF(VLOOKUP(A254,Data_NV!$A:$I,6,0)="Không",0,IF(Z254&lt;=X254,0,ROUNDDOWN((Z254-X254)*24*60,0)))</f>
        <v>86</v>
      </c>
      <c r="AF254" s="26">
        <f t="shared" si="15"/>
        <v>0</v>
      </c>
      <c r="AG254" s="27" t="str">
        <f>IF(AC254="","",IF(COUNTIFS($AC$3:AC254,"Quên chấm công",$S$3:S254,S254)&gt;3,"Không chấm công do vi phạm quá 3 lần",IF(COUNTIFS($AC$3:AC254,"Quên chấm công",$S$3:S254,S254)&gt;2,"Trừ toàn bộ chuyên cần tháng do vi phạm lần 3",IF(COUNTIFS($AC$3:AC254,"Quên chấm công",$S$3:S254,S254)&gt;1,"Trừ 1/2 ngày lương",50000))))</f>
        <v/>
      </c>
      <c r="AH254" s="12" t="str">
        <f>IF(AF254=0,"",IF(COUNTIFS($AF$3:AF254,"&gt;0",$S$3:S254,S254)&gt;3,"Trừ toàn bộ chuyên cần tháng",""))</f>
        <v/>
      </c>
      <c r="AI254" s="12"/>
    </row>
    <row r="255" spans="1:35" x14ac:dyDescent="0.25">
      <c r="A255" s="4" t="s">
        <v>352</v>
      </c>
      <c r="B255" s="1" t="s">
        <v>353</v>
      </c>
      <c r="C255" s="1" t="s">
        <v>20</v>
      </c>
      <c r="D255" s="1" t="s">
        <v>69</v>
      </c>
      <c r="E255" s="1" t="s">
        <v>22</v>
      </c>
      <c r="F255" s="1" t="s">
        <v>23</v>
      </c>
      <c r="G255" s="1" t="s">
        <v>29</v>
      </c>
      <c r="H255" s="1" t="s">
        <v>381</v>
      </c>
      <c r="I255" s="1" t="s">
        <v>382</v>
      </c>
      <c r="J255" s="1" t="s">
        <v>25</v>
      </c>
      <c r="K255" s="1" t="s">
        <v>383</v>
      </c>
      <c r="L255" s="1" t="s">
        <v>25</v>
      </c>
      <c r="M255" s="1" t="s">
        <v>26</v>
      </c>
      <c r="N255" s="1" t="s">
        <v>25</v>
      </c>
      <c r="O255" s="1" t="s">
        <v>384</v>
      </c>
      <c r="P255" s="1" t="s">
        <v>25</v>
      </c>
      <c r="Q255" s="1" t="s">
        <v>25</v>
      </c>
      <c r="R255" s="85" t="str">
        <f t="shared" si="12"/>
        <v>2145913</v>
      </c>
      <c r="S255" t="str">
        <f>VLOOKUP(A255,Data_NV!$A:$C,3,0)</f>
        <v>Phạm Anh Vũ</v>
      </c>
      <c r="T255" t="str">
        <f>VLOOKUP(A255,Data_NV!$A:$E,4,0)</f>
        <v>Kế toán - Văn phòng</v>
      </c>
      <c r="U255" s="82">
        <f>DATEVALUE(Table2[[#This Row],[Ngày]])</f>
        <v>45913</v>
      </c>
      <c r="V255" t="str">
        <f>VLOOKUP(A255,Data_NV!$A:$E,5,0)</f>
        <v>Đang làm việc</v>
      </c>
      <c r="W255" s="10">
        <f>VLOOKUP(A255,Data_NV!$A:$I,8,0)</f>
        <v>0.33333333333333331</v>
      </c>
      <c r="X255" s="10">
        <f>VLOOKUP(A255,Data_NV!$A:$I,9,0)</f>
        <v>0.70833333333333337</v>
      </c>
      <c r="Y255" s="10">
        <f>IFERROR(TIMEVALUE(Table2[[#This Row],[Vào]]),0)</f>
        <v>0.33006944444444447</v>
      </c>
      <c r="Z255" s="10">
        <f>IFERROR(TIMEVALUE(Table2[[#This Row],[Ra]]),0)</f>
        <v>0.7557638888888889</v>
      </c>
      <c r="AA255" t="str">
        <f t="shared" si="13"/>
        <v>x</v>
      </c>
      <c r="AB255" s="105">
        <f t="shared" si="14"/>
        <v>0</v>
      </c>
      <c r="AC255" s="12" t="str">
        <f>IF(VLOOKUP(A255,Data_NV!$A:$I,7,0)="Không","",IF(OR(AND(Y255=0,Z255=0),AND(Y255&lt;&gt;0,Z255&lt;&gt;0)),"","Quên chấm công"))</f>
        <v/>
      </c>
      <c r="AD255" s="12">
        <f>IF(VLOOKUP(A255,Data_NV!$A:$I,7,0)="Không",0,IF(AND(Y255=0,Z255=0),0,IF(X255&lt;=Z255,0,ROUNDDOWN((X255-Z255)*24*60,0))))</f>
        <v>0</v>
      </c>
      <c r="AE255" s="12">
        <f>IF(VLOOKUP(A255,Data_NV!$A:$I,6,0)="Không",0,IF(Z255&lt;=X255,0,ROUNDDOWN((Z255-X255)*24*60,0)))</f>
        <v>68</v>
      </c>
      <c r="AF255" s="26">
        <f t="shared" si="15"/>
        <v>0</v>
      </c>
      <c r="AG255" s="27" t="str">
        <f>IF(AC255="","",IF(COUNTIFS($AC$3:AC255,"Quên chấm công",$S$3:S255,S255)&gt;3,"Không chấm công do vi phạm quá 3 lần",IF(COUNTIFS($AC$3:AC255,"Quên chấm công",$S$3:S255,S255)&gt;2,"Trừ toàn bộ chuyên cần tháng do vi phạm lần 3",IF(COUNTIFS($AC$3:AC255,"Quên chấm công",$S$3:S255,S255)&gt;1,"Trừ 1/2 ngày lương",50000))))</f>
        <v/>
      </c>
      <c r="AH255" s="12" t="str">
        <f>IF(AF255=0,"",IF(COUNTIFS($AF$3:AF255,"&gt;0",$S$3:S255,S255)&gt;3,"Trừ toàn bộ chuyên cần tháng",""))</f>
        <v/>
      </c>
      <c r="AI255" s="12"/>
    </row>
    <row r="256" spans="1:35" x14ac:dyDescent="0.25">
      <c r="A256" s="4" t="s">
        <v>352</v>
      </c>
      <c r="B256" s="1" t="s">
        <v>353</v>
      </c>
      <c r="C256" s="1" t="s">
        <v>20</v>
      </c>
      <c r="D256" s="1" t="s">
        <v>74</v>
      </c>
      <c r="E256" s="1" t="s">
        <v>22</v>
      </c>
      <c r="F256" s="1" t="s">
        <v>23</v>
      </c>
      <c r="G256" s="1" t="s">
        <v>12</v>
      </c>
      <c r="H256" s="1" t="s">
        <v>24</v>
      </c>
      <c r="I256" s="1" t="s">
        <v>24</v>
      </c>
      <c r="J256" s="1" t="s">
        <v>25</v>
      </c>
      <c r="K256" s="1" t="s">
        <v>25</v>
      </c>
      <c r="L256" s="1" t="s">
        <v>26</v>
      </c>
      <c r="M256" s="1" t="s">
        <v>25</v>
      </c>
      <c r="N256" s="1" t="s">
        <v>25</v>
      </c>
      <c r="O256" s="1" t="s">
        <v>25</v>
      </c>
      <c r="P256" s="1" t="s">
        <v>25</v>
      </c>
      <c r="Q256" s="1" t="s">
        <v>25</v>
      </c>
      <c r="R256" s="85" t="str">
        <f t="shared" si="12"/>
        <v>2145914</v>
      </c>
      <c r="S256" t="str">
        <f>VLOOKUP(A256,Data_NV!$A:$C,3,0)</f>
        <v>Phạm Anh Vũ</v>
      </c>
      <c r="T256" t="str">
        <f>VLOOKUP(A256,Data_NV!$A:$E,4,0)</f>
        <v>Kế toán - Văn phòng</v>
      </c>
      <c r="U256" s="82">
        <f>DATEVALUE(Table2[[#This Row],[Ngày]])</f>
        <v>45914</v>
      </c>
      <c r="V256" t="str">
        <f>VLOOKUP(A256,Data_NV!$A:$E,5,0)</f>
        <v>Đang làm việc</v>
      </c>
      <c r="W256" s="10">
        <f>VLOOKUP(A256,Data_NV!$A:$I,8,0)</f>
        <v>0.33333333333333331</v>
      </c>
      <c r="X256" s="10">
        <f>VLOOKUP(A256,Data_NV!$A:$I,9,0)</f>
        <v>0.70833333333333337</v>
      </c>
      <c r="Y256" s="10">
        <f>IFERROR(TIMEVALUE(Table2[[#This Row],[Vào]]),0)</f>
        <v>0</v>
      </c>
      <c r="Z256" s="10">
        <f>IFERROR(TIMEVALUE(Table2[[#This Row],[Ra]]),0)</f>
        <v>0</v>
      </c>
      <c r="AA256" t="str">
        <f t="shared" si="13"/>
        <v>Chủ nhật</v>
      </c>
      <c r="AB256" s="105">
        <f t="shared" si="14"/>
        <v>0</v>
      </c>
      <c r="AC256" s="12" t="str">
        <f>IF(VLOOKUP(A256,Data_NV!$A:$I,7,0)="Không","",IF(OR(AND(Y256=0,Z256=0),AND(Y256&lt;&gt;0,Z256&lt;&gt;0)),"","Quên chấm công"))</f>
        <v/>
      </c>
      <c r="AD256" s="12">
        <f>IF(VLOOKUP(A256,Data_NV!$A:$I,7,0)="Không",0,IF(AND(Y256=0,Z256=0),0,IF(X256&lt;=Z256,0,ROUNDDOWN((X256-Z256)*24*60,0))))</f>
        <v>0</v>
      </c>
      <c r="AE256" s="12">
        <f>IF(VLOOKUP(A256,Data_NV!$A:$I,6,0)="Không",0,IF(Z256&lt;=X256,0,ROUNDDOWN((Z256-X256)*24*60,0)))</f>
        <v>0</v>
      </c>
      <c r="AF256" s="26">
        <f t="shared" si="15"/>
        <v>0</v>
      </c>
      <c r="AG256" s="27" t="str">
        <f>IF(AC256="","",IF(COUNTIFS($AC$3:AC256,"Quên chấm công",$S$3:S256,S256)&gt;3,"Không chấm công do vi phạm quá 3 lần",IF(COUNTIFS($AC$3:AC256,"Quên chấm công",$S$3:S256,S256)&gt;2,"Trừ toàn bộ chuyên cần tháng do vi phạm lần 3",IF(COUNTIFS($AC$3:AC256,"Quên chấm công",$S$3:S256,S256)&gt;1,"Trừ 1/2 ngày lương",50000))))</f>
        <v/>
      </c>
      <c r="AH256" s="12" t="str">
        <f>IF(AF256=0,"",IF(COUNTIFS($AF$3:AF256,"&gt;0",$S$3:S256,S256)&gt;3,"Trừ toàn bộ chuyên cần tháng",""))</f>
        <v/>
      </c>
      <c r="AI256" s="12"/>
    </row>
    <row r="257" spans="1:35" x14ac:dyDescent="0.25">
      <c r="A257" s="4" t="s">
        <v>352</v>
      </c>
      <c r="B257" s="1" t="s">
        <v>353</v>
      </c>
      <c r="C257" s="1" t="s">
        <v>20</v>
      </c>
      <c r="D257" s="1" t="s">
        <v>75</v>
      </c>
      <c r="E257" s="1" t="s">
        <v>22</v>
      </c>
      <c r="F257" s="1" t="s">
        <v>23</v>
      </c>
      <c r="G257" s="1" t="s">
        <v>29</v>
      </c>
      <c r="H257" s="1" t="s">
        <v>374</v>
      </c>
      <c r="I257" s="1" t="s">
        <v>385</v>
      </c>
      <c r="J257" s="1" t="s">
        <v>25</v>
      </c>
      <c r="K257" s="1" t="s">
        <v>304</v>
      </c>
      <c r="L257" s="1" t="s">
        <v>25</v>
      </c>
      <c r="M257" s="1" t="s">
        <v>26</v>
      </c>
      <c r="N257" s="1" t="s">
        <v>25</v>
      </c>
      <c r="O257" s="1" t="s">
        <v>305</v>
      </c>
      <c r="P257" s="1" t="s">
        <v>25</v>
      </c>
      <c r="Q257" s="1" t="s">
        <v>25</v>
      </c>
      <c r="R257" s="85" t="str">
        <f t="shared" si="12"/>
        <v>2145915</v>
      </c>
      <c r="S257" t="str">
        <f>VLOOKUP(A257,Data_NV!$A:$C,3,0)</f>
        <v>Phạm Anh Vũ</v>
      </c>
      <c r="T257" t="str">
        <f>VLOOKUP(A257,Data_NV!$A:$E,4,0)</f>
        <v>Kế toán - Văn phòng</v>
      </c>
      <c r="U257" s="82">
        <f>DATEVALUE(Table2[[#This Row],[Ngày]])</f>
        <v>45915</v>
      </c>
      <c r="V257" t="str">
        <f>VLOOKUP(A257,Data_NV!$A:$E,5,0)</f>
        <v>Đang làm việc</v>
      </c>
      <c r="W257" s="10">
        <f>VLOOKUP(A257,Data_NV!$A:$I,8,0)</f>
        <v>0.33333333333333331</v>
      </c>
      <c r="X257" s="10">
        <f>VLOOKUP(A257,Data_NV!$A:$I,9,0)</f>
        <v>0.70833333333333337</v>
      </c>
      <c r="Y257" s="10">
        <f>IFERROR(TIMEVALUE(Table2[[#This Row],[Vào]]),0)</f>
        <v>0.3321412037037037</v>
      </c>
      <c r="Z257" s="10">
        <f>IFERROR(TIMEVALUE(Table2[[#This Row],[Ra]]),0)</f>
        <v>0.77152777777777781</v>
      </c>
      <c r="AA257" t="str">
        <f t="shared" si="13"/>
        <v>x</v>
      </c>
      <c r="AB257" s="105">
        <f t="shared" si="14"/>
        <v>0</v>
      </c>
      <c r="AC257" s="12" t="str">
        <f>IF(VLOOKUP(A257,Data_NV!$A:$I,7,0)="Không","",IF(OR(AND(Y257=0,Z257=0),AND(Y257&lt;&gt;0,Z257&lt;&gt;0)),"","Quên chấm công"))</f>
        <v/>
      </c>
      <c r="AD257" s="12">
        <f>IF(VLOOKUP(A257,Data_NV!$A:$I,7,0)="Không",0,IF(AND(Y257=0,Z257=0),0,IF(X257&lt;=Z257,0,ROUNDDOWN((X257-Z257)*24*60,0))))</f>
        <v>0</v>
      </c>
      <c r="AE257" s="12">
        <f>IF(VLOOKUP(A257,Data_NV!$A:$I,6,0)="Không",0,IF(Z257&lt;=X257,0,ROUNDDOWN((Z257-X257)*24*60,0)))</f>
        <v>91</v>
      </c>
      <c r="AF257" s="26">
        <f t="shared" si="15"/>
        <v>0</v>
      </c>
      <c r="AG257" s="27" t="str">
        <f>IF(AC257="","",IF(COUNTIFS($AC$3:AC257,"Quên chấm công",$S$3:S257,S257)&gt;3,"Không chấm công do vi phạm quá 3 lần",IF(COUNTIFS($AC$3:AC257,"Quên chấm công",$S$3:S257,S257)&gt;2,"Trừ toàn bộ chuyên cần tháng do vi phạm lần 3",IF(COUNTIFS($AC$3:AC257,"Quên chấm công",$S$3:S257,S257)&gt;1,"Trừ 1/2 ngày lương",50000))))</f>
        <v/>
      </c>
      <c r="AH257" s="12" t="str">
        <f>IF(AF257=0,"",IF(COUNTIFS($AF$3:AF257,"&gt;0",$S$3:S257,S257)&gt;3,"Trừ toàn bộ chuyên cần tháng",""))</f>
        <v/>
      </c>
      <c r="AI257" s="12"/>
    </row>
    <row r="258" spans="1:35" x14ac:dyDescent="0.25">
      <c r="A258" s="4" t="s">
        <v>352</v>
      </c>
      <c r="B258" s="1" t="s">
        <v>353</v>
      </c>
      <c r="C258" s="1" t="s">
        <v>20</v>
      </c>
      <c r="D258" s="1" t="s">
        <v>80</v>
      </c>
      <c r="E258" s="1" t="s">
        <v>22</v>
      </c>
      <c r="F258" s="1" t="s">
        <v>23</v>
      </c>
      <c r="G258" s="1" t="s">
        <v>29</v>
      </c>
      <c r="H258" s="1" t="s">
        <v>386</v>
      </c>
      <c r="I258" s="1" t="s">
        <v>387</v>
      </c>
      <c r="J258" s="1" t="s">
        <v>25</v>
      </c>
      <c r="K258" s="1" t="s">
        <v>388</v>
      </c>
      <c r="L258" s="1" t="s">
        <v>25</v>
      </c>
      <c r="M258" s="1" t="s">
        <v>26</v>
      </c>
      <c r="N258" s="1" t="s">
        <v>25</v>
      </c>
      <c r="O258" s="1" t="s">
        <v>389</v>
      </c>
      <c r="P258" s="1" t="s">
        <v>25</v>
      </c>
      <c r="Q258" s="1" t="s">
        <v>25</v>
      </c>
      <c r="R258" s="85" t="str">
        <f t="shared" si="12"/>
        <v>2145916</v>
      </c>
      <c r="S258" t="str">
        <f>VLOOKUP(A258,Data_NV!$A:$C,3,0)</f>
        <v>Phạm Anh Vũ</v>
      </c>
      <c r="T258" t="str">
        <f>VLOOKUP(A258,Data_NV!$A:$E,4,0)</f>
        <v>Kế toán - Văn phòng</v>
      </c>
      <c r="U258" s="82">
        <f>DATEVALUE(Table2[[#This Row],[Ngày]])</f>
        <v>45916</v>
      </c>
      <c r="V258" t="str">
        <f>VLOOKUP(A258,Data_NV!$A:$E,5,0)</f>
        <v>Đang làm việc</v>
      </c>
      <c r="W258" s="10">
        <f>VLOOKUP(A258,Data_NV!$A:$I,8,0)</f>
        <v>0.33333333333333331</v>
      </c>
      <c r="X258" s="10">
        <f>VLOOKUP(A258,Data_NV!$A:$I,9,0)</f>
        <v>0.70833333333333337</v>
      </c>
      <c r="Y258" s="10">
        <f>IFERROR(TIMEVALUE(Table2[[#This Row],[Vào]]),0)</f>
        <v>0.33053240740740741</v>
      </c>
      <c r="Z258" s="10">
        <f>IFERROR(TIMEVALUE(Table2[[#This Row],[Ra]]),0)</f>
        <v>0.78326388888888887</v>
      </c>
      <c r="AA258" t="str">
        <f t="shared" si="13"/>
        <v>x</v>
      </c>
      <c r="AB258" s="105">
        <f t="shared" si="14"/>
        <v>0</v>
      </c>
      <c r="AC258" s="12" t="str">
        <f>IF(VLOOKUP(A258,Data_NV!$A:$I,7,0)="Không","",IF(OR(AND(Y258=0,Z258=0),AND(Y258&lt;&gt;0,Z258&lt;&gt;0)),"","Quên chấm công"))</f>
        <v/>
      </c>
      <c r="AD258" s="12">
        <f>IF(VLOOKUP(A258,Data_NV!$A:$I,7,0)="Không",0,IF(AND(Y258=0,Z258=0),0,IF(X258&lt;=Z258,0,ROUNDDOWN((X258-Z258)*24*60,0))))</f>
        <v>0</v>
      </c>
      <c r="AE258" s="12">
        <f>IF(VLOOKUP(A258,Data_NV!$A:$I,6,0)="Không",0,IF(Z258&lt;=X258,0,ROUNDDOWN((Z258-X258)*24*60,0)))</f>
        <v>107</v>
      </c>
      <c r="AF258" s="26">
        <f t="shared" si="15"/>
        <v>0</v>
      </c>
      <c r="AG258" s="27" t="str">
        <f>IF(AC258="","",IF(COUNTIFS($AC$3:AC258,"Quên chấm công",$S$3:S258,S258)&gt;3,"Không chấm công do vi phạm quá 3 lần",IF(COUNTIFS($AC$3:AC258,"Quên chấm công",$S$3:S258,S258)&gt;2,"Trừ toàn bộ chuyên cần tháng do vi phạm lần 3",IF(COUNTIFS($AC$3:AC258,"Quên chấm công",$S$3:S258,S258)&gt;1,"Trừ 1/2 ngày lương",50000))))</f>
        <v/>
      </c>
      <c r="AH258" s="12" t="str">
        <f>IF(AF258=0,"",IF(COUNTIFS($AF$3:AF258,"&gt;0",$S$3:S258,S258)&gt;3,"Trừ toàn bộ chuyên cần tháng",""))</f>
        <v/>
      </c>
      <c r="AI258" s="12"/>
    </row>
    <row r="259" spans="1:35" x14ac:dyDescent="0.25">
      <c r="A259" s="4" t="s">
        <v>352</v>
      </c>
      <c r="B259" s="1" t="s">
        <v>353</v>
      </c>
      <c r="C259" s="1" t="s">
        <v>20</v>
      </c>
      <c r="D259" s="1" t="s">
        <v>85</v>
      </c>
      <c r="E259" s="1" t="s">
        <v>22</v>
      </c>
      <c r="F259" s="1" t="s">
        <v>23</v>
      </c>
      <c r="G259" s="1" t="s">
        <v>29</v>
      </c>
      <c r="H259" s="1" t="s">
        <v>390</v>
      </c>
      <c r="I259" s="1" t="s">
        <v>391</v>
      </c>
      <c r="J259" s="1" t="s">
        <v>25</v>
      </c>
      <c r="K259" s="1" t="s">
        <v>392</v>
      </c>
      <c r="L259" s="1" t="s">
        <v>25</v>
      </c>
      <c r="M259" s="1" t="s">
        <v>26</v>
      </c>
      <c r="N259" s="1" t="s">
        <v>25</v>
      </c>
      <c r="O259" s="1" t="s">
        <v>393</v>
      </c>
      <c r="P259" s="1" t="s">
        <v>25</v>
      </c>
      <c r="Q259" s="1" t="s">
        <v>25</v>
      </c>
      <c r="R259" s="85" t="str">
        <f t="shared" ref="R259:R322" si="16">A259&amp;U259</f>
        <v>2145917</v>
      </c>
      <c r="S259" t="str">
        <f>VLOOKUP(A259,Data_NV!$A:$C,3,0)</f>
        <v>Phạm Anh Vũ</v>
      </c>
      <c r="T259" t="str">
        <f>VLOOKUP(A259,Data_NV!$A:$E,4,0)</f>
        <v>Kế toán - Văn phòng</v>
      </c>
      <c r="U259" s="82">
        <f>DATEVALUE(Table2[[#This Row],[Ngày]])</f>
        <v>45917</v>
      </c>
      <c r="V259" t="str">
        <f>VLOOKUP(A259,Data_NV!$A:$E,5,0)</f>
        <v>Đang làm việc</v>
      </c>
      <c r="W259" s="10">
        <f>VLOOKUP(A259,Data_NV!$A:$I,8,0)</f>
        <v>0.33333333333333331</v>
      </c>
      <c r="X259" s="10">
        <f>VLOOKUP(A259,Data_NV!$A:$I,9,0)</f>
        <v>0.70833333333333337</v>
      </c>
      <c r="Y259" s="10">
        <f>IFERROR(TIMEVALUE(Table2[[#This Row],[Vào]]),0)</f>
        <v>0.32621527777777776</v>
      </c>
      <c r="Z259" s="10">
        <f>IFERROR(TIMEVALUE(Table2[[#This Row],[Ra]]),0)</f>
        <v>0.75320601851851854</v>
      </c>
      <c r="AA259" t="str">
        <f t="shared" ref="AA259:AA322" si="17">IF(TEXT($U259,"ddd")="CN","Chủ nhật",IF(OR(AND(Y259=0,Z259=0),AG259="Không chấm công do vi phạm quá 3 lần"),"",IF(OR(AG259="Trừ 1/2 ngày lương",AF259="Trừ 1/2 ngày lương",AB259&gt;=60),"1/2","x")))</f>
        <v>x</v>
      </c>
      <c r="AB259" s="105">
        <f t="shared" ref="AB259:AB322" si="18">IF(Y259&lt;=W259,0,(Y259-W259)*24*60)</f>
        <v>0</v>
      </c>
      <c r="AC259" s="12" t="str">
        <f>IF(VLOOKUP(A259,Data_NV!$A:$I,7,0)="Không","",IF(OR(AND(Y259=0,Z259=0),AND(Y259&lt;&gt;0,Z259&lt;&gt;0)),"","Quên chấm công"))</f>
        <v/>
      </c>
      <c r="AD259" s="12">
        <f>IF(VLOOKUP(A259,Data_NV!$A:$I,7,0)="Không",0,IF(AND(Y259=0,Z259=0),0,IF(X259&lt;=Z259,0,ROUNDDOWN((X259-Z259)*24*60,0))))</f>
        <v>0</v>
      </c>
      <c r="AE259" s="12">
        <f>IF(VLOOKUP(A259,Data_NV!$A:$I,6,0)="Không",0,IF(Z259&lt;=X259,0,ROUNDDOWN((Z259-X259)*24*60,0)))</f>
        <v>64</v>
      </c>
      <c r="AF259" s="26">
        <f t="shared" ref="AF259:AF322" si="19">IF(AB259&gt;60,"Trừ 1/2 ngày lương",IF(AB259&gt;15,50000,IF(AB259&gt;6,30000,0)))</f>
        <v>0</v>
      </c>
      <c r="AG259" s="27" t="str">
        <f>IF(AC259="","",IF(COUNTIFS($AC$3:AC259,"Quên chấm công",$S$3:S259,S259)&gt;3,"Không chấm công do vi phạm quá 3 lần",IF(COUNTIFS($AC$3:AC259,"Quên chấm công",$S$3:S259,S259)&gt;2,"Trừ toàn bộ chuyên cần tháng do vi phạm lần 3",IF(COUNTIFS($AC$3:AC259,"Quên chấm công",$S$3:S259,S259)&gt;1,"Trừ 1/2 ngày lương",50000))))</f>
        <v/>
      </c>
      <c r="AH259" s="12" t="str">
        <f>IF(AF259=0,"",IF(COUNTIFS($AF$3:AF259,"&gt;0",$S$3:S259,S259)&gt;3,"Trừ toàn bộ chuyên cần tháng",""))</f>
        <v/>
      </c>
      <c r="AI259" s="12"/>
    </row>
    <row r="260" spans="1:35" x14ac:dyDescent="0.25">
      <c r="A260" s="4" t="s">
        <v>352</v>
      </c>
      <c r="B260" s="1" t="s">
        <v>353</v>
      </c>
      <c r="C260" s="1" t="s">
        <v>20</v>
      </c>
      <c r="D260" s="1" t="s">
        <v>90</v>
      </c>
      <c r="E260" s="1" t="s">
        <v>22</v>
      </c>
      <c r="F260" s="1" t="s">
        <v>23</v>
      </c>
      <c r="G260" s="1" t="s">
        <v>29</v>
      </c>
      <c r="H260" s="1" t="s">
        <v>394</v>
      </c>
      <c r="I260" s="1" t="s">
        <v>395</v>
      </c>
      <c r="J260" s="1" t="s">
        <v>25</v>
      </c>
      <c r="K260" s="1" t="s">
        <v>396</v>
      </c>
      <c r="L260" s="1" t="s">
        <v>25</v>
      </c>
      <c r="M260" s="1" t="s">
        <v>26</v>
      </c>
      <c r="N260" s="1" t="s">
        <v>25</v>
      </c>
      <c r="O260" s="1" t="s">
        <v>33</v>
      </c>
      <c r="P260" s="1" t="s">
        <v>397</v>
      </c>
      <c r="Q260" s="1" t="s">
        <v>25</v>
      </c>
      <c r="R260" s="85" t="str">
        <f t="shared" si="16"/>
        <v>2145918</v>
      </c>
      <c r="S260" t="str">
        <f>VLOOKUP(A260,Data_NV!$A:$C,3,0)</f>
        <v>Phạm Anh Vũ</v>
      </c>
      <c r="T260" t="str">
        <f>VLOOKUP(A260,Data_NV!$A:$E,4,0)</f>
        <v>Kế toán - Văn phòng</v>
      </c>
      <c r="U260" s="82">
        <f>DATEVALUE(Table2[[#This Row],[Ngày]])</f>
        <v>45918</v>
      </c>
      <c r="V260" t="str">
        <f>VLOOKUP(A260,Data_NV!$A:$E,5,0)</f>
        <v>Đang làm việc</v>
      </c>
      <c r="W260" s="10">
        <f>VLOOKUP(A260,Data_NV!$A:$I,8,0)</f>
        <v>0.33333333333333331</v>
      </c>
      <c r="X260" s="10">
        <f>VLOOKUP(A260,Data_NV!$A:$I,9,0)</f>
        <v>0.70833333333333337</v>
      </c>
      <c r="Y260" s="10">
        <f>IFERROR(TIMEVALUE(Table2[[#This Row],[Vào]]),0)</f>
        <v>0.32861111111111113</v>
      </c>
      <c r="Z260" s="10">
        <f>IFERROR(TIMEVALUE(Table2[[#This Row],[Ra]]),0)</f>
        <v>0.80300925925925926</v>
      </c>
      <c r="AA260" t="str">
        <f t="shared" si="17"/>
        <v>x</v>
      </c>
      <c r="AB260" s="105">
        <f t="shared" si="18"/>
        <v>0</v>
      </c>
      <c r="AC260" s="12" t="str">
        <f>IF(VLOOKUP(A260,Data_NV!$A:$I,7,0)="Không","",IF(OR(AND(Y260=0,Z260=0),AND(Y260&lt;&gt;0,Z260&lt;&gt;0)),"","Quên chấm công"))</f>
        <v/>
      </c>
      <c r="AD260" s="12">
        <f>IF(VLOOKUP(A260,Data_NV!$A:$I,7,0)="Không",0,IF(AND(Y260=0,Z260=0),0,IF(X260&lt;=Z260,0,ROUNDDOWN((X260-Z260)*24*60,0))))</f>
        <v>0</v>
      </c>
      <c r="AE260" s="12">
        <f>IF(VLOOKUP(A260,Data_NV!$A:$I,6,0)="Không",0,IF(Z260&lt;=X260,0,ROUNDDOWN((Z260-X260)*24*60,0)))</f>
        <v>136</v>
      </c>
      <c r="AF260" s="26">
        <f t="shared" si="19"/>
        <v>0</v>
      </c>
      <c r="AG260" s="27" t="str">
        <f>IF(AC260="","",IF(COUNTIFS($AC$3:AC260,"Quên chấm công",$S$3:S260,S260)&gt;3,"Không chấm công do vi phạm quá 3 lần",IF(COUNTIFS($AC$3:AC260,"Quên chấm công",$S$3:S260,S260)&gt;2,"Trừ toàn bộ chuyên cần tháng do vi phạm lần 3",IF(COUNTIFS($AC$3:AC260,"Quên chấm công",$S$3:S260,S260)&gt;1,"Trừ 1/2 ngày lương",50000))))</f>
        <v/>
      </c>
      <c r="AH260" s="12" t="str">
        <f>IF(AF260=0,"",IF(COUNTIFS($AF$3:AF260,"&gt;0",$S$3:S260,S260)&gt;3,"Trừ toàn bộ chuyên cần tháng",""))</f>
        <v/>
      </c>
      <c r="AI260" s="12"/>
    </row>
    <row r="261" spans="1:35" x14ac:dyDescent="0.25">
      <c r="A261" s="4" t="s">
        <v>352</v>
      </c>
      <c r="B261" s="1" t="s">
        <v>353</v>
      </c>
      <c r="C261" s="1" t="s">
        <v>20</v>
      </c>
      <c r="D261" s="1" t="s">
        <v>95</v>
      </c>
      <c r="E261" s="1" t="s">
        <v>22</v>
      </c>
      <c r="F261" s="1" t="s">
        <v>23</v>
      </c>
      <c r="G261" s="1" t="s">
        <v>29</v>
      </c>
      <c r="H261" s="1" t="s">
        <v>398</v>
      </c>
      <c r="I261" s="1" t="s">
        <v>399</v>
      </c>
      <c r="J261" s="1" t="s">
        <v>25</v>
      </c>
      <c r="K261" s="1" t="s">
        <v>275</v>
      </c>
      <c r="L261" s="1" t="s">
        <v>25</v>
      </c>
      <c r="M261" s="1" t="s">
        <v>26</v>
      </c>
      <c r="N261" s="1" t="s">
        <v>25</v>
      </c>
      <c r="O261" s="1" t="s">
        <v>276</v>
      </c>
      <c r="P261" s="1" t="s">
        <v>25</v>
      </c>
      <c r="Q261" s="1" t="s">
        <v>25</v>
      </c>
      <c r="R261" s="85" t="str">
        <f t="shared" si="16"/>
        <v>2145919</v>
      </c>
      <c r="S261" t="str">
        <f>VLOOKUP(A261,Data_NV!$A:$C,3,0)</f>
        <v>Phạm Anh Vũ</v>
      </c>
      <c r="T261" t="str">
        <f>VLOOKUP(A261,Data_NV!$A:$E,4,0)</f>
        <v>Kế toán - Văn phòng</v>
      </c>
      <c r="U261" s="82">
        <f>DATEVALUE(Table2[[#This Row],[Ngày]])</f>
        <v>45919</v>
      </c>
      <c r="V261" t="str">
        <f>VLOOKUP(A261,Data_NV!$A:$E,5,0)</f>
        <v>Đang làm việc</v>
      </c>
      <c r="W261" s="10">
        <f>VLOOKUP(A261,Data_NV!$A:$I,8,0)</f>
        <v>0.33333333333333331</v>
      </c>
      <c r="X261" s="10">
        <f>VLOOKUP(A261,Data_NV!$A:$I,9,0)</f>
        <v>0.70833333333333337</v>
      </c>
      <c r="Y261" s="10">
        <f>IFERROR(TIMEVALUE(Table2[[#This Row],[Vào]]),0)</f>
        <v>0.32652777777777775</v>
      </c>
      <c r="Z261" s="10">
        <f>IFERROR(TIMEVALUE(Table2[[#This Row],[Ra]]),0)</f>
        <v>0.76048611111111108</v>
      </c>
      <c r="AA261" t="str">
        <f t="shared" si="17"/>
        <v>x</v>
      </c>
      <c r="AB261" s="105">
        <f t="shared" si="18"/>
        <v>0</v>
      </c>
      <c r="AC261" s="12" t="str">
        <f>IF(VLOOKUP(A261,Data_NV!$A:$I,7,0)="Không","",IF(OR(AND(Y261=0,Z261=0),AND(Y261&lt;&gt;0,Z261&lt;&gt;0)),"","Quên chấm công"))</f>
        <v/>
      </c>
      <c r="AD261" s="12">
        <f>IF(VLOOKUP(A261,Data_NV!$A:$I,7,0)="Không",0,IF(AND(Y261=0,Z261=0),0,IF(X261&lt;=Z261,0,ROUNDDOWN((X261-Z261)*24*60,0))))</f>
        <v>0</v>
      </c>
      <c r="AE261" s="12">
        <f>IF(VLOOKUP(A261,Data_NV!$A:$I,6,0)="Không",0,IF(Z261&lt;=X261,0,ROUNDDOWN((Z261-X261)*24*60,0)))</f>
        <v>75</v>
      </c>
      <c r="AF261" s="26">
        <f t="shared" si="19"/>
        <v>0</v>
      </c>
      <c r="AG261" s="27" t="str">
        <f>IF(AC261="","",IF(COUNTIFS($AC$3:AC261,"Quên chấm công",$S$3:S261,S261)&gt;3,"Không chấm công do vi phạm quá 3 lần",IF(COUNTIFS($AC$3:AC261,"Quên chấm công",$S$3:S261,S261)&gt;2,"Trừ toàn bộ chuyên cần tháng do vi phạm lần 3",IF(COUNTIFS($AC$3:AC261,"Quên chấm công",$S$3:S261,S261)&gt;1,"Trừ 1/2 ngày lương",50000))))</f>
        <v/>
      </c>
      <c r="AH261" s="12" t="str">
        <f>IF(AF261=0,"",IF(COUNTIFS($AF$3:AF261,"&gt;0",$S$3:S261,S261)&gt;3,"Trừ toàn bộ chuyên cần tháng",""))</f>
        <v/>
      </c>
      <c r="AI261" s="12"/>
    </row>
    <row r="262" spans="1:35" x14ac:dyDescent="0.25">
      <c r="A262" s="4" t="s">
        <v>352</v>
      </c>
      <c r="B262" s="1" t="s">
        <v>353</v>
      </c>
      <c r="C262" s="1" t="s">
        <v>20</v>
      </c>
      <c r="D262" s="1" t="s">
        <v>100</v>
      </c>
      <c r="E262" s="1" t="s">
        <v>22</v>
      </c>
      <c r="F262" s="1" t="s">
        <v>23</v>
      </c>
      <c r="G262" s="1" t="s">
        <v>29</v>
      </c>
      <c r="H262" s="1" t="s">
        <v>400</v>
      </c>
      <c r="I262" s="1" t="s">
        <v>401</v>
      </c>
      <c r="J262" s="1" t="s">
        <v>25</v>
      </c>
      <c r="K262" s="1" t="s">
        <v>402</v>
      </c>
      <c r="L262" s="1" t="s">
        <v>25</v>
      </c>
      <c r="M262" s="1" t="s">
        <v>26</v>
      </c>
      <c r="N262" s="1" t="s">
        <v>25</v>
      </c>
      <c r="O262" s="1" t="s">
        <v>403</v>
      </c>
      <c r="P262" s="1" t="s">
        <v>25</v>
      </c>
      <c r="Q262" s="1" t="s">
        <v>25</v>
      </c>
      <c r="R262" s="85" t="str">
        <f t="shared" si="16"/>
        <v>2145920</v>
      </c>
      <c r="S262" t="str">
        <f>VLOOKUP(A262,Data_NV!$A:$C,3,0)</f>
        <v>Phạm Anh Vũ</v>
      </c>
      <c r="T262" t="str">
        <f>VLOOKUP(A262,Data_NV!$A:$E,4,0)</f>
        <v>Kế toán - Văn phòng</v>
      </c>
      <c r="U262" s="82">
        <f>DATEVALUE(Table2[[#This Row],[Ngày]])</f>
        <v>45920</v>
      </c>
      <c r="V262" t="str">
        <f>VLOOKUP(A262,Data_NV!$A:$E,5,0)</f>
        <v>Đang làm việc</v>
      </c>
      <c r="W262" s="10">
        <f>VLOOKUP(A262,Data_NV!$A:$I,8,0)</f>
        <v>0.33333333333333331</v>
      </c>
      <c r="X262" s="10">
        <f>VLOOKUP(A262,Data_NV!$A:$I,9,0)</f>
        <v>0.70833333333333337</v>
      </c>
      <c r="Y262" s="10">
        <f>IFERROR(TIMEVALUE(Table2[[#This Row],[Vào]]),0)</f>
        <v>0.33031250000000001</v>
      </c>
      <c r="Z262" s="10">
        <f>IFERROR(TIMEVALUE(Table2[[#This Row],[Ra]]),0)</f>
        <v>0.77418981481481486</v>
      </c>
      <c r="AA262" t="str">
        <f t="shared" si="17"/>
        <v>x</v>
      </c>
      <c r="AB262" s="105">
        <f t="shared" si="18"/>
        <v>0</v>
      </c>
      <c r="AC262" s="12" t="str">
        <f>IF(VLOOKUP(A262,Data_NV!$A:$I,7,0)="Không","",IF(OR(AND(Y262=0,Z262=0),AND(Y262&lt;&gt;0,Z262&lt;&gt;0)),"","Quên chấm công"))</f>
        <v/>
      </c>
      <c r="AD262" s="12">
        <f>IF(VLOOKUP(A262,Data_NV!$A:$I,7,0)="Không",0,IF(AND(Y262=0,Z262=0),0,IF(X262&lt;=Z262,0,ROUNDDOWN((X262-Z262)*24*60,0))))</f>
        <v>0</v>
      </c>
      <c r="AE262" s="12">
        <f>IF(VLOOKUP(A262,Data_NV!$A:$I,6,0)="Không",0,IF(Z262&lt;=X262,0,ROUNDDOWN((Z262-X262)*24*60,0)))</f>
        <v>94</v>
      </c>
      <c r="AF262" s="26">
        <f t="shared" si="19"/>
        <v>0</v>
      </c>
      <c r="AG262" s="27" t="str">
        <f>IF(AC262="","",IF(COUNTIFS($AC$3:AC262,"Quên chấm công",$S$3:S262,S262)&gt;3,"Không chấm công do vi phạm quá 3 lần",IF(COUNTIFS($AC$3:AC262,"Quên chấm công",$S$3:S262,S262)&gt;2,"Trừ toàn bộ chuyên cần tháng do vi phạm lần 3",IF(COUNTIFS($AC$3:AC262,"Quên chấm công",$S$3:S262,S262)&gt;1,"Trừ 1/2 ngày lương",50000))))</f>
        <v/>
      </c>
      <c r="AH262" s="12" t="str">
        <f>IF(AF262=0,"",IF(COUNTIFS($AF$3:AF262,"&gt;0",$S$3:S262,S262)&gt;3,"Trừ toàn bộ chuyên cần tháng",""))</f>
        <v/>
      </c>
      <c r="AI262" s="12"/>
    </row>
    <row r="263" spans="1:35" x14ac:dyDescent="0.25">
      <c r="A263" s="4" t="s">
        <v>352</v>
      </c>
      <c r="B263" s="1" t="s">
        <v>353</v>
      </c>
      <c r="C263" s="1" t="s">
        <v>20</v>
      </c>
      <c r="D263" s="1" t="s">
        <v>105</v>
      </c>
      <c r="E263" s="1" t="s">
        <v>22</v>
      </c>
      <c r="F263" s="1" t="s">
        <v>23</v>
      </c>
      <c r="G263" s="1" t="s">
        <v>12</v>
      </c>
      <c r="H263" s="1" t="s">
        <v>24</v>
      </c>
      <c r="I263" s="1" t="s">
        <v>24</v>
      </c>
      <c r="J263" s="1" t="s">
        <v>25</v>
      </c>
      <c r="K263" s="1" t="s">
        <v>25</v>
      </c>
      <c r="L263" s="1" t="s">
        <v>26</v>
      </c>
      <c r="M263" s="1" t="s">
        <v>25</v>
      </c>
      <c r="N263" s="1" t="s">
        <v>25</v>
      </c>
      <c r="O263" s="1" t="s">
        <v>25</v>
      </c>
      <c r="P263" s="1" t="s">
        <v>25</v>
      </c>
      <c r="Q263" s="1" t="s">
        <v>25</v>
      </c>
      <c r="R263" s="85" t="str">
        <f t="shared" si="16"/>
        <v>2145921</v>
      </c>
      <c r="S263" t="str">
        <f>VLOOKUP(A263,Data_NV!$A:$C,3,0)</f>
        <v>Phạm Anh Vũ</v>
      </c>
      <c r="T263" t="str">
        <f>VLOOKUP(A263,Data_NV!$A:$E,4,0)</f>
        <v>Kế toán - Văn phòng</v>
      </c>
      <c r="U263" s="82">
        <f>DATEVALUE(Table2[[#This Row],[Ngày]])</f>
        <v>45921</v>
      </c>
      <c r="V263" t="str">
        <f>VLOOKUP(A263,Data_NV!$A:$E,5,0)</f>
        <v>Đang làm việc</v>
      </c>
      <c r="W263" s="10">
        <f>VLOOKUP(A263,Data_NV!$A:$I,8,0)</f>
        <v>0.33333333333333331</v>
      </c>
      <c r="X263" s="10">
        <f>VLOOKUP(A263,Data_NV!$A:$I,9,0)</f>
        <v>0.70833333333333337</v>
      </c>
      <c r="Y263" s="10">
        <f>IFERROR(TIMEVALUE(Table2[[#This Row],[Vào]]),0)</f>
        <v>0</v>
      </c>
      <c r="Z263" s="10">
        <f>IFERROR(TIMEVALUE(Table2[[#This Row],[Ra]]),0)</f>
        <v>0</v>
      </c>
      <c r="AA263" t="str">
        <f t="shared" si="17"/>
        <v>Chủ nhật</v>
      </c>
      <c r="AB263" s="105">
        <f t="shared" si="18"/>
        <v>0</v>
      </c>
      <c r="AC263" s="12" t="str">
        <f>IF(VLOOKUP(A263,Data_NV!$A:$I,7,0)="Không","",IF(OR(AND(Y263=0,Z263=0),AND(Y263&lt;&gt;0,Z263&lt;&gt;0)),"","Quên chấm công"))</f>
        <v/>
      </c>
      <c r="AD263" s="12">
        <f>IF(VLOOKUP(A263,Data_NV!$A:$I,7,0)="Không",0,IF(AND(Y263=0,Z263=0),0,IF(X263&lt;=Z263,0,ROUNDDOWN((X263-Z263)*24*60,0))))</f>
        <v>0</v>
      </c>
      <c r="AE263" s="12">
        <f>IF(VLOOKUP(A263,Data_NV!$A:$I,6,0)="Không",0,IF(Z263&lt;=X263,0,ROUNDDOWN((Z263-X263)*24*60,0)))</f>
        <v>0</v>
      </c>
      <c r="AF263" s="26">
        <f t="shared" si="19"/>
        <v>0</v>
      </c>
      <c r="AG263" s="27" t="str">
        <f>IF(AC263="","",IF(COUNTIFS($AC$3:AC263,"Quên chấm công",$S$3:S263,S263)&gt;3,"Không chấm công do vi phạm quá 3 lần",IF(COUNTIFS($AC$3:AC263,"Quên chấm công",$S$3:S263,S263)&gt;2,"Trừ toàn bộ chuyên cần tháng do vi phạm lần 3",IF(COUNTIFS($AC$3:AC263,"Quên chấm công",$S$3:S263,S263)&gt;1,"Trừ 1/2 ngày lương",50000))))</f>
        <v/>
      </c>
      <c r="AH263" s="12" t="str">
        <f>IF(AF263=0,"",IF(COUNTIFS($AF$3:AF263,"&gt;0",$S$3:S263,S263)&gt;3,"Trừ toàn bộ chuyên cần tháng",""))</f>
        <v/>
      </c>
      <c r="AI263" s="12"/>
    </row>
    <row r="264" spans="1:35" x14ac:dyDescent="0.25">
      <c r="A264" s="4" t="s">
        <v>352</v>
      </c>
      <c r="B264" s="1" t="s">
        <v>353</v>
      </c>
      <c r="C264" s="1" t="s">
        <v>20</v>
      </c>
      <c r="D264" s="1" t="s">
        <v>106</v>
      </c>
      <c r="E264" s="1" t="s">
        <v>22</v>
      </c>
      <c r="F264" s="1" t="s">
        <v>23</v>
      </c>
      <c r="G264" s="1" t="s">
        <v>29</v>
      </c>
      <c r="H264" s="1" t="s">
        <v>404</v>
      </c>
      <c r="I264" s="1" t="s">
        <v>405</v>
      </c>
      <c r="J264" s="1" t="s">
        <v>25</v>
      </c>
      <c r="K264" s="1" t="s">
        <v>406</v>
      </c>
      <c r="L264" s="1" t="s">
        <v>25</v>
      </c>
      <c r="M264" s="1" t="s">
        <v>26</v>
      </c>
      <c r="N264" s="1" t="s">
        <v>25</v>
      </c>
      <c r="O264" s="1" t="s">
        <v>33</v>
      </c>
      <c r="P264" s="1" t="s">
        <v>407</v>
      </c>
      <c r="Q264" s="1" t="s">
        <v>25</v>
      </c>
      <c r="R264" s="85" t="str">
        <f t="shared" si="16"/>
        <v>2145922</v>
      </c>
      <c r="S264" t="str">
        <f>VLOOKUP(A264,Data_NV!$A:$C,3,0)</f>
        <v>Phạm Anh Vũ</v>
      </c>
      <c r="T264" t="str">
        <f>VLOOKUP(A264,Data_NV!$A:$E,4,0)</f>
        <v>Kế toán - Văn phòng</v>
      </c>
      <c r="U264" s="82">
        <f>DATEVALUE(Table2[[#This Row],[Ngày]])</f>
        <v>45922</v>
      </c>
      <c r="V264" t="str">
        <f>VLOOKUP(A264,Data_NV!$A:$E,5,0)</f>
        <v>Đang làm việc</v>
      </c>
      <c r="W264" s="10">
        <f>VLOOKUP(A264,Data_NV!$A:$I,8,0)</f>
        <v>0.33333333333333331</v>
      </c>
      <c r="X264" s="10">
        <f>VLOOKUP(A264,Data_NV!$A:$I,9,0)</f>
        <v>0.70833333333333337</v>
      </c>
      <c r="Y264" s="10">
        <f>IFERROR(TIMEVALUE(Table2[[#This Row],[Vào]]),0)</f>
        <v>0.31802083333333331</v>
      </c>
      <c r="Z264" s="10">
        <f>IFERROR(TIMEVALUE(Table2[[#This Row],[Ra]]),0)</f>
        <v>0.80453703703703705</v>
      </c>
      <c r="AA264" t="str">
        <f t="shared" si="17"/>
        <v>x</v>
      </c>
      <c r="AB264" s="105">
        <f t="shared" si="18"/>
        <v>0</v>
      </c>
      <c r="AC264" s="12" t="str">
        <f>IF(VLOOKUP(A264,Data_NV!$A:$I,7,0)="Không","",IF(OR(AND(Y264=0,Z264=0),AND(Y264&lt;&gt;0,Z264&lt;&gt;0)),"","Quên chấm công"))</f>
        <v/>
      </c>
      <c r="AD264" s="12">
        <f>IF(VLOOKUP(A264,Data_NV!$A:$I,7,0)="Không",0,IF(AND(Y264=0,Z264=0),0,IF(X264&lt;=Z264,0,ROUNDDOWN((X264-Z264)*24*60,0))))</f>
        <v>0</v>
      </c>
      <c r="AE264" s="12">
        <f>IF(VLOOKUP(A264,Data_NV!$A:$I,6,0)="Không",0,IF(Z264&lt;=X264,0,ROUNDDOWN((Z264-X264)*24*60,0)))</f>
        <v>138</v>
      </c>
      <c r="AF264" s="26">
        <f t="shared" si="19"/>
        <v>0</v>
      </c>
      <c r="AG264" s="27" t="str">
        <f>IF(AC264="","",IF(COUNTIFS($AC$3:AC264,"Quên chấm công",$S$3:S264,S264)&gt;3,"Không chấm công do vi phạm quá 3 lần",IF(COUNTIFS($AC$3:AC264,"Quên chấm công",$S$3:S264,S264)&gt;2,"Trừ toàn bộ chuyên cần tháng do vi phạm lần 3",IF(COUNTIFS($AC$3:AC264,"Quên chấm công",$S$3:S264,S264)&gt;1,"Trừ 1/2 ngày lương",50000))))</f>
        <v/>
      </c>
      <c r="AH264" s="12" t="str">
        <f>IF(AF264=0,"",IF(COUNTIFS($AF$3:AF264,"&gt;0",$S$3:S264,S264)&gt;3,"Trừ toàn bộ chuyên cần tháng",""))</f>
        <v/>
      </c>
      <c r="AI264" s="12"/>
    </row>
    <row r="265" spans="1:35" x14ac:dyDescent="0.25">
      <c r="A265" s="4" t="s">
        <v>352</v>
      </c>
      <c r="B265" s="1" t="s">
        <v>353</v>
      </c>
      <c r="C265" s="1" t="s">
        <v>20</v>
      </c>
      <c r="D265" s="1" t="s">
        <v>111</v>
      </c>
      <c r="E265" s="1" t="s">
        <v>22</v>
      </c>
      <c r="F265" s="1" t="s">
        <v>23</v>
      </c>
      <c r="G265" s="1" t="s">
        <v>29</v>
      </c>
      <c r="H265" s="1" t="s">
        <v>408</v>
      </c>
      <c r="I265" s="1" t="s">
        <v>409</v>
      </c>
      <c r="J265" s="1" t="s">
        <v>25</v>
      </c>
      <c r="K265" s="1" t="s">
        <v>383</v>
      </c>
      <c r="L265" s="1" t="s">
        <v>25</v>
      </c>
      <c r="M265" s="1" t="s">
        <v>26</v>
      </c>
      <c r="N265" s="1" t="s">
        <v>25</v>
      </c>
      <c r="O265" s="1" t="s">
        <v>384</v>
      </c>
      <c r="P265" s="1" t="s">
        <v>25</v>
      </c>
      <c r="Q265" s="1" t="s">
        <v>25</v>
      </c>
      <c r="R265" s="85" t="str">
        <f t="shared" si="16"/>
        <v>2145923</v>
      </c>
      <c r="S265" t="str">
        <f>VLOOKUP(A265,Data_NV!$A:$C,3,0)</f>
        <v>Phạm Anh Vũ</v>
      </c>
      <c r="T265" t="str">
        <f>VLOOKUP(A265,Data_NV!$A:$E,4,0)</f>
        <v>Kế toán - Văn phòng</v>
      </c>
      <c r="U265" s="82">
        <f>DATEVALUE(Table2[[#This Row],[Ngày]])</f>
        <v>45923</v>
      </c>
      <c r="V265" t="str">
        <f>VLOOKUP(A265,Data_NV!$A:$E,5,0)</f>
        <v>Đang làm việc</v>
      </c>
      <c r="W265" s="10">
        <f>VLOOKUP(A265,Data_NV!$A:$I,8,0)</f>
        <v>0.33333333333333331</v>
      </c>
      <c r="X265" s="10">
        <f>VLOOKUP(A265,Data_NV!$A:$I,9,0)</f>
        <v>0.70833333333333337</v>
      </c>
      <c r="Y265" s="10">
        <f>IFERROR(TIMEVALUE(Table2[[#This Row],[Vào]]),0)</f>
        <v>0.3207638888888889</v>
      </c>
      <c r="Z265" s="10">
        <f>IFERROR(TIMEVALUE(Table2[[#This Row],[Ra]]),0)</f>
        <v>0.75559027777777776</v>
      </c>
      <c r="AA265" t="str">
        <f t="shared" si="17"/>
        <v>x</v>
      </c>
      <c r="AB265" s="105">
        <f t="shared" si="18"/>
        <v>0</v>
      </c>
      <c r="AC265" s="12" t="str">
        <f>IF(VLOOKUP(A265,Data_NV!$A:$I,7,0)="Không","",IF(OR(AND(Y265=0,Z265=0),AND(Y265&lt;&gt;0,Z265&lt;&gt;0)),"","Quên chấm công"))</f>
        <v/>
      </c>
      <c r="AD265" s="12">
        <f>IF(VLOOKUP(A265,Data_NV!$A:$I,7,0)="Không",0,IF(AND(Y265=0,Z265=0),0,IF(X265&lt;=Z265,0,ROUNDDOWN((X265-Z265)*24*60,0))))</f>
        <v>0</v>
      </c>
      <c r="AE265" s="12">
        <f>IF(VLOOKUP(A265,Data_NV!$A:$I,6,0)="Không",0,IF(Z265&lt;=X265,0,ROUNDDOWN((Z265-X265)*24*60,0)))</f>
        <v>68</v>
      </c>
      <c r="AF265" s="26">
        <f t="shared" si="19"/>
        <v>0</v>
      </c>
      <c r="AG265" s="27" t="str">
        <f>IF(AC265="","",IF(COUNTIFS($AC$3:AC265,"Quên chấm công",$S$3:S265,S265)&gt;3,"Không chấm công do vi phạm quá 3 lần",IF(COUNTIFS($AC$3:AC265,"Quên chấm công",$S$3:S265,S265)&gt;2,"Trừ toàn bộ chuyên cần tháng do vi phạm lần 3",IF(COUNTIFS($AC$3:AC265,"Quên chấm công",$S$3:S265,S265)&gt;1,"Trừ 1/2 ngày lương",50000))))</f>
        <v/>
      </c>
      <c r="AH265" s="12" t="str">
        <f>IF(AF265=0,"",IF(COUNTIFS($AF$3:AF265,"&gt;0",$S$3:S265,S265)&gt;3,"Trừ toàn bộ chuyên cần tháng",""))</f>
        <v/>
      </c>
      <c r="AI265" s="12"/>
    </row>
    <row r="266" spans="1:35" x14ac:dyDescent="0.25">
      <c r="A266" s="4" t="s">
        <v>352</v>
      </c>
      <c r="B266" s="1" t="s">
        <v>353</v>
      </c>
      <c r="C266" s="1" t="s">
        <v>20</v>
      </c>
      <c r="D266" s="1" t="s">
        <v>116</v>
      </c>
      <c r="E266" s="1" t="s">
        <v>22</v>
      </c>
      <c r="F266" s="1" t="s">
        <v>23</v>
      </c>
      <c r="G266" s="1" t="s">
        <v>29</v>
      </c>
      <c r="H266" s="1" t="s">
        <v>410</v>
      </c>
      <c r="I266" s="1" t="s">
        <v>411</v>
      </c>
      <c r="J266" s="1" t="s">
        <v>25</v>
      </c>
      <c r="K266" s="1" t="s">
        <v>412</v>
      </c>
      <c r="L266" s="1" t="s">
        <v>25</v>
      </c>
      <c r="M266" s="1" t="s">
        <v>26</v>
      </c>
      <c r="N266" s="1" t="s">
        <v>25</v>
      </c>
      <c r="O266" s="1" t="s">
        <v>413</v>
      </c>
      <c r="P266" s="1" t="s">
        <v>25</v>
      </c>
      <c r="Q266" s="1" t="s">
        <v>25</v>
      </c>
      <c r="R266" s="85" t="str">
        <f t="shared" si="16"/>
        <v>2145924</v>
      </c>
      <c r="S266" t="str">
        <f>VLOOKUP(A266,Data_NV!$A:$C,3,0)</f>
        <v>Phạm Anh Vũ</v>
      </c>
      <c r="T266" t="str">
        <f>VLOOKUP(A266,Data_NV!$A:$E,4,0)</f>
        <v>Kế toán - Văn phòng</v>
      </c>
      <c r="U266" s="82">
        <f>DATEVALUE(Table2[[#This Row],[Ngày]])</f>
        <v>45924</v>
      </c>
      <c r="V266" t="str">
        <f>VLOOKUP(A266,Data_NV!$A:$E,5,0)</f>
        <v>Đang làm việc</v>
      </c>
      <c r="W266" s="10">
        <f>VLOOKUP(A266,Data_NV!$A:$I,8,0)</f>
        <v>0.33333333333333331</v>
      </c>
      <c r="X266" s="10">
        <f>VLOOKUP(A266,Data_NV!$A:$I,9,0)</f>
        <v>0.70833333333333337</v>
      </c>
      <c r="Y266" s="10">
        <f>IFERROR(TIMEVALUE(Table2[[#This Row],[Vào]]),0)</f>
        <v>0.31436342592592592</v>
      </c>
      <c r="Z266" s="10">
        <f>IFERROR(TIMEVALUE(Table2[[#This Row],[Ra]]),0)</f>
        <v>0.78988425925925931</v>
      </c>
      <c r="AA266" t="str">
        <f t="shared" si="17"/>
        <v>x</v>
      </c>
      <c r="AB266" s="105">
        <f t="shared" si="18"/>
        <v>0</v>
      </c>
      <c r="AC266" s="12" t="str">
        <f>IF(VLOOKUP(A266,Data_NV!$A:$I,7,0)="Không","",IF(OR(AND(Y266=0,Z266=0),AND(Y266&lt;&gt;0,Z266&lt;&gt;0)),"","Quên chấm công"))</f>
        <v/>
      </c>
      <c r="AD266" s="12">
        <f>IF(VLOOKUP(A266,Data_NV!$A:$I,7,0)="Không",0,IF(AND(Y266=0,Z266=0),0,IF(X266&lt;=Z266,0,ROUNDDOWN((X266-Z266)*24*60,0))))</f>
        <v>0</v>
      </c>
      <c r="AE266" s="12">
        <f>IF(VLOOKUP(A266,Data_NV!$A:$I,6,0)="Không",0,IF(Z266&lt;=X266,0,ROUNDDOWN((Z266-X266)*24*60,0)))</f>
        <v>117</v>
      </c>
      <c r="AF266" s="26">
        <f t="shared" si="19"/>
        <v>0</v>
      </c>
      <c r="AG266" s="27" t="str">
        <f>IF(AC266="","",IF(COUNTIFS($AC$3:AC266,"Quên chấm công",$S$3:S266,S266)&gt;3,"Không chấm công do vi phạm quá 3 lần",IF(COUNTIFS($AC$3:AC266,"Quên chấm công",$S$3:S266,S266)&gt;2,"Trừ toàn bộ chuyên cần tháng do vi phạm lần 3",IF(COUNTIFS($AC$3:AC266,"Quên chấm công",$S$3:S266,S266)&gt;1,"Trừ 1/2 ngày lương",50000))))</f>
        <v/>
      </c>
      <c r="AH266" s="12" t="str">
        <f>IF(AF266=0,"",IF(COUNTIFS($AF$3:AF266,"&gt;0",$S$3:S266,S266)&gt;3,"Trừ toàn bộ chuyên cần tháng",""))</f>
        <v/>
      </c>
      <c r="AI266" s="12"/>
    </row>
    <row r="267" spans="1:35" x14ac:dyDescent="0.25">
      <c r="A267" s="4" t="s">
        <v>352</v>
      </c>
      <c r="B267" s="1" t="s">
        <v>353</v>
      </c>
      <c r="C267" s="1" t="s">
        <v>20</v>
      </c>
      <c r="D267" s="1" t="s">
        <v>121</v>
      </c>
      <c r="E267" s="1" t="s">
        <v>22</v>
      </c>
      <c r="F267" s="1" t="s">
        <v>23</v>
      </c>
      <c r="G267" s="1" t="s">
        <v>29</v>
      </c>
      <c r="H267" s="1" t="s">
        <v>414</v>
      </c>
      <c r="I267" s="1" t="s">
        <v>415</v>
      </c>
      <c r="J267" s="1" t="s">
        <v>25</v>
      </c>
      <c r="K267" s="1" t="s">
        <v>416</v>
      </c>
      <c r="L267" s="1" t="s">
        <v>25</v>
      </c>
      <c r="M267" s="1" t="s">
        <v>26</v>
      </c>
      <c r="N267" s="1" t="s">
        <v>25</v>
      </c>
      <c r="O267" s="1" t="s">
        <v>33</v>
      </c>
      <c r="P267" s="1" t="s">
        <v>140</v>
      </c>
      <c r="Q267" s="1" t="s">
        <v>25</v>
      </c>
      <c r="R267" s="85" t="str">
        <f t="shared" si="16"/>
        <v>2145925</v>
      </c>
      <c r="S267" t="str">
        <f>VLOOKUP(A267,Data_NV!$A:$C,3,0)</f>
        <v>Phạm Anh Vũ</v>
      </c>
      <c r="T267" t="str">
        <f>VLOOKUP(A267,Data_NV!$A:$E,4,0)</f>
        <v>Kế toán - Văn phòng</v>
      </c>
      <c r="U267" s="82">
        <f>DATEVALUE(Table2[[#This Row],[Ngày]])</f>
        <v>45925</v>
      </c>
      <c r="V267" t="str">
        <f>VLOOKUP(A267,Data_NV!$A:$E,5,0)</f>
        <v>Đang làm việc</v>
      </c>
      <c r="W267" s="10">
        <f>VLOOKUP(A267,Data_NV!$A:$I,8,0)</f>
        <v>0.33333333333333331</v>
      </c>
      <c r="X267" s="10">
        <f>VLOOKUP(A267,Data_NV!$A:$I,9,0)</f>
        <v>0.70833333333333337</v>
      </c>
      <c r="Y267" s="10">
        <f>IFERROR(TIMEVALUE(Table2[[#This Row],[Vào]]),0)</f>
        <v>0.3195486111111111</v>
      </c>
      <c r="Z267" s="10">
        <f>IFERROR(TIMEVALUE(Table2[[#This Row],[Ra]]),0)</f>
        <v>0.80415509259259255</v>
      </c>
      <c r="AA267" t="str">
        <f t="shared" si="17"/>
        <v>x</v>
      </c>
      <c r="AB267" s="105">
        <f t="shared" si="18"/>
        <v>0</v>
      </c>
      <c r="AC267" s="12" t="str">
        <f>IF(VLOOKUP(A267,Data_NV!$A:$I,7,0)="Không","",IF(OR(AND(Y267=0,Z267=0),AND(Y267&lt;&gt;0,Z267&lt;&gt;0)),"","Quên chấm công"))</f>
        <v/>
      </c>
      <c r="AD267" s="12">
        <f>IF(VLOOKUP(A267,Data_NV!$A:$I,7,0)="Không",0,IF(AND(Y267=0,Z267=0),0,IF(X267&lt;=Z267,0,ROUNDDOWN((X267-Z267)*24*60,0))))</f>
        <v>0</v>
      </c>
      <c r="AE267" s="12">
        <f>IF(VLOOKUP(A267,Data_NV!$A:$I,6,0)="Không",0,IF(Z267&lt;=X267,0,ROUNDDOWN((Z267-X267)*24*60,0)))</f>
        <v>137</v>
      </c>
      <c r="AF267" s="26">
        <f t="shared" si="19"/>
        <v>0</v>
      </c>
      <c r="AG267" s="27" t="str">
        <f>IF(AC267="","",IF(COUNTIFS($AC$3:AC267,"Quên chấm công",$S$3:S267,S267)&gt;3,"Không chấm công do vi phạm quá 3 lần",IF(COUNTIFS($AC$3:AC267,"Quên chấm công",$S$3:S267,S267)&gt;2,"Trừ toàn bộ chuyên cần tháng do vi phạm lần 3",IF(COUNTIFS($AC$3:AC267,"Quên chấm công",$S$3:S267,S267)&gt;1,"Trừ 1/2 ngày lương",50000))))</f>
        <v/>
      </c>
      <c r="AH267" s="12" t="str">
        <f>IF(AF267=0,"",IF(COUNTIFS($AF$3:AF267,"&gt;0",$S$3:S267,S267)&gt;3,"Trừ toàn bộ chuyên cần tháng",""))</f>
        <v/>
      </c>
      <c r="AI267" s="12"/>
    </row>
    <row r="268" spans="1:35" x14ac:dyDescent="0.25">
      <c r="A268" s="4" t="s">
        <v>352</v>
      </c>
      <c r="B268" s="1" t="s">
        <v>353</v>
      </c>
      <c r="C268" s="1" t="s">
        <v>20</v>
      </c>
      <c r="D268" s="1" t="s">
        <v>123</v>
      </c>
      <c r="E268" s="1" t="s">
        <v>22</v>
      </c>
      <c r="F268" s="1" t="s">
        <v>23</v>
      </c>
      <c r="G268" s="1" t="s">
        <v>29</v>
      </c>
      <c r="H268" s="1" t="s">
        <v>417</v>
      </c>
      <c r="I268" s="1" t="s">
        <v>418</v>
      </c>
      <c r="J268" s="1" t="s">
        <v>25</v>
      </c>
      <c r="K268" s="1" t="s">
        <v>419</v>
      </c>
      <c r="L268" s="1" t="s">
        <v>25</v>
      </c>
      <c r="M268" s="1" t="s">
        <v>26</v>
      </c>
      <c r="N268" s="1" t="s">
        <v>25</v>
      </c>
      <c r="O268" s="1" t="s">
        <v>33</v>
      </c>
      <c r="P268" s="1" t="s">
        <v>420</v>
      </c>
      <c r="Q268" s="1" t="s">
        <v>25</v>
      </c>
      <c r="R268" s="85" t="str">
        <f t="shared" si="16"/>
        <v>2145926</v>
      </c>
      <c r="S268" t="str">
        <f>VLOOKUP(A268,Data_NV!$A:$C,3,0)</f>
        <v>Phạm Anh Vũ</v>
      </c>
      <c r="T268" t="str">
        <f>VLOOKUP(A268,Data_NV!$A:$E,4,0)</f>
        <v>Kế toán - Văn phòng</v>
      </c>
      <c r="U268" s="82">
        <f>DATEVALUE(Table2[[#This Row],[Ngày]])</f>
        <v>45926</v>
      </c>
      <c r="V268" t="str">
        <f>VLOOKUP(A268,Data_NV!$A:$E,5,0)</f>
        <v>Đang làm việc</v>
      </c>
      <c r="W268" s="10">
        <f>VLOOKUP(A268,Data_NV!$A:$I,8,0)</f>
        <v>0.33333333333333331</v>
      </c>
      <c r="X268" s="10">
        <f>VLOOKUP(A268,Data_NV!$A:$I,9,0)</f>
        <v>0.70833333333333337</v>
      </c>
      <c r="Y268" s="10">
        <f>IFERROR(TIMEVALUE(Table2[[#This Row],[Vào]]),0)</f>
        <v>0.31971064814814815</v>
      </c>
      <c r="Z268" s="10">
        <f>IFERROR(TIMEVALUE(Table2[[#This Row],[Ra]]),0)</f>
        <v>0.80085648148148147</v>
      </c>
      <c r="AA268" t="str">
        <f t="shared" si="17"/>
        <v>x</v>
      </c>
      <c r="AB268" s="105">
        <f t="shared" si="18"/>
        <v>0</v>
      </c>
      <c r="AC268" s="12" t="str">
        <f>IF(VLOOKUP(A268,Data_NV!$A:$I,7,0)="Không","",IF(OR(AND(Y268=0,Z268=0),AND(Y268&lt;&gt;0,Z268&lt;&gt;0)),"","Quên chấm công"))</f>
        <v/>
      </c>
      <c r="AD268" s="12">
        <f>IF(VLOOKUP(A268,Data_NV!$A:$I,7,0)="Không",0,IF(AND(Y268=0,Z268=0),0,IF(X268&lt;=Z268,0,ROUNDDOWN((X268-Z268)*24*60,0))))</f>
        <v>0</v>
      </c>
      <c r="AE268" s="12">
        <f>IF(VLOOKUP(A268,Data_NV!$A:$I,6,0)="Không",0,IF(Z268&lt;=X268,0,ROUNDDOWN((Z268-X268)*24*60,0)))</f>
        <v>133</v>
      </c>
      <c r="AF268" s="26">
        <f t="shared" si="19"/>
        <v>0</v>
      </c>
      <c r="AG268" s="27" t="str">
        <f>IF(AC268="","",IF(COUNTIFS($AC$3:AC268,"Quên chấm công",$S$3:S268,S268)&gt;3,"Không chấm công do vi phạm quá 3 lần",IF(COUNTIFS($AC$3:AC268,"Quên chấm công",$S$3:S268,S268)&gt;2,"Trừ toàn bộ chuyên cần tháng do vi phạm lần 3",IF(COUNTIFS($AC$3:AC268,"Quên chấm công",$S$3:S268,S268)&gt;1,"Trừ 1/2 ngày lương",50000))))</f>
        <v/>
      </c>
      <c r="AH268" s="12" t="str">
        <f>IF(AF268=0,"",IF(COUNTIFS($AF$3:AF268,"&gt;0",$S$3:S268,S268)&gt;3,"Trừ toàn bộ chuyên cần tháng",""))</f>
        <v/>
      </c>
      <c r="AI268" s="12"/>
    </row>
    <row r="269" spans="1:35" x14ac:dyDescent="0.25">
      <c r="A269" s="4" t="s">
        <v>352</v>
      </c>
      <c r="B269" s="1" t="s">
        <v>353</v>
      </c>
      <c r="C269" s="1" t="s">
        <v>20</v>
      </c>
      <c r="D269" s="1" t="s">
        <v>125</v>
      </c>
      <c r="E269" s="1" t="s">
        <v>22</v>
      </c>
      <c r="F269" s="1" t="s">
        <v>23</v>
      </c>
      <c r="G269" s="1" t="s">
        <v>29</v>
      </c>
      <c r="H269" s="1" t="s">
        <v>421</v>
      </c>
      <c r="I269" s="1" t="s">
        <v>422</v>
      </c>
      <c r="J269" s="1" t="s">
        <v>25</v>
      </c>
      <c r="K269" s="1" t="s">
        <v>423</v>
      </c>
      <c r="L269" s="1" t="s">
        <v>25</v>
      </c>
      <c r="M269" s="1" t="s">
        <v>26</v>
      </c>
      <c r="N269" s="1" t="s">
        <v>25</v>
      </c>
      <c r="O269" s="1" t="s">
        <v>424</v>
      </c>
      <c r="P269" s="1" t="s">
        <v>25</v>
      </c>
      <c r="Q269" s="1" t="s">
        <v>25</v>
      </c>
      <c r="R269" s="85" t="str">
        <f t="shared" si="16"/>
        <v>2145927</v>
      </c>
      <c r="S269" t="str">
        <f>VLOOKUP(A269,Data_NV!$A:$C,3,0)</f>
        <v>Phạm Anh Vũ</v>
      </c>
      <c r="T269" t="str">
        <f>VLOOKUP(A269,Data_NV!$A:$E,4,0)</f>
        <v>Kế toán - Văn phòng</v>
      </c>
      <c r="U269" s="82">
        <f>DATEVALUE(Table2[[#This Row],[Ngày]])</f>
        <v>45927</v>
      </c>
      <c r="V269" t="str">
        <f>VLOOKUP(A269,Data_NV!$A:$E,5,0)</f>
        <v>Đang làm việc</v>
      </c>
      <c r="W269" s="10">
        <f>VLOOKUP(A269,Data_NV!$A:$I,8,0)</f>
        <v>0.33333333333333331</v>
      </c>
      <c r="X269" s="10">
        <f>VLOOKUP(A269,Data_NV!$A:$I,9,0)</f>
        <v>0.70833333333333337</v>
      </c>
      <c r="Y269" s="10">
        <f>IFERROR(TIMEVALUE(Table2[[#This Row],[Vào]]),0)</f>
        <v>0.30864583333333334</v>
      </c>
      <c r="Z269" s="10">
        <f>IFERROR(TIMEVALUE(Table2[[#This Row],[Ra]]),0)</f>
        <v>0.78878472222222218</v>
      </c>
      <c r="AA269" t="str">
        <f t="shared" si="17"/>
        <v>x</v>
      </c>
      <c r="AB269" s="105">
        <f t="shared" si="18"/>
        <v>0</v>
      </c>
      <c r="AC269" s="12" t="str">
        <f>IF(VLOOKUP(A269,Data_NV!$A:$I,7,0)="Không","",IF(OR(AND(Y269=0,Z269=0),AND(Y269&lt;&gt;0,Z269&lt;&gt;0)),"","Quên chấm công"))</f>
        <v/>
      </c>
      <c r="AD269" s="12">
        <f>IF(VLOOKUP(A269,Data_NV!$A:$I,7,0)="Không",0,IF(AND(Y269=0,Z269=0),0,IF(X269&lt;=Z269,0,ROUNDDOWN((X269-Z269)*24*60,0))))</f>
        <v>0</v>
      </c>
      <c r="AE269" s="12">
        <f>IF(VLOOKUP(A269,Data_NV!$A:$I,6,0)="Không",0,IF(Z269&lt;=X269,0,ROUNDDOWN((Z269-X269)*24*60,0)))</f>
        <v>115</v>
      </c>
      <c r="AF269" s="26">
        <f t="shared" si="19"/>
        <v>0</v>
      </c>
      <c r="AG269" s="27" t="str">
        <f>IF(AC269="","",IF(COUNTIFS($AC$3:AC269,"Quên chấm công",$S$3:S269,S269)&gt;3,"Không chấm công do vi phạm quá 3 lần",IF(COUNTIFS($AC$3:AC269,"Quên chấm công",$S$3:S269,S269)&gt;2,"Trừ toàn bộ chuyên cần tháng do vi phạm lần 3",IF(COUNTIFS($AC$3:AC269,"Quên chấm công",$S$3:S269,S269)&gt;1,"Trừ 1/2 ngày lương",50000))))</f>
        <v/>
      </c>
      <c r="AH269" s="12" t="str">
        <f>IF(AF269=0,"",IF(COUNTIFS($AF$3:AF269,"&gt;0",$S$3:S269,S269)&gt;3,"Trừ toàn bộ chuyên cần tháng",""))</f>
        <v/>
      </c>
      <c r="AI269" s="12"/>
    </row>
    <row r="270" spans="1:35" x14ac:dyDescent="0.25">
      <c r="A270" s="4" t="s">
        <v>352</v>
      </c>
      <c r="B270" s="1" t="s">
        <v>353</v>
      </c>
      <c r="C270" s="1" t="s">
        <v>20</v>
      </c>
      <c r="D270" s="1" t="s">
        <v>130</v>
      </c>
      <c r="E270" s="1" t="s">
        <v>22</v>
      </c>
      <c r="F270" s="1" t="s">
        <v>23</v>
      </c>
      <c r="G270" s="1" t="s">
        <v>12</v>
      </c>
      <c r="H270" s="1" t="s">
        <v>24</v>
      </c>
      <c r="I270" s="1" t="s">
        <v>24</v>
      </c>
      <c r="J270" s="1" t="s">
        <v>25</v>
      </c>
      <c r="K270" s="1" t="s">
        <v>25</v>
      </c>
      <c r="L270" s="1" t="s">
        <v>26</v>
      </c>
      <c r="M270" s="1" t="s">
        <v>25</v>
      </c>
      <c r="N270" s="1" t="s">
        <v>25</v>
      </c>
      <c r="O270" s="1" t="s">
        <v>25</v>
      </c>
      <c r="P270" s="1" t="s">
        <v>25</v>
      </c>
      <c r="Q270" s="1" t="s">
        <v>25</v>
      </c>
      <c r="R270" s="85" t="str">
        <f t="shared" si="16"/>
        <v>2145928</v>
      </c>
      <c r="S270" t="str">
        <f>VLOOKUP(A270,Data_NV!$A:$C,3,0)</f>
        <v>Phạm Anh Vũ</v>
      </c>
      <c r="T270" t="str">
        <f>VLOOKUP(A270,Data_NV!$A:$E,4,0)</f>
        <v>Kế toán - Văn phòng</v>
      </c>
      <c r="U270" s="82">
        <f>DATEVALUE(Table2[[#This Row],[Ngày]])</f>
        <v>45928</v>
      </c>
      <c r="V270" t="str">
        <f>VLOOKUP(A270,Data_NV!$A:$E,5,0)</f>
        <v>Đang làm việc</v>
      </c>
      <c r="W270" s="10">
        <f>VLOOKUP(A270,Data_NV!$A:$I,8,0)</f>
        <v>0.33333333333333331</v>
      </c>
      <c r="X270" s="10">
        <f>VLOOKUP(A270,Data_NV!$A:$I,9,0)</f>
        <v>0.70833333333333337</v>
      </c>
      <c r="Y270" s="10">
        <f>IFERROR(TIMEVALUE(Table2[[#This Row],[Vào]]),0)</f>
        <v>0</v>
      </c>
      <c r="Z270" s="10">
        <f>IFERROR(TIMEVALUE(Table2[[#This Row],[Ra]]),0)</f>
        <v>0</v>
      </c>
      <c r="AA270" t="str">
        <f t="shared" si="17"/>
        <v>Chủ nhật</v>
      </c>
      <c r="AB270" s="105">
        <f t="shared" si="18"/>
        <v>0</v>
      </c>
      <c r="AC270" s="12" t="str">
        <f>IF(VLOOKUP(A270,Data_NV!$A:$I,7,0)="Không","",IF(OR(AND(Y270=0,Z270=0),AND(Y270&lt;&gt;0,Z270&lt;&gt;0)),"","Quên chấm công"))</f>
        <v/>
      </c>
      <c r="AD270" s="12">
        <f>IF(VLOOKUP(A270,Data_NV!$A:$I,7,0)="Không",0,IF(AND(Y270=0,Z270=0),0,IF(X270&lt;=Z270,0,ROUNDDOWN((X270-Z270)*24*60,0))))</f>
        <v>0</v>
      </c>
      <c r="AE270" s="12">
        <f>IF(VLOOKUP(A270,Data_NV!$A:$I,6,0)="Không",0,IF(Z270&lt;=X270,0,ROUNDDOWN((Z270-X270)*24*60,0)))</f>
        <v>0</v>
      </c>
      <c r="AF270" s="26">
        <f t="shared" si="19"/>
        <v>0</v>
      </c>
      <c r="AG270" s="27" t="str">
        <f>IF(AC270="","",IF(COUNTIFS($AC$3:AC270,"Quên chấm công",$S$3:S270,S270)&gt;3,"Không chấm công do vi phạm quá 3 lần",IF(COUNTIFS($AC$3:AC270,"Quên chấm công",$S$3:S270,S270)&gt;2,"Trừ toàn bộ chuyên cần tháng do vi phạm lần 3",IF(COUNTIFS($AC$3:AC270,"Quên chấm công",$S$3:S270,S270)&gt;1,"Trừ 1/2 ngày lương",50000))))</f>
        <v/>
      </c>
      <c r="AH270" s="12" t="str">
        <f>IF(AF270=0,"",IF(COUNTIFS($AF$3:AF270,"&gt;0",$S$3:S270,S270)&gt;3,"Trừ toàn bộ chuyên cần tháng",""))</f>
        <v/>
      </c>
      <c r="AI270" s="12"/>
    </row>
    <row r="271" spans="1:35" x14ac:dyDescent="0.25">
      <c r="A271" s="4" t="s">
        <v>352</v>
      </c>
      <c r="B271" s="1" t="s">
        <v>353</v>
      </c>
      <c r="C271" s="1" t="s">
        <v>20</v>
      </c>
      <c r="D271" s="1" t="s">
        <v>131</v>
      </c>
      <c r="E271" s="1" t="s">
        <v>22</v>
      </c>
      <c r="F271" s="1" t="s">
        <v>23</v>
      </c>
      <c r="G271" s="1" t="s">
        <v>29</v>
      </c>
      <c r="H271" s="1" t="s">
        <v>425</v>
      </c>
      <c r="I271" s="1" t="s">
        <v>426</v>
      </c>
      <c r="J271" s="1" t="s">
        <v>25</v>
      </c>
      <c r="K271" s="1" t="s">
        <v>427</v>
      </c>
      <c r="L271" s="1" t="s">
        <v>25</v>
      </c>
      <c r="M271" s="1" t="s">
        <v>26</v>
      </c>
      <c r="N271" s="1" t="s">
        <v>25</v>
      </c>
      <c r="O271" s="1" t="s">
        <v>33</v>
      </c>
      <c r="P271" s="1" t="s">
        <v>428</v>
      </c>
      <c r="Q271" s="1" t="s">
        <v>25</v>
      </c>
      <c r="R271" s="85" t="str">
        <f t="shared" si="16"/>
        <v>2145929</v>
      </c>
      <c r="S271" t="str">
        <f>VLOOKUP(A271,Data_NV!$A:$C,3,0)</f>
        <v>Phạm Anh Vũ</v>
      </c>
      <c r="T271" t="str">
        <f>VLOOKUP(A271,Data_NV!$A:$E,4,0)</f>
        <v>Kế toán - Văn phòng</v>
      </c>
      <c r="U271" s="82">
        <f>DATEVALUE(Table2[[#This Row],[Ngày]])</f>
        <v>45929</v>
      </c>
      <c r="V271" t="str">
        <f>VLOOKUP(A271,Data_NV!$A:$E,5,0)</f>
        <v>Đang làm việc</v>
      </c>
      <c r="W271" s="10">
        <f>VLOOKUP(A271,Data_NV!$A:$I,8,0)</f>
        <v>0.33333333333333331</v>
      </c>
      <c r="X271" s="10">
        <f>VLOOKUP(A271,Data_NV!$A:$I,9,0)</f>
        <v>0.70833333333333337</v>
      </c>
      <c r="Y271" s="10">
        <f>IFERROR(TIMEVALUE(Table2[[#This Row],[Vào]]),0)</f>
        <v>0.30657407407407405</v>
      </c>
      <c r="Z271" s="10">
        <f>IFERROR(TIMEVALUE(Table2[[#This Row],[Ra]]),0)</f>
        <v>0.79616898148148152</v>
      </c>
      <c r="AA271" t="str">
        <f t="shared" si="17"/>
        <v>x</v>
      </c>
      <c r="AB271" s="105">
        <f t="shared" si="18"/>
        <v>0</v>
      </c>
      <c r="AC271" s="12" t="str">
        <f>IF(VLOOKUP(A271,Data_NV!$A:$I,7,0)="Không","",IF(OR(AND(Y271=0,Z271=0),AND(Y271&lt;&gt;0,Z271&lt;&gt;0)),"","Quên chấm công"))</f>
        <v/>
      </c>
      <c r="AD271" s="12">
        <f>IF(VLOOKUP(A271,Data_NV!$A:$I,7,0)="Không",0,IF(AND(Y271=0,Z271=0),0,IF(X271&lt;=Z271,0,ROUNDDOWN((X271-Z271)*24*60,0))))</f>
        <v>0</v>
      </c>
      <c r="AE271" s="12">
        <f>IF(VLOOKUP(A271,Data_NV!$A:$I,6,0)="Không",0,IF(Z271&lt;=X271,0,ROUNDDOWN((Z271-X271)*24*60,0)))</f>
        <v>126</v>
      </c>
      <c r="AF271" s="26">
        <f t="shared" si="19"/>
        <v>0</v>
      </c>
      <c r="AG271" s="27" t="str">
        <f>IF(AC271="","",IF(COUNTIFS($AC$3:AC271,"Quên chấm công",$S$3:S271,S271)&gt;3,"Không chấm công do vi phạm quá 3 lần",IF(COUNTIFS($AC$3:AC271,"Quên chấm công",$S$3:S271,S271)&gt;2,"Trừ toàn bộ chuyên cần tháng do vi phạm lần 3",IF(COUNTIFS($AC$3:AC271,"Quên chấm công",$S$3:S271,S271)&gt;1,"Trừ 1/2 ngày lương",50000))))</f>
        <v/>
      </c>
      <c r="AH271" s="12" t="str">
        <f>IF(AF271=0,"",IF(COUNTIFS($AF$3:AF271,"&gt;0",$S$3:S271,S271)&gt;3,"Trừ toàn bộ chuyên cần tháng",""))</f>
        <v/>
      </c>
      <c r="AI271" s="12"/>
    </row>
    <row r="272" spans="1:35" x14ac:dyDescent="0.25">
      <c r="A272" s="4" t="s">
        <v>352</v>
      </c>
      <c r="B272" s="1" t="s">
        <v>353</v>
      </c>
      <c r="C272" s="1" t="s">
        <v>20</v>
      </c>
      <c r="D272" s="1" t="s">
        <v>136</v>
      </c>
      <c r="E272" s="1" t="s">
        <v>22</v>
      </c>
      <c r="F272" s="1" t="s">
        <v>23</v>
      </c>
      <c r="G272" s="1" t="s">
        <v>29</v>
      </c>
      <c r="H272" s="1" t="s">
        <v>429</v>
      </c>
      <c r="I272" s="1" t="s">
        <v>430</v>
      </c>
      <c r="J272" s="1" t="s">
        <v>25</v>
      </c>
      <c r="K272" s="1" t="s">
        <v>388</v>
      </c>
      <c r="L272" s="1" t="s">
        <v>25</v>
      </c>
      <c r="M272" s="1" t="s">
        <v>26</v>
      </c>
      <c r="N272" s="1" t="s">
        <v>25</v>
      </c>
      <c r="O272" s="1" t="s">
        <v>389</v>
      </c>
      <c r="P272" s="1" t="s">
        <v>25</v>
      </c>
      <c r="Q272" s="1" t="s">
        <v>25</v>
      </c>
      <c r="R272" s="85" t="str">
        <f t="shared" si="16"/>
        <v>2145930</v>
      </c>
      <c r="S272" t="str">
        <f>VLOOKUP(A272,Data_NV!$A:$C,3,0)</f>
        <v>Phạm Anh Vũ</v>
      </c>
      <c r="T272" t="str">
        <f>VLOOKUP(A272,Data_NV!$A:$E,4,0)</f>
        <v>Kế toán - Văn phòng</v>
      </c>
      <c r="U272" s="82">
        <f>DATEVALUE(Table2[[#This Row],[Ngày]])</f>
        <v>45930</v>
      </c>
      <c r="V272" t="str">
        <f>VLOOKUP(A272,Data_NV!$A:$E,5,0)</f>
        <v>Đang làm việc</v>
      </c>
      <c r="W272" s="10">
        <f>VLOOKUP(A272,Data_NV!$A:$I,8,0)</f>
        <v>0.33333333333333331</v>
      </c>
      <c r="X272" s="10">
        <f>VLOOKUP(A272,Data_NV!$A:$I,9,0)</f>
        <v>0.70833333333333337</v>
      </c>
      <c r="Y272" s="10">
        <f>IFERROR(TIMEVALUE(Table2[[#This Row],[Vào]]),0)</f>
        <v>0.32619212962962962</v>
      </c>
      <c r="Z272" s="10">
        <f>IFERROR(TIMEVALUE(Table2[[#This Row],[Ra]]),0)</f>
        <v>0.78302083333333339</v>
      </c>
      <c r="AA272" t="str">
        <f t="shared" si="17"/>
        <v>x</v>
      </c>
      <c r="AB272" s="105">
        <f t="shared" si="18"/>
        <v>0</v>
      </c>
      <c r="AC272" s="12" t="str">
        <f>IF(VLOOKUP(A272,Data_NV!$A:$I,7,0)="Không","",IF(OR(AND(Y272=0,Z272=0),AND(Y272&lt;&gt;0,Z272&lt;&gt;0)),"","Quên chấm công"))</f>
        <v/>
      </c>
      <c r="AD272" s="12">
        <f>IF(VLOOKUP(A272,Data_NV!$A:$I,7,0)="Không",0,IF(AND(Y272=0,Z272=0),0,IF(X272&lt;=Z272,0,ROUNDDOWN((X272-Z272)*24*60,0))))</f>
        <v>0</v>
      </c>
      <c r="AE272" s="12">
        <f>IF(VLOOKUP(A272,Data_NV!$A:$I,6,0)="Không",0,IF(Z272&lt;=X272,0,ROUNDDOWN((Z272-X272)*24*60,0)))</f>
        <v>107</v>
      </c>
      <c r="AF272" s="26">
        <f t="shared" si="19"/>
        <v>0</v>
      </c>
      <c r="AG272" s="27" t="str">
        <f>IF(AC272="","",IF(COUNTIFS($AC$3:AC272,"Quên chấm công",$S$3:S272,S272)&gt;3,"Không chấm công do vi phạm quá 3 lần",IF(COUNTIFS($AC$3:AC272,"Quên chấm công",$S$3:S272,S272)&gt;2,"Trừ toàn bộ chuyên cần tháng do vi phạm lần 3",IF(COUNTIFS($AC$3:AC272,"Quên chấm công",$S$3:S272,S272)&gt;1,"Trừ 1/2 ngày lương",50000))))</f>
        <v/>
      </c>
      <c r="AH272" s="12" t="str">
        <f>IF(AF272=0,"",IF(COUNTIFS($AF$3:AF272,"&gt;0",$S$3:S272,S272)&gt;3,"Trừ toàn bộ chuyên cần tháng",""))</f>
        <v/>
      </c>
      <c r="AI272" s="12"/>
    </row>
    <row r="273" spans="1:35" x14ac:dyDescent="0.25">
      <c r="A273" s="4" t="s">
        <v>433</v>
      </c>
      <c r="B273" s="1" t="s">
        <v>434</v>
      </c>
      <c r="C273" s="1" t="s">
        <v>20</v>
      </c>
      <c r="D273" s="1" t="s">
        <v>21</v>
      </c>
      <c r="E273" s="1" t="s">
        <v>22</v>
      </c>
      <c r="F273" s="1" t="s">
        <v>23</v>
      </c>
      <c r="G273" s="1" t="s">
        <v>12</v>
      </c>
      <c r="H273" s="1" t="s">
        <v>24</v>
      </c>
      <c r="I273" s="1" t="s">
        <v>24</v>
      </c>
      <c r="J273" s="1" t="s">
        <v>25</v>
      </c>
      <c r="K273" s="1" t="s">
        <v>25</v>
      </c>
      <c r="L273" s="1" t="s">
        <v>26</v>
      </c>
      <c r="M273" s="1" t="s">
        <v>25</v>
      </c>
      <c r="N273" s="1" t="s">
        <v>25</v>
      </c>
      <c r="O273" s="1" t="s">
        <v>25</v>
      </c>
      <c r="P273" s="1" t="s">
        <v>25</v>
      </c>
      <c r="Q273" s="1" t="s">
        <v>25</v>
      </c>
      <c r="R273" s="85" t="str">
        <f t="shared" si="16"/>
        <v>2345901</v>
      </c>
      <c r="S273" t="str">
        <f>VLOOKUP(A273,Data_NV!$A:$C,3,0)</f>
        <v xml:space="preserve"> Nguyễn Thiên Thanh    </v>
      </c>
      <c r="T273" t="str">
        <f>VLOOKUP(A273,Data_NV!$A:$E,4,0)</f>
        <v>Vận Hành</v>
      </c>
      <c r="U273" s="82">
        <f>DATEVALUE(Table2[[#This Row],[Ngày]])</f>
        <v>45901</v>
      </c>
      <c r="V273" t="str">
        <f>VLOOKUP(A273,Data_NV!$A:$E,5,0)</f>
        <v>Đang làm việc</v>
      </c>
      <c r="W273" s="10">
        <f>VLOOKUP(A273,Data_NV!$A:$I,8,0)</f>
        <v>0.33333333333333331</v>
      </c>
      <c r="X273" s="10">
        <f>VLOOKUP(A273,Data_NV!$A:$I,9,0)</f>
        <v>0.70833333333333337</v>
      </c>
      <c r="Y273" s="10">
        <f>IFERROR(TIMEVALUE(Table2[[#This Row],[Vào]]),0)</f>
        <v>0</v>
      </c>
      <c r="Z273" s="10">
        <f>IFERROR(TIMEVALUE(Table2[[#This Row],[Ra]]),0)</f>
        <v>0</v>
      </c>
      <c r="AA273" s="97" t="s">
        <v>1349</v>
      </c>
      <c r="AB273" s="105">
        <f t="shared" si="18"/>
        <v>0</v>
      </c>
      <c r="AC273" s="12" t="str">
        <f>IF(VLOOKUP(A273,Data_NV!$A:$I,7,0)="Không","",IF(OR(AND(Y273=0,Z273=0),AND(Y273&lt;&gt;0,Z273&lt;&gt;0)),"","Quên chấm công"))</f>
        <v/>
      </c>
      <c r="AD273" s="12">
        <f>IF(VLOOKUP(A273,Data_NV!$A:$I,7,0)="Không",0,IF(AND(Y273=0,Z273=0),0,IF(X273&lt;=Z273,0,ROUNDDOWN((X273-Z273)*24*60,0))))</f>
        <v>0</v>
      </c>
      <c r="AE273" s="12">
        <f>IF(VLOOKUP(A273,Data_NV!$A:$I,6,0)="Không",0,IF(Z273&lt;=X273,0,ROUNDDOWN((Z273-X273)*24*60,0)))</f>
        <v>0</v>
      </c>
      <c r="AF273" s="26">
        <f t="shared" si="19"/>
        <v>0</v>
      </c>
      <c r="AG273" s="27" t="str">
        <f>IF(AC273="","",IF(COUNTIFS($AC$3:AC273,"Quên chấm công",$S$3:S273,S273)&gt;3,"Không chấm công do vi phạm quá 3 lần",IF(COUNTIFS($AC$3:AC273,"Quên chấm công",$S$3:S273,S273)&gt;2,"Trừ toàn bộ chuyên cần tháng do vi phạm lần 3",IF(COUNTIFS($AC$3:AC273,"Quên chấm công",$S$3:S273,S273)&gt;1,"Trừ 1/2 ngày lương",50000))))</f>
        <v/>
      </c>
      <c r="AH273" s="12" t="str">
        <f>IF(AF273=0,"",IF(COUNTIFS($AF$3:AF273,"&gt;0",$S$3:S273,S273)&gt;3,"Trừ toàn bộ chuyên cần tháng",""))</f>
        <v/>
      </c>
      <c r="AI273" s="98" t="s">
        <v>1369</v>
      </c>
    </row>
    <row r="274" spans="1:35" x14ac:dyDescent="0.25">
      <c r="A274" s="4" t="s">
        <v>433</v>
      </c>
      <c r="B274" s="1" t="s">
        <v>434</v>
      </c>
      <c r="C274" s="1" t="s">
        <v>20</v>
      </c>
      <c r="D274" s="1" t="s">
        <v>27</v>
      </c>
      <c r="E274" s="1" t="s">
        <v>22</v>
      </c>
      <c r="F274" s="1" t="s">
        <v>23</v>
      </c>
      <c r="G274" s="1" t="s">
        <v>12</v>
      </c>
      <c r="H274" s="1" t="s">
        <v>24</v>
      </c>
      <c r="I274" s="1" t="s">
        <v>24</v>
      </c>
      <c r="J274" s="1" t="s">
        <v>25</v>
      </c>
      <c r="K274" s="1" t="s">
        <v>25</v>
      </c>
      <c r="L274" s="1" t="s">
        <v>26</v>
      </c>
      <c r="M274" s="1" t="s">
        <v>25</v>
      </c>
      <c r="N274" s="1" t="s">
        <v>25</v>
      </c>
      <c r="O274" s="1" t="s">
        <v>25</v>
      </c>
      <c r="P274" s="1" t="s">
        <v>25</v>
      </c>
      <c r="Q274" s="1" t="s">
        <v>25</v>
      </c>
      <c r="R274" s="85" t="str">
        <f t="shared" si="16"/>
        <v>2345902</v>
      </c>
      <c r="S274" t="str">
        <f>VLOOKUP(A274,Data_NV!$A:$C,3,0)</f>
        <v xml:space="preserve"> Nguyễn Thiên Thanh    </v>
      </c>
      <c r="T274" t="str">
        <f>VLOOKUP(A274,Data_NV!$A:$E,4,0)</f>
        <v>Vận Hành</v>
      </c>
      <c r="U274" s="82">
        <f>DATEVALUE(Table2[[#This Row],[Ngày]])</f>
        <v>45902</v>
      </c>
      <c r="V274" t="str">
        <f>VLOOKUP(A274,Data_NV!$A:$E,5,0)</f>
        <v>Đang làm việc</v>
      </c>
      <c r="W274" s="10">
        <f>VLOOKUP(A274,Data_NV!$A:$I,8,0)</f>
        <v>0.33333333333333331</v>
      </c>
      <c r="X274" s="10">
        <f>VLOOKUP(A274,Data_NV!$A:$I,9,0)</f>
        <v>0.70833333333333337</v>
      </c>
      <c r="Y274" s="10">
        <f>IFERROR(TIMEVALUE(Table2[[#This Row],[Vào]]),0)</f>
        <v>0</v>
      </c>
      <c r="Z274" s="10">
        <f>IFERROR(TIMEVALUE(Table2[[#This Row],[Ra]]),0)</f>
        <v>0</v>
      </c>
      <c r="AA274" s="97" t="s">
        <v>1349</v>
      </c>
      <c r="AB274" s="105">
        <f t="shared" si="18"/>
        <v>0</v>
      </c>
      <c r="AC274" s="12" t="str">
        <f>IF(VLOOKUP(A274,Data_NV!$A:$I,7,0)="Không","",IF(OR(AND(Y274=0,Z274=0),AND(Y274&lt;&gt;0,Z274&lt;&gt;0)),"","Quên chấm công"))</f>
        <v/>
      </c>
      <c r="AD274" s="12">
        <f>IF(VLOOKUP(A274,Data_NV!$A:$I,7,0)="Không",0,IF(AND(Y274=0,Z274=0),0,IF(X274&lt;=Z274,0,ROUNDDOWN((X274-Z274)*24*60,0))))</f>
        <v>0</v>
      </c>
      <c r="AE274" s="12">
        <f>IF(VLOOKUP(A274,Data_NV!$A:$I,6,0)="Không",0,IF(Z274&lt;=X274,0,ROUNDDOWN((Z274-X274)*24*60,0)))</f>
        <v>0</v>
      </c>
      <c r="AF274" s="26">
        <f t="shared" si="19"/>
        <v>0</v>
      </c>
      <c r="AG274" s="27" t="str">
        <f>IF(AC274="","",IF(COUNTIFS($AC$3:AC274,"Quên chấm công",$S$3:S274,S274)&gt;3,"Không chấm công do vi phạm quá 3 lần",IF(COUNTIFS($AC$3:AC274,"Quên chấm công",$S$3:S274,S274)&gt;2,"Trừ toàn bộ chuyên cần tháng do vi phạm lần 3",IF(COUNTIFS($AC$3:AC274,"Quên chấm công",$S$3:S274,S274)&gt;1,"Trừ 1/2 ngày lương",50000))))</f>
        <v/>
      </c>
      <c r="AH274" s="12" t="str">
        <f>IF(AF274=0,"",IF(COUNTIFS($AF$3:AF274,"&gt;0",$S$3:S274,S274)&gt;3,"Trừ toàn bộ chuyên cần tháng",""))</f>
        <v/>
      </c>
      <c r="AI274" s="98" t="s">
        <v>1369</v>
      </c>
    </row>
    <row r="275" spans="1:35" x14ac:dyDescent="0.25">
      <c r="A275" s="4" t="s">
        <v>433</v>
      </c>
      <c r="B275" s="1" t="s">
        <v>434</v>
      </c>
      <c r="C275" s="1" t="s">
        <v>20</v>
      </c>
      <c r="D275" s="1" t="s">
        <v>28</v>
      </c>
      <c r="E275" s="1" t="s">
        <v>22</v>
      </c>
      <c r="F275" s="1" t="s">
        <v>23</v>
      </c>
      <c r="G275" s="1" t="s">
        <v>29</v>
      </c>
      <c r="H275" s="1" t="s">
        <v>435</v>
      </c>
      <c r="I275" s="1" t="s">
        <v>436</v>
      </c>
      <c r="J275" s="1" t="s">
        <v>25</v>
      </c>
      <c r="K275" s="1" t="s">
        <v>437</v>
      </c>
      <c r="L275" s="1" t="s">
        <v>25</v>
      </c>
      <c r="M275" s="1" t="s">
        <v>26</v>
      </c>
      <c r="N275" s="1" t="s">
        <v>25</v>
      </c>
      <c r="O275" s="1" t="s">
        <v>33</v>
      </c>
      <c r="P275" s="1" t="s">
        <v>438</v>
      </c>
      <c r="Q275" s="1" t="s">
        <v>25</v>
      </c>
      <c r="R275" s="85" t="str">
        <f t="shared" si="16"/>
        <v>2345903</v>
      </c>
      <c r="S275" t="str">
        <f>VLOOKUP(A275,Data_NV!$A:$C,3,0)</f>
        <v xml:space="preserve"> Nguyễn Thiên Thanh    </v>
      </c>
      <c r="T275" t="str">
        <f>VLOOKUP(A275,Data_NV!$A:$E,4,0)</f>
        <v>Vận Hành</v>
      </c>
      <c r="U275" s="82">
        <f>DATEVALUE(Table2[[#This Row],[Ngày]])</f>
        <v>45903</v>
      </c>
      <c r="V275" t="str">
        <f>VLOOKUP(A275,Data_NV!$A:$E,5,0)</f>
        <v>Đang làm việc</v>
      </c>
      <c r="W275" s="10">
        <f>VLOOKUP(A275,Data_NV!$A:$I,8,0)</f>
        <v>0.33333333333333331</v>
      </c>
      <c r="X275" s="10">
        <f>VLOOKUP(A275,Data_NV!$A:$I,9,0)</f>
        <v>0.70833333333333337</v>
      </c>
      <c r="Y275" s="10">
        <f>IFERROR(TIMEVALUE(Table2[[#This Row],[Vào]]),0)</f>
        <v>0.31033564814814812</v>
      </c>
      <c r="Z275" s="10">
        <f>IFERROR(TIMEVALUE(Table2[[#This Row],[Ra]]),0)</f>
        <v>0.82275462962962964</v>
      </c>
      <c r="AA275" t="str">
        <f t="shared" si="17"/>
        <v>x</v>
      </c>
      <c r="AB275" s="105">
        <f t="shared" si="18"/>
        <v>0</v>
      </c>
      <c r="AC275" s="12" t="str">
        <f>IF(VLOOKUP(A275,Data_NV!$A:$I,7,0)="Không","",IF(OR(AND(Y275=0,Z275=0),AND(Y275&lt;&gt;0,Z275&lt;&gt;0)),"","Quên chấm công"))</f>
        <v/>
      </c>
      <c r="AD275" s="12">
        <f>IF(VLOOKUP(A275,Data_NV!$A:$I,7,0)="Không",0,IF(AND(Y275=0,Z275=0),0,IF(X275&lt;=Z275,0,ROUNDDOWN((X275-Z275)*24*60,0))))</f>
        <v>0</v>
      </c>
      <c r="AE275" s="12">
        <f>IF(VLOOKUP(A275,Data_NV!$A:$I,6,0)="Không",0,IF(Z275&lt;=X275,0,ROUNDDOWN((Z275-X275)*24*60,0)))</f>
        <v>164</v>
      </c>
      <c r="AF275" s="26">
        <f t="shared" si="19"/>
        <v>0</v>
      </c>
      <c r="AG275" s="27" t="str">
        <f>IF(AC275="","",IF(COUNTIFS($AC$3:AC275,"Quên chấm công",$S$3:S275,S275)&gt;3,"Không chấm công do vi phạm quá 3 lần",IF(COUNTIFS($AC$3:AC275,"Quên chấm công",$S$3:S275,S275)&gt;2,"Trừ toàn bộ chuyên cần tháng do vi phạm lần 3",IF(COUNTIFS($AC$3:AC275,"Quên chấm công",$S$3:S275,S275)&gt;1,"Trừ 1/2 ngày lương",50000))))</f>
        <v/>
      </c>
      <c r="AH275" s="12" t="str">
        <f>IF(AF275=0,"",IF(COUNTIFS($AF$3:AF275,"&gt;0",$S$3:S275,S275)&gt;3,"Trừ toàn bộ chuyên cần tháng",""))</f>
        <v/>
      </c>
      <c r="AI275" s="12"/>
    </row>
    <row r="276" spans="1:35" x14ac:dyDescent="0.25">
      <c r="A276" s="4" t="s">
        <v>433</v>
      </c>
      <c r="B276" s="1" t="s">
        <v>434</v>
      </c>
      <c r="C276" s="1" t="s">
        <v>20</v>
      </c>
      <c r="D276" s="1" t="s">
        <v>35</v>
      </c>
      <c r="E276" s="1" t="s">
        <v>22</v>
      </c>
      <c r="F276" s="1" t="s">
        <v>23</v>
      </c>
      <c r="G276" s="1" t="s">
        <v>29</v>
      </c>
      <c r="H276" s="1" t="s">
        <v>439</v>
      </c>
      <c r="I276" s="1" t="s">
        <v>440</v>
      </c>
      <c r="J276" s="1" t="s">
        <v>25</v>
      </c>
      <c r="K276" s="1" t="s">
        <v>88</v>
      </c>
      <c r="L276" s="1" t="s">
        <v>25</v>
      </c>
      <c r="M276" s="1" t="s">
        <v>26</v>
      </c>
      <c r="N276" s="1" t="s">
        <v>25</v>
      </c>
      <c r="O276" s="1" t="s">
        <v>89</v>
      </c>
      <c r="P276" s="1" t="s">
        <v>25</v>
      </c>
      <c r="Q276" s="1" t="s">
        <v>25</v>
      </c>
      <c r="R276" s="85" t="str">
        <f t="shared" si="16"/>
        <v>2345904</v>
      </c>
      <c r="S276" t="str">
        <f>VLOOKUP(A276,Data_NV!$A:$C,3,0)</f>
        <v xml:space="preserve"> Nguyễn Thiên Thanh    </v>
      </c>
      <c r="T276" t="str">
        <f>VLOOKUP(A276,Data_NV!$A:$E,4,0)</f>
        <v>Vận Hành</v>
      </c>
      <c r="U276" s="82">
        <f>DATEVALUE(Table2[[#This Row],[Ngày]])</f>
        <v>45904</v>
      </c>
      <c r="V276" t="str">
        <f>VLOOKUP(A276,Data_NV!$A:$E,5,0)</f>
        <v>Đang làm việc</v>
      </c>
      <c r="W276" s="10">
        <f>VLOOKUP(A276,Data_NV!$A:$I,8,0)</f>
        <v>0.33333333333333331</v>
      </c>
      <c r="X276" s="10">
        <f>VLOOKUP(A276,Data_NV!$A:$I,9,0)</f>
        <v>0.70833333333333337</v>
      </c>
      <c r="Y276" s="10">
        <f>IFERROR(TIMEVALUE(Table2[[#This Row],[Vào]]),0)</f>
        <v>0.31503472222222223</v>
      </c>
      <c r="Z276" s="10">
        <f>IFERROR(TIMEVALUE(Table2[[#This Row],[Ra]]),0)</f>
        <v>0.77335648148148151</v>
      </c>
      <c r="AA276" t="str">
        <f t="shared" si="17"/>
        <v>x</v>
      </c>
      <c r="AB276" s="105">
        <f t="shared" si="18"/>
        <v>0</v>
      </c>
      <c r="AC276" s="12" t="str">
        <f>IF(VLOOKUP(A276,Data_NV!$A:$I,7,0)="Không","",IF(OR(AND(Y276=0,Z276=0),AND(Y276&lt;&gt;0,Z276&lt;&gt;0)),"","Quên chấm công"))</f>
        <v/>
      </c>
      <c r="AD276" s="12">
        <f>IF(VLOOKUP(A276,Data_NV!$A:$I,7,0)="Không",0,IF(AND(Y276=0,Z276=0),0,IF(X276&lt;=Z276,0,ROUNDDOWN((X276-Z276)*24*60,0))))</f>
        <v>0</v>
      </c>
      <c r="AE276" s="12">
        <f>IF(VLOOKUP(A276,Data_NV!$A:$I,6,0)="Không",0,IF(Z276&lt;=X276,0,ROUNDDOWN((Z276-X276)*24*60,0)))</f>
        <v>93</v>
      </c>
      <c r="AF276" s="26">
        <f t="shared" si="19"/>
        <v>0</v>
      </c>
      <c r="AG276" s="27" t="str">
        <f>IF(AC276="","",IF(COUNTIFS($AC$3:AC276,"Quên chấm công",$S$3:S276,S276)&gt;3,"Không chấm công do vi phạm quá 3 lần",IF(COUNTIFS($AC$3:AC276,"Quên chấm công",$S$3:S276,S276)&gt;2,"Trừ toàn bộ chuyên cần tháng do vi phạm lần 3",IF(COUNTIFS($AC$3:AC276,"Quên chấm công",$S$3:S276,S276)&gt;1,"Trừ 1/2 ngày lương",50000))))</f>
        <v/>
      </c>
      <c r="AH276" s="12" t="str">
        <f>IF(AF276=0,"",IF(COUNTIFS($AF$3:AF276,"&gt;0",$S$3:S276,S276)&gt;3,"Trừ toàn bộ chuyên cần tháng",""))</f>
        <v/>
      </c>
      <c r="AI276" s="12"/>
    </row>
    <row r="277" spans="1:35" x14ac:dyDescent="0.25">
      <c r="A277" s="4" t="s">
        <v>433</v>
      </c>
      <c r="B277" s="1" t="s">
        <v>434</v>
      </c>
      <c r="C277" s="1" t="s">
        <v>20</v>
      </c>
      <c r="D277" s="1" t="s">
        <v>37</v>
      </c>
      <c r="E277" s="1" t="s">
        <v>22</v>
      </c>
      <c r="F277" s="1" t="s">
        <v>23</v>
      </c>
      <c r="G277" s="1" t="s">
        <v>29</v>
      </c>
      <c r="H277" s="1" t="s">
        <v>441</v>
      </c>
      <c r="I277" s="1" t="s">
        <v>442</v>
      </c>
      <c r="J277" s="1" t="s">
        <v>25</v>
      </c>
      <c r="K277" s="1" t="s">
        <v>443</v>
      </c>
      <c r="L277" s="1" t="s">
        <v>25</v>
      </c>
      <c r="M277" s="1" t="s">
        <v>26</v>
      </c>
      <c r="N277" s="1" t="s">
        <v>25</v>
      </c>
      <c r="O277" s="1" t="s">
        <v>33</v>
      </c>
      <c r="P277" s="1" t="s">
        <v>104</v>
      </c>
      <c r="Q277" s="1" t="s">
        <v>25</v>
      </c>
      <c r="R277" s="85" t="str">
        <f t="shared" si="16"/>
        <v>2345905</v>
      </c>
      <c r="S277" t="str">
        <f>VLOOKUP(A277,Data_NV!$A:$C,3,0)</f>
        <v xml:space="preserve"> Nguyễn Thiên Thanh    </v>
      </c>
      <c r="T277" t="str">
        <f>VLOOKUP(A277,Data_NV!$A:$E,4,0)</f>
        <v>Vận Hành</v>
      </c>
      <c r="U277" s="82">
        <f>DATEVALUE(Table2[[#This Row],[Ngày]])</f>
        <v>45905</v>
      </c>
      <c r="V277" t="str">
        <f>VLOOKUP(A277,Data_NV!$A:$E,5,0)</f>
        <v>Đang làm việc</v>
      </c>
      <c r="W277" s="10">
        <f>VLOOKUP(A277,Data_NV!$A:$I,8,0)</f>
        <v>0.33333333333333331</v>
      </c>
      <c r="X277" s="10">
        <f>VLOOKUP(A277,Data_NV!$A:$I,9,0)</f>
        <v>0.70833333333333337</v>
      </c>
      <c r="Y277" s="10">
        <f>IFERROR(TIMEVALUE(Table2[[#This Row],[Vào]]),0)</f>
        <v>0.3157638888888889</v>
      </c>
      <c r="Z277" s="10">
        <f>IFERROR(TIMEVALUE(Table2[[#This Row],[Ra]]),0)</f>
        <v>0.81167824074074069</v>
      </c>
      <c r="AA277" t="str">
        <f t="shared" si="17"/>
        <v>x</v>
      </c>
      <c r="AB277" s="105">
        <f t="shared" si="18"/>
        <v>0</v>
      </c>
      <c r="AC277" s="12" t="str">
        <f>IF(VLOOKUP(A277,Data_NV!$A:$I,7,0)="Không","",IF(OR(AND(Y277=0,Z277=0),AND(Y277&lt;&gt;0,Z277&lt;&gt;0)),"","Quên chấm công"))</f>
        <v/>
      </c>
      <c r="AD277" s="12">
        <f>IF(VLOOKUP(A277,Data_NV!$A:$I,7,0)="Không",0,IF(AND(Y277=0,Z277=0),0,IF(X277&lt;=Z277,0,ROUNDDOWN((X277-Z277)*24*60,0))))</f>
        <v>0</v>
      </c>
      <c r="AE277" s="12">
        <f>IF(VLOOKUP(A277,Data_NV!$A:$I,6,0)="Không",0,IF(Z277&lt;=X277,0,ROUNDDOWN((Z277-X277)*24*60,0)))</f>
        <v>148</v>
      </c>
      <c r="AF277" s="26">
        <f t="shared" si="19"/>
        <v>0</v>
      </c>
      <c r="AG277" s="27" t="str">
        <f>IF(AC277="","",IF(COUNTIFS($AC$3:AC277,"Quên chấm công",$S$3:S277,S277)&gt;3,"Không chấm công do vi phạm quá 3 lần",IF(COUNTIFS($AC$3:AC277,"Quên chấm công",$S$3:S277,S277)&gt;2,"Trừ toàn bộ chuyên cần tháng do vi phạm lần 3",IF(COUNTIFS($AC$3:AC277,"Quên chấm công",$S$3:S277,S277)&gt;1,"Trừ 1/2 ngày lương",50000))))</f>
        <v/>
      </c>
      <c r="AH277" s="12" t="str">
        <f>IF(AF277=0,"",IF(COUNTIFS($AF$3:AF277,"&gt;0",$S$3:S277,S277)&gt;3,"Trừ toàn bộ chuyên cần tháng",""))</f>
        <v/>
      </c>
      <c r="AI277" s="12"/>
    </row>
    <row r="278" spans="1:35" x14ac:dyDescent="0.25">
      <c r="A278" s="4" t="s">
        <v>433</v>
      </c>
      <c r="B278" s="1" t="s">
        <v>434</v>
      </c>
      <c r="C278" s="1" t="s">
        <v>20</v>
      </c>
      <c r="D278" s="1" t="s">
        <v>42</v>
      </c>
      <c r="E278" s="1" t="s">
        <v>22</v>
      </c>
      <c r="F278" s="1" t="s">
        <v>23</v>
      </c>
      <c r="G278" s="1" t="s">
        <v>29</v>
      </c>
      <c r="H278" s="1" t="s">
        <v>444</v>
      </c>
      <c r="I278" s="1" t="s">
        <v>445</v>
      </c>
      <c r="J278" s="1" t="s">
        <v>25</v>
      </c>
      <c r="K278" s="1" t="s">
        <v>446</v>
      </c>
      <c r="L278" s="1" t="s">
        <v>25</v>
      </c>
      <c r="M278" s="1" t="s">
        <v>26</v>
      </c>
      <c r="N278" s="1" t="s">
        <v>25</v>
      </c>
      <c r="O278" s="1" t="s">
        <v>447</v>
      </c>
      <c r="P278" s="1" t="s">
        <v>25</v>
      </c>
      <c r="Q278" s="1" t="s">
        <v>25</v>
      </c>
      <c r="R278" s="85" t="str">
        <f t="shared" si="16"/>
        <v>2345906</v>
      </c>
      <c r="S278" t="str">
        <f>VLOOKUP(A278,Data_NV!$A:$C,3,0)</f>
        <v xml:space="preserve"> Nguyễn Thiên Thanh    </v>
      </c>
      <c r="T278" t="str">
        <f>VLOOKUP(A278,Data_NV!$A:$E,4,0)</f>
        <v>Vận Hành</v>
      </c>
      <c r="U278" s="82">
        <f>DATEVALUE(Table2[[#This Row],[Ngày]])</f>
        <v>45906</v>
      </c>
      <c r="V278" t="str">
        <f>VLOOKUP(A278,Data_NV!$A:$E,5,0)</f>
        <v>Đang làm việc</v>
      </c>
      <c r="W278" s="10">
        <f>VLOOKUP(A278,Data_NV!$A:$I,8,0)</f>
        <v>0.33333333333333331</v>
      </c>
      <c r="X278" s="10">
        <f>VLOOKUP(A278,Data_NV!$A:$I,9,0)</f>
        <v>0.70833333333333337</v>
      </c>
      <c r="Y278" s="10">
        <f>IFERROR(TIMEVALUE(Table2[[#This Row],[Vào]]),0)</f>
        <v>0.31392361111111111</v>
      </c>
      <c r="Z278" s="10">
        <f>IFERROR(TIMEVALUE(Table2[[#This Row],[Ra]]),0)</f>
        <v>0.77766203703703707</v>
      </c>
      <c r="AA278" t="str">
        <f t="shared" si="17"/>
        <v>x</v>
      </c>
      <c r="AB278" s="105">
        <f t="shared" si="18"/>
        <v>0</v>
      </c>
      <c r="AC278" s="12" t="str">
        <f>IF(VLOOKUP(A278,Data_NV!$A:$I,7,0)="Không","",IF(OR(AND(Y278=0,Z278=0),AND(Y278&lt;&gt;0,Z278&lt;&gt;0)),"","Quên chấm công"))</f>
        <v/>
      </c>
      <c r="AD278" s="12">
        <f>IF(VLOOKUP(A278,Data_NV!$A:$I,7,0)="Không",0,IF(AND(Y278=0,Z278=0),0,IF(X278&lt;=Z278,0,ROUNDDOWN((X278-Z278)*24*60,0))))</f>
        <v>0</v>
      </c>
      <c r="AE278" s="12">
        <f>IF(VLOOKUP(A278,Data_NV!$A:$I,6,0)="Không",0,IF(Z278&lt;=X278,0,ROUNDDOWN((Z278-X278)*24*60,0)))</f>
        <v>99</v>
      </c>
      <c r="AF278" s="26">
        <f t="shared" si="19"/>
        <v>0</v>
      </c>
      <c r="AG278" s="27" t="str">
        <f>IF(AC278="","",IF(COUNTIFS($AC$3:AC278,"Quên chấm công",$S$3:S278,S278)&gt;3,"Không chấm công do vi phạm quá 3 lần",IF(COUNTIFS($AC$3:AC278,"Quên chấm công",$S$3:S278,S278)&gt;2,"Trừ toàn bộ chuyên cần tháng do vi phạm lần 3",IF(COUNTIFS($AC$3:AC278,"Quên chấm công",$S$3:S278,S278)&gt;1,"Trừ 1/2 ngày lương",50000))))</f>
        <v/>
      </c>
      <c r="AH278" s="12" t="str">
        <f>IF(AF278=0,"",IF(COUNTIFS($AF$3:AF278,"&gt;0",$S$3:S278,S278)&gt;3,"Trừ toàn bộ chuyên cần tháng",""))</f>
        <v/>
      </c>
      <c r="AI278" s="12"/>
    </row>
    <row r="279" spans="1:35" x14ac:dyDescent="0.25">
      <c r="A279" s="4" t="s">
        <v>433</v>
      </c>
      <c r="B279" s="1" t="s">
        <v>434</v>
      </c>
      <c r="C279" s="1" t="s">
        <v>20</v>
      </c>
      <c r="D279" s="1" t="s">
        <v>47</v>
      </c>
      <c r="E279" s="1" t="s">
        <v>22</v>
      </c>
      <c r="F279" s="1" t="s">
        <v>23</v>
      </c>
      <c r="G279" s="1" t="s">
        <v>12</v>
      </c>
      <c r="H279" s="1" t="s">
        <v>24</v>
      </c>
      <c r="I279" s="1" t="s">
        <v>24</v>
      </c>
      <c r="J279" s="1" t="s">
        <v>25</v>
      </c>
      <c r="K279" s="1" t="s">
        <v>25</v>
      </c>
      <c r="L279" s="1" t="s">
        <v>26</v>
      </c>
      <c r="M279" s="1" t="s">
        <v>25</v>
      </c>
      <c r="N279" s="1" t="s">
        <v>25</v>
      </c>
      <c r="O279" s="1" t="s">
        <v>25</v>
      </c>
      <c r="P279" s="1" t="s">
        <v>25</v>
      </c>
      <c r="Q279" s="1" t="s">
        <v>25</v>
      </c>
      <c r="R279" s="85" t="str">
        <f t="shared" si="16"/>
        <v>2345907</v>
      </c>
      <c r="S279" t="str">
        <f>VLOOKUP(A279,Data_NV!$A:$C,3,0)</f>
        <v xml:space="preserve"> Nguyễn Thiên Thanh    </v>
      </c>
      <c r="T279" t="str">
        <f>VLOOKUP(A279,Data_NV!$A:$E,4,0)</f>
        <v>Vận Hành</v>
      </c>
      <c r="U279" s="82">
        <f>DATEVALUE(Table2[[#This Row],[Ngày]])</f>
        <v>45907</v>
      </c>
      <c r="V279" t="str">
        <f>VLOOKUP(A279,Data_NV!$A:$E,5,0)</f>
        <v>Đang làm việc</v>
      </c>
      <c r="W279" s="10">
        <f>VLOOKUP(A279,Data_NV!$A:$I,8,0)</f>
        <v>0.33333333333333331</v>
      </c>
      <c r="X279" s="10">
        <f>VLOOKUP(A279,Data_NV!$A:$I,9,0)</f>
        <v>0.70833333333333337</v>
      </c>
      <c r="Y279" s="10">
        <f>IFERROR(TIMEVALUE(Table2[[#This Row],[Vào]]),0)</f>
        <v>0</v>
      </c>
      <c r="Z279" s="10">
        <f>IFERROR(TIMEVALUE(Table2[[#This Row],[Ra]]),0)</f>
        <v>0</v>
      </c>
      <c r="AA279" t="str">
        <f t="shared" si="17"/>
        <v>Chủ nhật</v>
      </c>
      <c r="AB279" s="105">
        <f t="shared" si="18"/>
        <v>0</v>
      </c>
      <c r="AC279" s="12" t="str">
        <f>IF(VLOOKUP(A279,Data_NV!$A:$I,7,0)="Không","",IF(OR(AND(Y279=0,Z279=0),AND(Y279&lt;&gt;0,Z279&lt;&gt;0)),"","Quên chấm công"))</f>
        <v/>
      </c>
      <c r="AD279" s="12">
        <f>IF(VLOOKUP(A279,Data_NV!$A:$I,7,0)="Không",0,IF(AND(Y279=0,Z279=0),0,IF(X279&lt;=Z279,0,ROUNDDOWN((X279-Z279)*24*60,0))))</f>
        <v>0</v>
      </c>
      <c r="AE279" s="12">
        <f>IF(VLOOKUP(A279,Data_NV!$A:$I,6,0)="Không",0,IF(Z279&lt;=X279,0,ROUNDDOWN((Z279-X279)*24*60,0)))</f>
        <v>0</v>
      </c>
      <c r="AF279" s="26">
        <f t="shared" si="19"/>
        <v>0</v>
      </c>
      <c r="AG279" s="27" t="str">
        <f>IF(AC279="","",IF(COUNTIFS($AC$3:AC279,"Quên chấm công",$S$3:S279,S279)&gt;3,"Không chấm công do vi phạm quá 3 lần",IF(COUNTIFS($AC$3:AC279,"Quên chấm công",$S$3:S279,S279)&gt;2,"Trừ toàn bộ chuyên cần tháng do vi phạm lần 3",IF(COUNTIFS($AC$3:AC279,"Quên chấm công",$S$3:S279,S279)&gt;1,"Trừ 1/2 ngày lương",50000))))</f>
        <v/>
      </c>
      <c r="AH279" s="12" t="str">
        <f>IF(AF279=0,"",IF(COUNTIFS($AF$3:AF279,"&gt;0",$S$3:S279,S279)&gt;3,"Trừ toàn bộ chuyên cần tháng",""))</f>
        <v/>
      </c>
      <c r="AI279" s="12"/>
    </row>
    <row r="280" spans="1:35" x14ac:dyDescent="0.25">
      <c r="A280" s="4" t="s">
        <v>433</v>
      </c>
      <c r="B280" s="1" t="s">
        <v>434</v>
      </c>
      <c r="C280" s="1" t="s">
        <v>20</v>
      </c>
      <c r="D280" s="1" t="s">
        <v>48</v>
      </c>
      <c r="E280" s="1" t="s">
        <v>22</v>
      </c>
      <c r="F280" s="1" t="s">
        <v>23</v>
      </c>
      <c r="G280" s="1" t="s">
        <v>29</v>
      </c>
      <c r="H280" s="1" t="s">
        <v>448</v>
      </c>
      <c r="I280" s="1" t="s">
        <v>449</v>
      </c>
      <c r="J280" s="1" t="s">
        <v>25</v>
      </c>
      <c r="K280" s="1" t="s">
        <v>450</v>
      </c>
      <c r="L280" s="1" t="s">
        <v>25</v>
      </c>
      <c r="M280" s="1" t="s">
        <v>26</v>
      </c>
      <c r="N280" s="1" t="s">
        <v>25</v>
      </c>
      <c r="O280" s="1" t="s">
        <v>33</v>
      </c>
      <c r="P280" s="1" t="s">
        <v>451</v>
      </c>
      <c r="Q280" s="1" t="s">
        <v>25</v>
      </c>
      <c r="R280" s="85" t="str">
        <f t="shared" si="16"/>
        <v>2345908</v>
      </c>
      <c r="S280" t="str">
        <f>VLOOKUP(A280,Data_NV!$A:$C,3,0)</f>
        <v xml:space="preserve"> Nguyễn Thiên Thanh    </v>
      </c>
      <c r="T280" t="str">
        <f>VLOOKUP(A280,Data_NV!$A:$E,4,0)</f>
        <v>Vận Hành</v>
      </c>
      <c r="U280" s="82">
        <f>DATEVALUE(Table2[[#This Row],[Ngày]])</f>
        <v>45908</v>
      </c>
      <c r="V280" t="str">
        <f>VLOOKUP(A280,Data_NV!$A:$E,5,0)</f>
        <v>Đang làm việc</v>
      </c>
      <c r="W280" s="10">
        <f>VLOOKUP(A280,Data_NV!$A:$I,8,0)</f>
        <v>0.33333333333333331</v>
      </c>
      <c r="X280" s="10">
        <f>VLOOKUP(A280,Data_NV!$A:$I,9,0)</f>
        <v>0.70833333333333337</v>
      </c>
      <c r="Y280" s="10">
        <f>IFERROR(TIMEVALUE(Table2[[#This Row],[Vào]]),0)</f>
        <v>0.3165277777777778</v>
      </c>
      <c r="Z280" s="10">
        <f>IFERROR(TIMEVALUE(Table2[[#This Row],[Ra]]),0)</f>
        <v>0.85445601851851849</v>
      </c>
      <c r="AA280" t="str">
        <f t="shared" si="17"/>
        <v>x</v>
      </c>
      <c r="AB280" s="105">
        <f t="shared" si="18"/>
        <v>0</v>
      </c>
      <c r="AC280" s="12" t="str">
        <f>IF(VLOOKUP(A280,Data_NV!$A:$I,7,0)="Không","",IF(OR(AND(Y280=0,Z280=0),AND(Y280&lt;&gt;0,Z280&lt;&gt;0)),"","Quên chấm công"))</f>
        <v/>
      </c>
      <c r="AD280" s="12">
        <f>IF(VLOOKUP(A280,Data_NV!$A:$I,7,0)="Không",0,IF(AND(Y280=0,Z280=0),0,IF(X280&lt;=Z280,0,ROUNDDOWN((X280-Z280)*24*60,0))))</f>
        <v>0</v>
      </c>
      <c r="AE280" s="12">
        <f>IF(VLOOKUP(A280,Data_NV!$A:$I,6,0)="Không",0,IF(Z280&lt;=X280,0,ROUNDDOWN((Z280-X280)*24*60,0)))</f>
        <v>210</v>
      </c>
      <c r="AF280" s="26">
        <f t="shared" si="19"/>
        <v>0</v>
      </c>
      <c r="AG280" s="27" t="str">
        <f>IF(AC280="","",IF(COUNTIFS($AC$3:AC280,"Quên chấm công",$S$3:S280,S280)&gt;3,"Không chấm công do vi phạm quá 3 lần",IF(COUNTIFS($AC$3:AC280,"Quên chấm công",$S$3:S280,S280)&gt;2,"Trừ toàn bộ chuyên cần tháng do vi phạm lần 3",IF(COUNTIFS($AC$3:AC280,"Quên chấm công",$S$3:S280,S280)&gt;1,"Trừ 1/2 ngày lương",50000))))</f>
        <v/>
      </c>
      <c r="AH280" s="12" t="str">
        <f>IF(AF280=0,"",IF(COUNTIFS($AF$3:AF280,"&gt;0",$S$3:S280,S280)&gt;3,"Trừ toàn bộ chuyên cần tháng",""))</f>
        <v/>
      </c>
      <c r="AI280" s="12"/>
    </row>
    <row r="281" spans="1:35" x14ac:dyDescent="0.25">
      <c r="A281" s="4" t="s">
        <v>433</v>
      </c>
      <c r="B281" s="1" t="s">
        <v>434</v>
      </c>
      <c r="C281" s="1" t="s">
        <v>20</v>
      </c>
      <c r="D281" s="1" t="s">
        <v>53</v>
      </c>
      <c r="E281" s="1" t="s">
        <v>22</v>
      </c>
      <c r="F281" s="1" t="s">
        <v>23</v>
      </c>
      <c r="G281" s="1" t="s">
        <v>29</v>
      </c>
      <c r="H281" s="1" t="s">
        <v>452</v>
      </c>
      <c r="I281" s="1" t="s">
        <v>453</v>
      </c>
      <c r="J281" s="1" t="s">
        <v>25</v>
      </c>
      <c r="K281" s="1" t="s">
        <v>454</v>
      </c>
      <c r="L281" s="1" t="s">
        <v>25</v>
      </c>
      <c r="M281" s="1" t="s">
        <v>26</v>
      </c>
      <c r="N281" s="1" t="s">
        <v>25</v>
      </c>
      <c r="O281" s="1" t="s">
        <v>33</v>
      </c>
      <c r="P281" s="1" t="s">
        <v>94</v>
      </c>
      <c r="Q281" s="1" t="s">
        <v>25</v>
      </c>
      <c r="R281" s="85" t="str">
        <f t="shared" si="16"/>
        <v>2345909</v>
      </c>
      <c r="S281" t="str">
        <f>VLOOKUP(A281,Data_NV!$A:$C,3,0)</f>
        <v xml:space="preserve"> Nguyễn Thiên Thanh    </v>
      </c>
      <c r="T281" t="str">
        <f>VLOOKUP(A281,Data_NV!$A:$E,4,0)</f>
        <v>Vận Hành</v>
      </c>
      <c r="U281" s="82">
        <f>DATEVALUE(Table2[[#This Row],[Ngày]])</f>
        <v>45909</v>
      </c>
      <c r="V281" t="str">
        <f>VLOOKUP(A281,Data_NV!$A:$E,5,0)</f>
        <v>Đang làm việc</v>
      </c>
      <c r="W281" s="10">
        <f>VLOOKUP(A281,Data_NV!$A:$I,8,0)</f>
        <v>0.33333333333333331</v>
      </c>
      <c r="X281" s="10">
        <f>VLOOKUP(A281,Data_NV!$A:$I,9,0)</f>
        <v>0.70833333333333337</v>
      </c>
      <c r="Y281" s="10">
        <f>IFERROR(TIMEVALUE(Table2[[#This Row],[Vào]]),0)</f>
        <v>0.29579861111111111</v>
      </c>
      <c r="Z281" s="10">
        <f>IFERROR(TIMEVALUE(Table2[[#This Row],[Ra]]),0)</f>
        <v>0.82050925925925922</v>
      </c>
      <c r="AA281" t="str">
        <f t="shared" si="17"/>
        <v>x</v>
      </c>
      <c r="AB281" s="105">
        <f t="shared" si="18"/>
        <v>0</v>
      </c>
      <c r="AC281" s="12" t="str">
        <f>IF(VLOOKUP(A281,Data_NV!$A:$I,7,0)="Không","",IF(OR(AND(Y281=0,Z281=0),AND(Y281&lt;&gt;0,Z281&lt;&gt;0)),"","Quên chấm công"))</f>
        <v/>
      </c>
      <c r="AD281" s="12">
        <f>IF(VLOOKUP(A281,Data_NV!$A:$I,7,0)="Không",0,IF(AND(Y281=0,Z281=0),0,IF(X281&lt;=Z281,0,ROUNDDOWN((X281-Z281)*24*60,0))))</f>
        <v>0</v>
      </c>
      <c r="AE281" s="12">
        <f>IF(VLOOKUP(A281,Data_NV!$A:$I,6,0)="Không",0,IF(Z281&lt;=X281,0,ROUNDDOWN((Z281-X281)*24*60,0)))</f>
        <v>161</v>
      </c>
      <c r="AF281" s="26">
        <f t="shared" si="19"/>
        <v>0</v>
      </c>
      <c r="AG281" s="27" t="str">
        <f>IF(AC281="","",IF(COUNTIFS($AC$3:AC281,"Quên chấm công",$S$3:S281,S281)&gt;3,"Không chấm công do vi phạm quá 3 lần",IF(COUNTIFS($AC$3:AC281,"Quên chấm công",$S$3:S281,S281)&gt;2,"Trừ toàn bộ chuyên cần tháng do vi phạm lần 3",IF(COUNTIFS($AC$3:AC281,"Quên chấm công",$S$3:S281,S281)&gt;1,"Trừ 1/2 ngày lương",50000))))</f>
        <v/>
      </c>
      <c r="AH281" s="12" t="str">
        <f>IF(AF281=0,"",IF(COUNTIFS($AF$3:AF281,"&gt;0",$S$3:S281,S281)&gt;3,"Trừ toàn bộ chuyên cần tháng",""))</f>
        <v/>
      </c>
      <c r="AI281" s="12"/>
    </row>
    <row r="282" spans="1:35" x14ac:dyDescent="0.25">
      <c r="A282" s="4" t="s">
        <v>433</v>
      </c>
      <c r="B282" s="1" t="s">
        <v>434</v>
      </c>
      <c r="C282" s="1" t="s">
        <v>20</v>
      </c>
      <c r="D282" s="1" t="s">
        <v>58</v>
      </c>
      <c r="E282" s="1" t="s">
        <v>22</v>
      </c>
      <c r="F282" s="1" t="s">
        <v>23</v>
      </c>
      <c r="G282" s="1" t="s">
        <v>29</v>
      </c>
      <c r="H282" s="1" t="s">
        <v>455</v>
      </c>
      <c r="I282" s="1" t="s">
        <v>456</v>
      </c>
      <c r="J282" s="1" t="s">
        <v>25</v>
      </c>
      <c r="K282" s="1" t="s">
        <v>98</v>
      </c>
      <c r="L282" s="1" t="s">
        <v>25</v>
      </c>
      <c r="M282" s="1" t="s">
        <v>26</v>
      </c>
      <c r="N282" s="1" t="s">
        <v>25</v>
      </c>
      <c r="O282" s="1" t="s">
        <v>99</v>
      </c>
      <c r="P282" s="1" t="s">
        <v>25</v>
      </c>
      <c r="Q282" s="1" t="s">
        <v>25</v>
      </c>
      <c r="R282" s="85" t="str">
        <f t="shared" si="16"/>
        <v>2345910</v>
      </c>
      <c r="S282" t="str">
        <f>VLOOKUP(A282,Data_NV!$A:$C,3,0)</f>
        <v xml:space="preserve"> Nguyễn Thiên Thanh    </v>
      </c>
      <c r="T282" t="str">
        <f>VLOOKUP(A282,Data_NV!$A:$E,4,0)</f>
        <v>Vận Hành</v>
      </c>
      <c r="U282" s="82">
        <f>DATEVALUE(Table2[[#This Row],[Ngày]])</f>
        <v>45910</v>
      </c>
      <c r="V282" t="str">
        <f>VLOOKUP(A282,Data_NV!$A:$E,5,0)</f>
        <v>Đang làm việc</v>
      </c>
      <c r="W282" s="10">
        <f>VLOOKUP(A282,Data_NV!$A:$I,8,0)</f>
        <v>0.33333333333333331</v>
      </c>
      <c r="X282" s="10">
        <f>VLOOKUP(A282,Data_NV!$A:$I,9,0)</f>
        <v>0.70833333333333337</v>
      </c>
      <c r="Y282" s="10">
        <f>IFERROR(TIMEVALUE(Table2[[#This Row],[Vào]]),0)</f>
        <v>0.3165162037037037</v>
      </c>
      <c r="Z282" s="10">
        <f>IFERROR(TIMEVALUE(Table2[[#This Row],[Ra]]),0)</f>
        <v>0.76778935185185182</v>
      </c>
      <c r="AA282" t="str">
        <f t="shared" si="17"/>
        <v>x</v>
      </c>
      <c r="AB282" s="105">
        <f t="shared" si="18"/>
        <v>0</v>
      </c>
      <c r="AC282" s="12" t="str">
        <f>IF(VLOOKUP(A282,Data_NV!$A:$I,7,0)="Không","",IF(OR(AND(Y282=0,Z282=0),AND(Y282&lt;&gt;0,Z282&lt;&gt;0)),"","Quên chấm công"))</f>
        <v/>
      </c>
      <c r="AD282" s="12">
        <f>IF(VLOOKUP(A282,Data_NV!$A:$I,7,0)="Không",0,IF(AND(Y282=0,Z282=0),0,IF(X282&lt;=Z282,0,ROUNDDOWN((X282-Z282)*24*60,0))))</f>
        <v>0</v>
      </c>
      <c r="AE282" s="12">
        <f>IF(VLOOKUP(A282,Data_NV!$A:$I,6,0)="Không",0,IF(Z282&lt;=X282,0,ROUNDDOWN((Z282-X282)*24*60,0)))</f>
        <v>85</v>
      </c>
      <c r="AF282" s="26">
        <f t="shared" si="19"/>
        <v>0</v>
      </c>
      <c r="AG282" s="27" t="str">
        <f>IF(AC282="","",IF(COUNTIFS($AC$3:AC282,"Quên chấm công",$S$3:S282,S282)&gt;3,"Không chấm công do vi phạm quá 3 lần",IF(COUNTIFS($AC$3:AC282,"Quên chấm công",$S$3:S282,S282)&gt;2,"Trừ toàn bộ chuyên cần tháng do vi phạm lần 3",IF(COUNTIFS($AC$3:AC282,"Quên chấm công",$S$3:S282,S282)&gt;1,"Trừ 1/2 ngày lương",50000))))</f>
        <v/>
      </c>
      <c r="AH282" s="12" t="str">
        <f>IF(AF282=0,"",IF(COUNTIFS($AF$3:AF282,"&gt;0",$S$3:S282,S282)&gt;3,"Trừ toàn bộ chuyên cần tháng",""))</f>
        <v/>
      </c>
      <c r="AI282" s="12"/>
    </row>
    <row r="283" spans="1:35" x14ac:dyDescent="0.25">
      <c r="A283" s="4" t="s">
        <v>433</v>
      </c>
      <c r="B283" s="1" t="s">
        <v>434</v>
      </c>
      <c r="C283" s="1" t="s">
        <v>20</v>
      </c>
      <c r="D283" s="1" t="s">
        <v>63</v>
      </c>
      <c r="E283" s="1" t="s">
        <v>22</v>
      </c>
      <c r="F283" s="1" t="s">
        <v>23</v>
      </c>
      <c r="G283" s="1" t="s">
        <v>29</v>
      </c>
      <c r="H283" s="1" t="s">
        <v>457</v>
      </c>
      <c r="I283" s="1" t="s">
        <v>458</v>
      </c>
      <c r="J283" s="1" t="s">
        <v>25</v>
      </c>
      <c r="K283" s="1" t="s">
        <v>369</v>
      </c>
      <c r="L283" s="1" t="s">
        <v>25</v>
      </c>
      <c r="M283" s="1" t="s">
        <v>26</v>
      </c>
      <c r="N283" s="1" t="s">
        <v>25</v>
      </c>
      <c r="O283" s="1" t="s">
        <v>316</v>
      </c>
      <c r="P283" s="1" t="s">
        <v>25</v>
      </c>
      <c r="Q283" s="1" t="s">
        <v>25</v>
      </c>
      <c r="R283" s="85" t="str">
        <f t="shared" si="16"/>
        <v>2345911</v>
      </c>
      <c r="S283" t="str">
        <f>VLOOKUP(A283,Data_NV!$A:$C,3,0)</f>
        <v xml:space="preserve"> Nguyễn Thiên Thanh    </v>
      </c>
      <c r="T283" t="str">
        <f>VLOOKUP(A283,Data_NV!$A:$E,4,0)</f>
        <v>Vận Hành</v>
      </c>
      <c r="U283" s="82">
        <f>DATEVALUE(Table2[[#This Row],[Ngày]])</f>
        <v>45911</v>
      </c>
      <c r="V283" t="str">
        <f>VLOOKUP(A283,Data_NV!$A:$E,5,0)</f>
        <v>Đang làm việc</v>
      </c>
      <c r="W283" s="10">
        <f>VLOOKUP(A283,Data_NV!$A:$I,8,0)</f>
        <v>0.33333333333333331</v>
      </c>
      <c r="X283" s="10">
        <f>VLOOKUP(A283,Data_NV!$A:$I,9,0)</f>
        <v>0.70833333333333337</v>
      </c>
      <c r="Y283" s="10">
        <f>IFERROR(TIMEVALUE(Table2[[#This Row],[Vào]]),0)</f>
        <v>0.31060185185185185</v>
      </c>
      <c r="Z283" s="10">
        <f>IFERROR(TIMEVALUE(Table2[[#This Row],[Ra]]),0)</f>
        <v>0.78662037037037036</v>
      </c>
      <c r="AA283" t="str">
        <f t="shared" si="17"/>
        <v>x</v>
      </c>
      <c r="AB283" s="105">
        <f t="shared" si="18"/>
        <v>0</v>
      </c>
      <c r="AC283" s="12" t="str">
        <f>IF(VLOOKUP(A283,Data_NV!$A:$I,7,0)="Không","",IF(OR(AND(Y283=0,Z283=0),AND(Y283&lt;&gt;0,Z283&lt;&gt;0)),"","Quên chấm công"))</f>
        <v/>
      </c>
      <c r="AD283" s="12">
        <f>IF(VLOOKUP(A283,Data_NV!$A:$I,7,0)="Không",0,IF(AND(Y283=0,Z283=0),0,IF(X283&lt;=Z283,0,ROUNDDOWN((X283-Z283)*24*60,0))))</f>
        <v>0</v>
      </c>
      <c r="AE283" s="12">
        <f>IF(VLOOKUP(A283,Data_NV!$A:$I,6,0)="Không",0,IF(Z283&lt;=X283,0,ROUNDDOWN((Z283-X283)*24*60,0)))</f>
        <v>112</v>
      </c>
      <c r="AF283" s="26">
        <f t="shared" si="19"/>
        <v>0</v>
      </c>
      <c r="AG283" s="27" t="str">
        <f>IF(AC283="","",IF(COUNTIFS($AC$3:AC283,"Quên chấm công",$S$3:S283,S283)&gt;3,"Không chấm công do vi phạm quá 3 lần",IF(COUNTIFS($AC$3:AC283,"Quên chấm công",$S$3:S283,S283)&gt;2,"Trừ toàn bộ chuyên cần tháng do vi phạm lần 3",IF(COUNTIFS($AC$3:AC283,"Quên chấm công",$S$3:S283,S283)&gt;1,"Trừ 1/2 ngày lương",50000))))</f>
        <v/>
      </c>
      <c r="AH283" s="12" t="str">
        <f>IF(AF283=0,"",IF(COUNTIFS($AF$3:AF283,"&gt;0",$S$3:S283,S283)&gt;3,"Trừ toàn bộ chuyên cần tháng",""))</f>
        <v/>
      </c>
      <c r="AI283" s="12"/>
    </row>
    <row r="284" spans="1:35" x14ac:dyDescent="0.25">
      <c r="A284" s="4" t="s">
        <v>433</v>
      </c>
      <c r="B284" s="1" t="s">
        <v>434</v>
      </c>
      <c r="C284" s="1" t="s">
        <v>20</v>
      </c>
      <c r="D284" s="1" t="s">
        <v>67</v>
      </c>
      <c r="E284" s="1" t="s">
        <v>22</v>
      </c>
      <c r="F284" s="1" t="s">
        <v>23</v>
      </c>
      <c r="G284" s="1" t="s">
        <v>29</v>
      </c>
      <c r="H284" s="1" t="s">
        <v>459</v>
      </c>
      <c r="I284" s="1" t="s">
        <v>460</v>
      </c>
      <c r="J284" s="1" t="s">
        <v>25</v>
      </c>
      <c r="K284" s="1" t="s">
        <v>275</v>
      </c>
      <c r="L284" s="1" t="s">
        <v>25</v>
      </c>
      <c r="M284" s="1" t="s">
        <v>26</v>
      </c>
      <c r="N284" s="1" t="s">
        <v>25</v>
      </c>
      <c r="O284" s="1" t="s">
        <v>276</v>
      </c>
      <c r="P284" s="1" t="s">
        <v>25</v>
      </c>
      <c r="Q284" s="1" t="s">
        <v>25</v>
      </c>
      <c r="R284" s="85" t="str">
        <f t="shared" si="16"/>
        <v>2345912</v>
      </c>
      <c r="S284" t="str">
        <f>VLOOKUP(A284,Data_NV!$A:$C,3,0)</f>
        <v xml:space="preserve"> Nguyễn Thiên Thanh    </v>
      </c>
      <c r="T284" t="str">
        <f>VLOOKUP(A284,Data_NV!$A:$E,4,0)</f>
        <v>Vận Hành</v>
      </c>
      <c r="U284" s="82">
        <f>DATEVALUE(Table2[[#This Row],[Ngày]])</f>
        <v>45912</v>
      </c>
      <c r="V284" t="str">
        <f>VLOOKUP(A284,Data_NV!$A:$E,5,0)</f>
        <v>Đang làm việc</v>
      </c>
      <c r="W284" s="10">
        <f>VLOOKUP(A284,Data_NV!$A:$I,8,0)</f>
        <v>0.33333333333333331</v>
      </c>
      <c r="X284" s="10">
        <f>VLOOKUP(A284,Data_NV!$A:$I,9,0)</f>
        <v>0.70833333333333337</v>
      </c>
      <c r="Y284" s="10">
        <f>IFERROR(TIMEVALUE(Table2[[#This Row],[Vào]]),0)</f>
        <v>0.31681712962962966</v>
      </c>
      <c r="Z284" s="10">
        <f>IFERROR(TIMEVALUE(Table2[[#This Row],[Ra]]),0)</f>
        <v>0.76049768518518523</v>
      </c>
      <c r="AA284" t="str">
        <f t="shared" si="17"/>
        <v>x</v>
      </c>
      <c r="AB284" s="105">
        <f t="shared" si="18"/>
        <v>0</v>
      </c>
      <c r="AC284" s="12" t="str">
        <f>IF(VLOOKUP(A284,Data_NV!$A:$I,7,0)="Không","",IF(OR(AND(Y284=0,Z284=0),AND(Y284&lt;&gt;0,Z284&lt;&gt;0)),"","Quên chấm công"))</f>
        <v/>
      </c>
      <c r="AD284" s="12">
        <f>IF(VLOOKUP(A284,Data_NV!$A:$I,7,0)="Không",0,IF(AND(Y284=0,Z284=0),0,IF(X284&lt;=Z284,0,ROUNDDOWN((X284-Z284)*24*60,0))))</f>
        <v>0</v>
      </c>
      <c r="AE284" s="12">
        <f>IF(VLOOKUP(A284,Data_NV!$A:$I,6,0)="Không",0,IF(Z284&lt;=X284,0,ROUNDDOWN((Z284-X284)*24*60,0)))</f>
        <v>75</v>
      </c>
      <c r="AF284" s="26">
        <f t="shared" si="19"/>
        <v>0</v>
      </c>
      <c r="AG284" s="27" t="str">
        <f>IF(AC284="","",IF(COUNTIFS($AC$3:AC284,"Quên chấm công",$S$3:S284,S284)&gt;3,"Không chấm công do vi phạm quá 3 lần",IF(COUNTIFS($AC$3:AC284,"Quên chấm công",$S$3:S284,S284)&gt;2,"Trừ toàn bộ chuyên cần tháng do vi phạm lần 3",IF(COUNTIFS($AC$3:AC284,"Quên chấm công",$S$3:S284,S284)&gt;1,"Trừ 1/2 ngày lương",50000))))</f>
        <v/>
      </c>
      <c r="AH284" s="12" t="str">
        <f>IF(AF284=0,"",IF(COUNTIFS($AF$3:AF284,"&gt;0",$S$3:S284,S284)&gt;3,"Trừ toàn bộ chuyên cần tháng",""))</f>
        <v/>
      </c>
      <c r="AI284" s="12"/>
    </row>
    <row r="285" spans="1:35" x14ac:dyDescent="0.25">
      <c r="A285" s="4" t="s">
        <v>433</v>
      </c>
      <c r="B285" s="1" t="s">
        <v>434</v>
      </c>
      <c r="C285" s="1" t="s">
        <v>20</v>
      </c>
      <c r="D285" s="1" t="s">
        <v>69</v>
      </c>
      <c r="E285" s="1" t="s">
        <v>22</v>
      </c>
      <c r="F285" s="1" t="s">
        <v>23</v>
      </c>
      <c r="G285" s="1" t="s">
        <v>29</v>
      </c>
      <c r="H285" s="1" t="s">
        <v>461</v>
      </c>
      <c r="I285" s="1" t="s">
        <v>462</v>
      </c>
      <c r="J285" s="1" t="s">
        <v>25</v>
      </c>
      <c r="K285" s="1" t="s">
        <v>275</v>
      </c>
      <c r="L285" s="1" t="s">
        <v>25</v>
      </c>
      <c r="M285" s="1" t="s">
        <v>26</v>
      </c>
      <c r="N285" s="1" t="s">
        <v>25</v>
      </c>
      <c r="O285" s="1" t="s">
        <v>276</v>
      </c>
      <c r="P285" s="1" t="s">
        <v>25</v>
      </c>
      <c r="Q285" s="1" t="s">
        <v>25</v>
      </c>
      <c r="R285" s="85" t="str">
        <f t="shared" si="16"/>
        <v>2345913</v>
      </c>
      <c r="S285" t="str">
        <f>VLOOKUP(A285,Data_NV!$A:$C,3,0)</f>
        <v xml:space="preserve"> Nguyễn Thiên Thanh    </v>
      </c>
      <c r="T285" t="str">
        <f>VLOOKUP(A285,Data_NV!$A:$E,4,0)</f>
        <v>Vận Hành</v>
      </c>
      <c r="U285" s="82">
        <f>DATEVALUE(Table2[[#This Row],[Ngày]])</f>
        <v>45913</v>
      </c>
      <c r="V285" t="str">
        <f>VLOOKUP(A285,Data_NV!$A:$E,5,0)</f>
        <v>Đang làm việc</v>
      </c>
      <c r="W285" s="10">
        <f>VLOOKUP(A285,Data_NV!$A:$I,8,0)</f>
        <v>0.33333333333333331</v>
      </c>
      <c r="X285" s="10">
        <f>VLOOKUP(A285,Data_NV!$A:$I,9,0)</f>
        <v>0.70833333333333337</v>
      </c>
      <c r="Y285" s="10">
        <f>IFERROR(TIMEVALUE(Table2[[#This Row],[Vào]]),0)</f>
        <v>0.30891203703703701</v>
      </c>
      <c r="Z285" s="10">
        <f>IFERROR(TIMEVALUE(Table2[[#This Row],[Ra]]),0)</f>
        <v>0.76047453703703705</v>
      </c>
      <c r="AA285" t="str">
        <f t="shared" si="17"/>
        <v>x</v>
      </c>
      <c r="AB285" s="105">
        <f t="shared" si="18"/>
        <v>0</v>
      </c>
      <c r="AC285" s="12" t="str">
        <f>IF(VLOOKUP(A285,Data_NV!$A:$I,7,0)="Không","",IF(OR(AND(Y285=0,Z285=0),AND(Y285&lt;&gt;0,Z285&lt;&gt;0)),"","Quên chấm công"))</f>
        <v/>
      </c>
      <c r="AD285" s="12">
        <f>IF(VLOOKUP(A285,Data_NV!$A:$I,7,0)="Không",0,IF(AND(Y285=0,Z285=0),0,IF(X285&lt;=Z285,0,ROUNDDOWN((X285-Z285)*24*60,0))))</f>
        <v>0</v>
      </c>
      <c r="AE285" s="12">
        <f>IF(VLOOKUP(A285,Data_NV!$A:$I,6,0)="Không",0,IF(Z285&lt;=X285,0,ROUNDDOWN((Z285-X285)*24*60,0)))</f>
        <v>75</v>
      </c>
      <c r="AF285" s="26">
        <f t="shared" si="19"/>
        <v>0</v>
      </c>
      <c r="AG285" s="27" t="str">
        <f>IF(AC285="","",IF(COUNTIFS($AC$3:AC285,"Quên chấm công",$S$3:S285,S285)&gt;3,"Không chấm công do vi phạm quá 3 lần",IF(COUNTIFS($AC$3:AC285,"Quên chấm công",$S$3:S285,S285)&gt;2,"Trừ toàn bộ chuyên cần tháng do vi phạm lần 3",IF(COUNTIFS($AC$3:AC285,"Quên chấm công",$S$3:S285,S285)&gt;1,"Trừ 1/2 ngày lương",50000))))</f>
        <v/>
      </c>
      <c r="AH285" s="12" t="str">
        <f>IF(AF285=0,"",IF(COUNTIFS($AF$3:AF285,"&gt;0",$S$3:S285,S285)&gt;3,"Trừ toàn bộ chuyên cần tháng",""))</f>
        <v/>
      </c>
      <c r="AI285" s="12"/>
    </row>
    <row r="286" spans="1:35" x14ac:dyDescent="0.25">
      <c r="A286" s="4" t="s">
        <v>433</v>
      </c>
      <c r="B286" s="1" t="s">
        <v>434</v>
      </c>
      <c r="C286" s="1" t="s">
        <v>20</v>
      </c>
      <c r="D286" s="1" t="s">
        <v>74</v>
      </c>
      <c r="E286" s="1" t="s">
        <v>22</v>
      </c>
      <c r="F286" s="1" t="s">
        <v>23</v>
      </c>
      <c r="G286" s="1" t="s">
        <v>12</v>
      </c>
      <c r="H286" s="1" t="s">
        <v>24</v>
      </c>
      <c r="I286" s="1" t="s">
        <v>24</v>
      </c>
      <c r="J286" s="1" t="s">
        <v>25</v>
      </c>
      <c r="K286" s="1" t="s">
        <v>25</v>
      </c>
      <c r="L286" s="1" t="s">
        <v>26</v>
      </c>
      <c r="M286" s="1" t="s">
        <v>25</v>
      </c>
      <c r="N286" s="1" t="s">
        <v>25</v>
      </c>
      <c r="O286" s="1" t="s">
        <v>25</v>
      </c>
      <c r="P286" s="1" t="s">
        <v>25</v>
      </c>
      <c r="Q286" s="1" t="s">
        <v>25</v>
      </c>
      <c r="R286" s="85" t="str">
        <f t="shared" si="16"/>
        <v>2345914</v>
      </c>
      <c r="S286" t="str">
        <f>VLOOKUP(A286,Data_NV!$A:$C,3,0)</f>
        <v xml:space="preserve"> Nguyễn Thiên Thanh    </v>
      </c>
      <c r="T286" t="str">
        <f>VLOOKUP(A286,Data_NV!$A:$E,4,0)</f>
        <v>Vận Hành</v>
      </c>
      <c r="U286" s="82">
        <f>DATEVALUE(Table2[[#This Row],[Ngày]])</f>
        <v>45914</v>
      </c>
      <c r="V286" t="str">
        <f>VLOOKUP(A286,Data_NV!$A:$E,5,0)</f>
        <v>Đang làm việc</v>
      </c>
      <c r="W286" s="10">
        <f>VLOOKUP(A286,Data_NV!$A:$I,8,0)</f>
        <v>0.33333333333333331</v>
      </c>
      <c r="X286" s="10">
        <f>VLOOKUP(A286,Data_NV!$A:$I,9,0)</f>
        <v>0.70833333333333337</v>
      </c>
      <c r="Y286" s="10">
        <f>IFERROR(TIMEVALUE(Table2[[#This Row],[Vào]]),0)</f>
        <v>0</v>
      </c>
      <c r="Z286" s="10">
        <f>IFERROR(TIMEVALUE(Table2[[#This Row],[Ra]]),0)</f>
        <v>0</v>
      </c>
      <c r="AA286" t="str">
        <f t="shared" si="17"/>
        <v>Chủ nhật</v>
      </c>
      <c r="AB286" s="105">
        <f t="shared" si="18"/>
        <v>0</v>
      </c>
      <c r="AC286" s="12" t="str">
        <f>IF(VLOOKUP(A286,Data_NV!$A:$I,7,0)="Không","",IF(OR(AND(Y286=0,Z286=0),AND(Y286&lt;&gt;0,Z286&lt;&gt;0)),"","Quên chấm công"))</f>
        <v/>
      </c>
      <c r="AD286" s="12">
        <f>IF(VLOOKUP(A286,Data_NV!$A:$I,7,0)="Không",0,IF(AND(Y286=0,Z286=0),0,IF(X286&lt;=Z286,0,ROUNDDOWN((X286-Z286)*24*60,0))))</f>
        <v>0</v>
      </c>
      <c r="AE286" s="12">
        <f>IF(VLOOKUP(A286,Data_NV!$A:$I,6,0)="Không",0,IF(Z286&lt;=X286,0,ROUNDDOWN((Z286-X286)*24*60,0)))</f>
        <v>0</v>
      </c>
      <c r="AF286" s="26">
        <f t="shared" si="19"/>
        <v>0</v>
      </c>
      <c r="AG286" s="27" t="str">
        <f>IF(AC286="","",IF(COUNTIFS($AC$3:AC286,"Quên chấm công",$S$3:S286,S286)&gt;3,"Không chấm công do vi phạm quá 3 lần",IF(COUNTIFS($AC$3:AC286,"Quên chấm công",$S$3:S286,S286)&gt;2,"Trừ toàn bộ chuyên cần tháng do vi phạm lần 3",IF(COUNTIFS($AC$3:AC286,"Quên chấm công",$S$3:S286,S286)&gt;1,"Trừ 1/2 ngày lương",50000))))</f>
        <v/>
      </c>
      <c r="AH286" s="12" t="str">
        <f>IF(AF286=0,"",IF(COUNTIFS($AF$3:AF286,"&gt;0",$S$3:S286,S286)&gt;3,"Trừ toàn bộ chuyên cần tháng",""))</f>
        <v/>
      </c>
      <c r="AI286" s="12"/>
    </row>
    <row r="287" spans="1:35" x14ac:dyDescent="0.25">
      <c r="A287" s="4" t="s">
        <v>433</v>
      </c>
      <c r="B287" s="1" t="s">
        <v>434</v>
      </c>
      <c r="C287" s="1" t="s">
        <v>20</v>
      </c>
      <c r="D287" s="1" t="s">
        <v>75</v>
      </c>
      <c r="E287" s="1" t="s">
        <v>22</v>
      </c>
      <c r="F287" s="1" t="s">
        <v>23</v>
      </c>
      <c r="G287" s="1" t="s">
        <v>29</v>
      </c>
      <c r="H287" s="1" t="s">
        <v>463</v>
      </c>
      <c r="I287" s="1" t="s">
        <v>464</v>
      </c>
      <c r="J287" s="1" t="s">
        <v>25</v>
      </c>
      <c r="K287" s="1" t="s">
        <v>406</v>
      </c>
      <c r="L287" s="1" t="s">
        <v>25</v>
      </c>
      <c r="M287" s="1" t="s">
        <v>26</v>
      </c>
      <c r="N287" s="1" t="s">
        <v>25</v>
      </c>
      <c r="O287" s="1" t="s">
        <v>33</v>
      </c>
      <c r="P287" s="1" t="s">
        <v>407</v>
      </c>
      <c r="Q287" s="1" t="s">
        <v>25</v>
      </c>
      <c r="R287" s="85" t="str">
        <f t="shared" si="16"/>
        <v>2345915</v>
      </c>
      <c r="S287" t="str">
        <f>VLOOKUP(A287,Data_NV!$A:$C,3,0)</f>
        <v xml:space="preserve"> Nguyễn Thiên Thanh    </v>
      </c>
      <c r="T287" t="str">
        <f>VLOOKUP(A287,Data_NV!$A:$E,4,0)</f>
        <v>Vận Hành</v>
      </c>
      <c r="U287" s="82">
        <f>DATEVALUE(Table2[[#This Row],[Ngày]])</f>
        <v>45915</v>
      </c>
      <c r="V287" t="str">
        <f>VLOOKUP(A287,Data_NV!$A:$E,5,0)</f>
        <v>Đang làm việc</v>
      </c>
      <c r="W287" s="10">
        <f>VLOOKUP(A287,Data_NV!$A:$I,8,0)</f>
        <v>0.33333333333333331</v>
      </c>
      <c r="X287" s="10">
        <f>VLOOKUP(A287,Data_NV!$A:$I,9,0)</f>
        <v>0.70833333333333337</v>
      </c>
      <c r="Y287" s="10">
        <f>IFERROR(TIMEVALUE(Table2[[#This Row],[Vào]]),0)</f>
        <v>0.3115162037037037</v>
      </c>
      <c r="Z287" s="10">
        <f>IFERROR(TIMEVALUE(Table2[[#This Row],[Ra]]),0)</f>
        <v>0.80459490740740736</v>
      </c>
      <c r="AA287" t="str">
        <f t="shared" si="17"/>
        <v>x</v>
      </c>
      <c r="AB287" s="105">
        <f t="shared" si="18"/>
        <v>0</v>
      </c>
      <c r="AC287" s="12" t="str">
        <f>IF(VLOOKUP(A287,Data_NV!$A:$I,7,0)="Không","",IF(OR(AND(Y287=0,Z287=0),AND(Y287&lt;&gt;0,Z287&lt;&gt;0)),"","Quên chấm công"))</f>
        <v/>
      </c>
      <c r="AD287" s="12">
        <f>IF(VLOOKUP(A287,Data_NV!$A:$I,7,0)="Không",0,IF(AND(Y287=0,Z287=0),0,IF(X287&lt;=Z287,0,ROUNDDOWN((X287-Z287)*24*60,0))))</f>
        <v>0</v>
      </c>
      <c r="AE287" s="12">
        <f>IF(VLOOKUP(A287,Data_NV!$A:$I,6,0)="Không",0,IF(Z287&lt;=X287,0,ROUNDDOWN((Z287-X287)*24*60,0)))</f>
        <v>138</v>
      </c>
      <c r="AF287" s="26">
        <f t="shared" si="19"/>
        <v>0</v>
      </c>
      <c r="AG287" s="27" t="str">
        <f>IF(AC287="","",IF(COUNTIFS($AC$3:AC287,"Quên chấm công",$S$3:S287,S287)&gt;3,"Không chấm công do vi phạm quá 3 lần",IF(COUNTIFS($AC$3:AC287,"Quên chấm công",$S$3:S287,S287)&gt;2,"Trừ toàn bộ chuyên cần tháng do vi phạm lần 3",IF(COUNTIFS($AC$3:AC287,"Quên chấm công",$S$3:S287,S287)&gt;1,"Trừ 1/2 ngày lương",50000))))</f>
        <v/>
      </c>
      <c r="AH287" s="12" t="str">
        <f>IF(AF287=0,"",IF(COUNTIFS($AF$3:AF287,"&gt;0",$S$3:S287,S287)&gt;3,"Trừ toàn bộ chuyên cần tháng",""))</f>
        <v/>
      </c>
      <c r="AI287" s="12"/>
    </row>
    <row r="288" spans="1:35" x14ac:dyDescent="0.25">
      <c r="A288" s="4" t="s">
        <v>433</v>
      </c>
      <c r="B288" s="1" t="s">
        <v>434</v>
      </c>
      <c r="C288" s="1" t="s">
        <v>20</v>
      </c>
      <c r="D288" s="1" t="s">
        <v>80</v>
      </c>
      <c r="E288" s="1" t="s">
        <v>22</v>
      </c>
      <c r="F288" s="1" t="s">
        <v>23</v>
      </c>
      <c r="G288" s="1" t="s">
        <v>29</v>
      </c>
      <c r="H288" s="1" t="s">
        <v>332</v>
      </c>
      <c r="I288" s="1" t="s">
        <v>465</v>
      </c>
      <c r="J288" s="1" t="s">
        <v>25</v>
      </c>
      <c r="K288" s="1" t="s">
        <v>466</v>
      </c>
      <c r="L288" s="1" t="s">
        <v>25</v>
      </c>
      <c r="M288" s="1" t="s">
        <v>26</v>
      </c>
      <c r="N288" s="1" t="s">
        <v>25</v>
      </c>
      <c r="O288" s="1" t="s">
        <v>33</v>
      </c>
      <c r="P288" s="1" t="s">
        <v>129</v>
      </c>
      <c r="Q288" s="1" t="s">
        <v>25</v>
      </c>
      <c r="R288" s="85" t="str">
        <f t="shared" si="16"/>
        <v>2345916</v>
      </c>
      <c r="S288" t="str">
        <f>VLOOKUP(A288,Data_NV!$A:$C,3,0)</f>
        <v xml:space="preserve"> Nguyễn Thiên Thanh    </v>
      </c>
      <c r="T288" t="str">
        <f>VLOOKUP(A288,Data_NV!$A:$E,4,0)</f>
        <v>Vận Hành</v>
      </c>
      <c r="U288" s="82">
        <f>DATEVALUE(Table2[[#This Row],[Ngày]])</f>
        <v>45916</v>
      </c>
      <c r="V288" t="str">
        <f>VLOOKUP(A288,Data_NV!$A:$E,5,0)</f>
        <v>Đang làm việc</v>
      </c>
      <c r="W288" s="10">
        <f>VLOOKUP(A288,Data_NV!$A:$I,8,0)</f>
        <v>0.33333333333333331</v>
      </c>
      <c r="X288" s="10">
        <f>VLOOKUP(A288,Data_NV!$A:$I,9,0)</f>
        <v>0.70833333333333337</v>
      </c>
      <c r="Y288" s="10">
        <f>IFERROR(TIMEVALUE(Table2[[#This Row],[Vào]]),0)</f>
        <v>0.31070601851851853</v>
      </c>
      <c r="Z288" s="10">
        <f>IFERROR(TIMEVALUE(Table2[[#This Row],[Ra]]),0)</f>
        <v>0.80546296296296294</v>
      </c>
      <c r="AA288" t="str">
        <f t="shared" si="17"/>
        <v>x</v>
      </c>
      <c r="AB288" s="105">
        <f t="shared" si="18"/>
        <v>0</v>
      </c>
      <c r="AC288" s="12" t="str">
        <f>IF(VLOOKUP(A288,Data_NV!$A:$I,7,0)="Không","",IF(OR(AND(Y288=0,Z288=0),AND(Y288&lt;&gt;0,Z288&lt;&gt;0)),"","Quên chấm công"))</f>
        <v/>
      </c>
      <c r="AD288" s="12">
        <f>IF(VLOOKUP(A288,Data_NV!$A:$I,7,0)="Không",0,IF(AND(Y288=0,Z288=0),0,IF(X288&lt;=Z288,0,ROUNDDOWN((X288-Z288)*24*60,0))))</f>
        <v>0</v>
      </c>
      <c r="AE288" s="12">
        <f>IF(VLOOKUP(A288,Data_NV!$A:$I,6,0)="Không",0,IF(Z288&lt;=X288,0,ROUNDDOWN((Z288-X288)*24*60,0)))</f>
        <v>139</v>
      </c>
      <c r="AF288" s="26">
        <f t="shared" si="19"/>
        <v>0</v>
      </c>
      <c r="AG288" s="27" t="str">
        <f>IF(AC288="","",IF(COUNTIFS($AC$3:AC288,"Quên chấm công",$S$3:S288,S288)&gt;3,"Không chấm công do vi phạm quá 3 lần",IF(COUNTIFS($AC$3:AC288,"Quên chấm công",$S$3:S288,S288)&gt;2,"Trừ toàn bộ chuyên cần tháng do vi phạm lần 3",IF(COUNTIFS($AC$3:AC288,"Quên chấm công",$S$3:S288,S288)&gt;1,"Trừ 1/2 ngày lương",50000))))</f>
        <v/>
      </c>
      <c r="AH288" s="12" t="str">
        <f>IF(AF288=0,"",IF(COUNTIFS($AF$3:AF288,"&gt;0",$S$3:S288,S288)&gt;3,"Trừ toàn bộ chuyên cần tháng",""))</f>
        <v/>
      </c>
      <c r="AI288" s="12"/>
    </row>
    <row r="289" spans="1:35" x14ac:dyDescent="0.25">
      <c r="A289" s="4" t="s">
        <v>433</v>
      </c>
      <c r="B289" s="1" t="s">
        <v>434</v>
      </c>
      <c r="C289" s="1" t="s">
        <v>20</v>
      </c>
      <c r="D289" s="1" t="s">
        <v>85</v>
      </c>
      <c r="E289" s="1" t="s">
        <v>22</v>
      </c>
      <c r="F289" s="1" t="s">
        <v>23</v>
      </c>
      <c r="G289" s="1" t="s">
        <v>29</v>
      </c>
      <c r="H289" s="1" t="s">
        <v>467</v>
      </c>
      <c r="I289" s="1" t="s">
        <v>468</v>
      </c>
      <c r="J289" s="1" t="s">
        <v>25</v>
      </c>
      <c r="K289" s="1" t="s">
        <v>292</v>
      </c>
      <c r="L289" s="1" t="s">
        <v>25</v>
      </c>
      <c r="M289" s="1" t="s">
        <v>26</v>
      </c>
      <c r="N289" s="1" t="s">
        <v>25</v>
      </c>
      <c r="O289" s="1" t="s">
        <v>293</v>
      </c>
      <c r="P289" s="1" t="s">
        <v>25</v>
      </c>
      <c r="Q289" s="1" t="s">
        <v>25</v>
      </c>
      <c r="R289" s="85" t="str">
        <f t="shared" si="16"/>
        <v>2345917</v>
      </c>
      <c r="S289" t="str">
        <f>VLOOKUP(A289,Data_NV!$A:$C,3,0)</f>
        <v xml:space="preserve"> Nguyễn Thiên Thanh    </v>
      </c>
      <c r="T289" t="str">
        <f>VLOOKUP(A289,Data_NV!$A:$E,4,0)</f>
        <v>Vận Hành</v>
      </c>
      <c r="U289" s="82">
        <f>DATEVALUE(Table2[[#This Row],[Ngày]])</f>
        <v>45917</v>
      </c>
      <c r="V289" t="str">
        <f>VLOOKUP(A289,Data_NV!$A:$E,5,0)</f>
        <v>Đang làm việc</v>
      </c>
      <c r="W289" s="10">
        <f>VLOOKUP(A289,Data_NV!$A:$I,8,0)</f>
        <v>0.33333333333333331</v>
      </c>
      <c r="X289" s="10">
        <f>VLOOKUP(A289,Data_NV!$A:$I,9,0)</f>
        <v>0.70833333333333337</v>
      </c>
      <c r="Y289" s="10">
        <f>IFERROR(TIMEVALUE(Table2[[#This Row],[Vào]]),0)</f>
        <v>0.31384259259259262</v>
      </c>
      <c r="Z289" s="10">
        <f>IFERROR(TIMEVALUE(Table2[[#This Row],[Ra]]),0)</f>
        <v>0.79048611111111111</v>
      </c>
      <c r="AA289" t="str">
        <f t="shared" si="17"/>
        <v>x</v>
      </c>
      <c r="AB289" s="105">
        <f t="shared" si="18"/>
        <v>0</v>
      </c>
      <c r="AC289" s="12" t="str">
        <f>IF(VLOOKUP(A289,Data_NV!$A:$I,7,0)="Không","",IF(OR(AND(Y289=0,Z289=0),AND(Y289&lt;&gt;0,Z289&lt;&gt;0)),"","Quên chấm công"))</f>
        <v/>
      </c>
      <c r="AD289" s="12">
        <f>IF(VLOOKUP(A289,Data_NV!$A:$I,7,0)="Không",0,IF(AND(Y289=0,Z289=0),0,IF(X289&lt;=Z289,0,ROUNDDOWN((X289-Z289)*24*60,0))))</f>
        <v>0</v>
      </c>
      <c r="AE289" s="12">
        <f>IF(VLOOKUP(A289,Data_NV!$A:$I,6,0)="Không",0,IF(Z289&lt;=X289,0,ROUNDDOWN((Z289-X289)*24*60,0)))</f>
        <v>118</v>
      </c>
      <c r="AF289" s="26">
        <f t="shared" si="19"/>
        <v>0</v>
      </c>
      <c r="AG289" s="27" t="str">
        <f>IF(AC289="","",IF(COUNTIFS($AC$3:AC289,"Quên chấm công",$S$3:S289,S289)&gt;3,"Không chấm công do vi phạm quá 3 lần",IF(COUNTIFS($AC$3:AC289,"Quên chấm công",$S$3:S289,S289)&gt;2,"Trừ toàn bộ chuyên cần tháng do vi phạm lần 3",IF(COUNTIFS($AC$3:AC289,"Quên chấm công",$S$3:S289,S289)&gt;1,"Trừ 1/2 ngày lương",50000))))</f>
        <v/>
      </c>
      <c r="AH289" s="12" t="str">
        <f>IF(AF289=0,"",IF(COUNTIFS($AF$3:AF289,"&gt;0",$S$3:S289,S289)&gt;3,"Trừ toàn bộ chuyên cần tháng",""))</f>
        <v/>
      </c>
      <c r="AI289" s="12"/>
    </row>
    <row r="290" spans="1:35" x14ac:dyDescent="0.25">
      <c r="A290" s="4" t="s">
        <v>433</v>
      </c>
      <c r="B290" s="1" t="s">
        <v>434</v>
      </c>
      <c r="C290" s="1" t="s">
        <v>20</v>
      </c>
      <c r="D290" s="1" t="s">
        <v>90</v>
      </c>
      <c r="E290" s="1" t="s">
        <v>22</v>
      </c>
      <c r="F290" s="1" t="s">
        <v>23</v>
      </c>
      <c r="G290" s="1" t="s">
        <v>29</v>
      </c>
      <c r="H290" s="1" t="s">
        <v>469</v>
      </c>
      <c r="I290" s="1" t="s">
        <v>470</v>
      </c>
      <c r="J290" s="1" t="s">
        <v>25</v>
      </c>
      <c r="K290" s="1" t="s">
        <v>93</v>
      </c>
      <c r="L290" s="1" t="s">
        <v>25</v>
      </c>
      <c r="M290" s="1" t="s">
        <v>26</v>
      </c>
      <c r="N290" s="1" t="s">
        <v>25</v>
      </c>
      <c r="O290" s="1" t="s">
        <v>94</v>
      </c>
      <c r="P290" s="1" t="s">
        <v>25</v>
      </c>
      <c r="Q290" s="1" t="s">
        <v>25</v>
      </c>
      <c r="R290" s="85" t="str">
        <f t="shared" si="16"/>
        <v>2345918</v>
      </c>
      <c r="S290" t="str">
        <f>VLOOKUP(A290,Data_NV!$A:$C,3,0)</f>
        <v xml:space="preserve"> Nguyễn Thiên Thanh    </v>
      </c>
      <c r="T290" t="str">
        <f>VLOOKUP(A290,Data_NV!$A:$E,4,0)</f>
        <v>Vận Hành</v>
      </c>
      <c r="U290" s="82">
        <f>DATEVALUE(Table2[[#This Row],[Ngày]])</f>
        <v>45918</v>
      </c>
      <c r="V290" t="str">
        <f>VLOOKUP(A290,Data_NV!$A:$E,5,0)</f>
        <v>Đang làm việc</v>
      </c>
      <c r="W290" s="10">
        <f>VLOOKUP(A290,Data_NV!$A:$I,8,0)</f>
        <v>0.33333333333333331</v>
      </c>
      <c r="X290" s="10">
        <f>VLOOKUP(A290,Data_NV!$A:$I,9,0)</f>
        <v>0.70833333333333337</v>
      </c>
      <c r="Y290" s="10">
        <f>IFERROR(TIMEVALUE(Table2[[#This Row],[Vào]]),0)</f>
        <v>0.31605324074074076</v>
      </c>
      <c r="Z290" s="10">
        <f>IFERROR(TIMEVALUE(Table2[[#This Row],[Ra]]),0)</f>
        <v>0.7661458333333333</v>
      </c>
      <c r="AA290" t="str">
        <f t="shared" si="17"/>
        <v>x</v>
      </c>
      <c r="AB290" s="105">
        <f t="shared" si="18"/>
        <v>0</v>
      </c>
      <c r="AC290" s="12" t="str">
        <f>IF(VLOOKUP(A290,Data_NV!$A:$I,7,0)="Không","",IF(OR(AND(Y290=0,Z290=0),AND(Y290&lt;&gt;0,Z290&lt;&gt;0)),"","Quên chấm công"))</f>
        <v/>
      </c>
      <c r="AD290" s="12">
        <f>IF(VLOOKUP(A290,Data_NV!$A:$I,7,0)="Không",0,IF(AND(Y290=0,Z290=0),0,IF(X290&lt;=Z290,0,ROUNDDOWN((X290-Z290)*24*60,0))))</f>
        <v>0</v>
      </c>
      <c r="AE290" s="12">
        <f>IF(VLOOKUP(A290,Data_NV!$A:$I,6,0)="Không",0,IF(Z290&lt;=X290,0,ROUNDDOWN((Z290-X290)*24*60,0)))</f>
        <v>83</v>
      </c>
      <c r="AF290" s="26">
        <f t="shared" si="19"/>
        <v>0</v>
      </c>
      <c r="AG290" s="27" t="str">
        <f>IF(AC290="","",IF(COUNTIFS($AC$3:AC290,"Quên chấm công",$S$3:S290,S290)&gt;3,"Không chấm công do vi phạm quá 3 lần",IF(COUNTIFS($AC$3:AC290,"Quên chấm công",$S$3:S290,S290)&gt;2,"Trừ toàn bộ chuyên cần tháng do vi phạm lần 3",IF(COUNTIFS($AC$3:AC290,"Quên chấm công",$S$3:S290,S290)&gt;1,"Trừ 1/2 ngày lương",50000))))</f>
        <v/>
      </c>
      <c r="AH290" s="12" t="str">
        <f>IF(AF290=0,"",IF(COUNTIFS($AF$3:AF290,"&gt;0",$S$3:S290,S290)&gt;3,"Trừ toàn bộ chuyên cần tháng",""))</f>
        <v/>
      </c>
      <c r="AI290" s="12"/>
    </row>
    <row r="291" spans="1:35" x14ac:dyDescent="0.25">
      <c r="A291" s="4" t="s">
        <v>433</v>
      </c>
      <c r="B291" s="1" t="s">
        <v>434</v>
      </c>
      <c r="C291" s="1" t="s">
        <v>20</v>
      </c>
      <c r="D291" s="1" t="s">
        <v>95</v>
      </c>
      <c r="E291" s="1" t="s">
        <v>22</v>
      </c>
      <c r="F291" s="1" t="s">
        <v>23</v>
      </c>
      <c r="G291" s="1" t="s">
        <v>29</v>
      </c>
      <c r="H291" s="1" t="s">
        <v>471</v>
      </c>
      <c r="I291" s="1" t="s">
        <v>472</v>
      </c>
      <c r="J291" s="1" t="s">
        <v>25</v>
      </c>
      <c r="K291" s="1" t="s">
        <v>473</v>
      </c>
      <c r="L291" s="1" t="s">
        <v>25</v>
      </c>
      <c r="M291" s="1" t="s">
        <v>26</v>
      </c>
      <c r="N291" s="1" t="s">
        <v>25</v>
      </c>
      <c r="O291" s="1" t="s">
        <v>474</v>
      </c>
      <c r="P291" s="1" t="s">
        <v>25</v>
      </c>
      <c r="Q291" s="1" t="s">
        <v>25</v>
      </c>
      <c r="R291" s="85" t="str">
        <f t="shared" si="16"/>
        <v>2345919</v>
      </c>
      <c r="S291" t="str">
        <f>VLOOKUP(A291,Data_NV!$A:$C,3,0)</f>
        <v xml:space="preserve"> Nguyễn Thiên Thanh    </v>
      </c>
      <c r="T291" t="str">
        <f>VLOOKUP(A291,Data_NV!$A:$E,4,0)</f>
        <v>Vận Hành</v>
      </c>
      <c r="U291" s="82">
        <f>DATEVALUE(Table2[[#This Row],[Ngày]])</f>
        <v>45919</v>
      </c>
      <c r="V291" t="str">
        <f>VLOOKUP(A291,Data_NV!$A:$E,5,0)</f>
        <v>Đang làm việc</v>
      </c>
      <c r="W291" s="10">
        <f>VLOOKUP(A291,Data_NV!$A:$I,8,0)</f>
        <v>0.33333333333333331</v>
      </c>
      <c r="X291" s="10">
        <f>VLOOKUP(A291,Data_NV!$A:$I,9,0)</f>
        <v>0.70833333333333337</v>
      </c>
      <c r="Y291" s="10">
        <f>IFERROR(TIMEVALUE(Table2[[#This Row],[Vào]]),0)</f>
        <v>0.31369212962962961</v>
      </c>
      <c r="Z291" s="10">
        <f>IFERROR(TIMEVALUE(Table2[[#This Row],[Ra]]),0)</f>
        <v>0.75133101851851847</v>
      </c>
      <c r="AA291" t="str">
        <f t="shared" si="17"/>
        <v>x</v>
      </c>
      <c r="AB291" s="105">
        <f t="shared" si="18"/>
        <v>0</v>
      </c>
      <c r="AC291" s="12" t="str">
        <f>IF(VLOOKUP(A291,Data_NV!$A:$I,7,0)="Không","",IF(OR(AND(Y291=0,Z291=0),AND(Y291&lt;&gt;0,Z291&lt;&gt;0)),"","Quên chấm công"))</f>
        <v/>
      </c>
      <c r="AD291" s="12">
        <f>IF(VLOOKUP(A291,Data_NV!$A:$I,7,0)="Không",0,IF(AND(Y291=0,Z291=0),0,IF(X291&lt;=Z291,0,ROUNDDOWN((X291-Z291)*24*60,0))))</f>
        <v>0</v>
      </c>
      <c r="AE291" s="12">
        <f>IF(VLOOKUP(A291,Data_NV!$A:$I,6,0)="Không",0,IF(Z291&lt;=X291,0,ROUNDDOWN((Z291-X291)*24*60,0)))</f>
        <v>61</v>
      </c>
      <c r="AF291" s="26">
        <f t="shared" si="19"/>
        <v>0</v>
      </c>
      <c r="AG291" s="27" t="str">
        <f>IF(AC291="","",IF(COUNTIFS($AC$3:AC291,"Quên chấm công",$S$3:S291,S291)&gt;3,"Không chấm công do vi phạm quá 3 lần",IF(COUNTIFS($AC$3:AC291,"Quên chấm công",$S$3:S291,S291)&gt;2,"Trừ toàn bộ chuyên cần tháng do vi phạm lần 3",IF(COUNTIFS($AC$3:AC291,"Quên chấm công",$S$3:S291,S291)&gt;1,"Trừ 1/2 ngày lương",50000))))</f>
        <v/>
      </c>
      <c r="AH291" s="12" t="str">
        <f>IF(AF291=0,"",IF(COUNTIFS($AF$3:AF291,"&gt;0",$S$3:S291,S291)&gt;3,"Trừ toàn bộ chuyên cần tháng",""))</f>
        <v/>
      </c>
      <c r="AI291" s="12"/>
    </row>
    <row r="292" spans="1:35" x14ac:dyDescent="0.25">
      <c r="A292" s="4" t="s">
        <v>433</v>
      </c>
      <c r="B292" s="1" t="s">
        <v>434</v>
      </c>
      <c r="C292" s="1" t="s">
        <v>20</v>
      </c>
      <c r="D292" s="1" t="s">
        <v>100</v>
      </c>
      <c r="E292" s="1" t="s">
        <v>22</v>
      </c>
      <c r="F292" s="1" t="s">
        <v>23</v>
      </c>
      <c r="G292" s="1" t="s">
        <v>29</v>
      </c>
      <c r="H292" s="1" t="s">
        <v>475</v>
      </c>
      <c r="I292" s="1" t="s">
        <v>476</v>
      </c>
      <c r="J292" s="1" t="s">
        <v>25</v>
      </c>
      <c r="K292" s="1" t="s">
        <v>477</v>
      </c>
      <c r="L292" s="1" t="s">
        <v>25</v>
      </c>
      <c r="M292" s="1" t="s">
        <v>26</v>
      </c>
      <c r="N292" s="1" t="s">
        <v>25</v>
      </c>
      <c r="O292" s="1" t="s">
        <v>478</v>
      </c>
      <c r="P292" s="1" t="s">
        <v>25</v>
      </c>
      <c r="Q292" s="1" t="s">
        <v>25</v>
      </c>
      <c r="R292" s="85" t="str">
        <f t="shared" si="16"/>
        <v>2345920</v>
      </c>
      <c r="S292" t="str">
        <f>VLOOKUP(A292,Data_NV!$A:$C,3,0)</f>
        <v xml:space="preserve"> Nguyễn Thiên Thanh    </v>
      </c>
      <c r="T292" t="str">
        <f>VLOOKUP(A292,Data_NV!$A:$E,4,0)</f>
        <v>Vận Hành</v>
      </c>
      <c r="U292" s="82">
        <f>DATEVALUE(Table2[[#This Row],[Ngày]])</f>
        <v>45920</v>
      </c>
      <c r="V292" t="str">
        <f>VLOOKUP(A292,Data_NV!$A:$E,5,0)</f>
        <v>Đang làm việc</v>
      </c>
      <c r="W292" s="10">
        <f>VLOOKUP(A292,Data_NV!$A:$I,8,0)</f>
        <v>0.33333333333333331</v>
      </c>
      <c r="X292" s="10">
        <f>VLOOKUP(A292,Data_NV!$A:$I,9,0)</f>
        <v>0.70833333333333337</v>
      </c>
      <c r="Y292" s="10">
        <f>IFERROR(TIMEVALUE(Table2[[#This Row],[Vào]]),0)</f>
        <v>0.3125</v>
      </c>
      <c r="Z292" s="10">
        <f>IFERROR(TIMEVALUE(Table2[[#This Row],[Ra]]),0)</f>
        <v>0.73886574074074074</v>
      </c>
      <c r="AA292" t="str">
        <f t="shared" si="17"/>
        <v>x</v>
      </c>
      <c r="AB292" s="105">
        <f t="shared" si="18"/>
        <v>0</v>
      </c>
      <c r="AC292" s="12" t="str">
        <f>IF(VLOOKUP(A292,Data_NV!$A:$I,7,0)="Không","",IF(OR(AND(Y292=0,Z292=0),AND(Y292&lt;&gt;0,Z292&lt;&gt;0)),"","Quên chấm công"))</f>
        <v/>
      </c>
      <c r="AD292" s="12">
        <f>IF(VLOOKUP(A292,Data_NV!$A:$I,7,0)="Không",0,IF(AND(Y292=0,Z292=0),0,IF(X292&lt;=Z292,0,ROUNDDOWN((X292-Z292)*24*60,0))))</f>
        <v>0</v>
      </c>
      <c r="AE292" s="12">
        <f>IF(VLOOKUP(A292,Data_NV!$A:$I,6,0)="Không",0,IF(Z292&lt;=X292,0,ROUNDDOWN((Z292-X292)*24*60,0)))</f>
        <v>43</v>
      </c>
      <c r="AF292" s="26">
        <f t="shared" si="19"/>
        <v>0</v>
      </c>
      <c r="AG292" s="27" t="str">
        <f>IF(AC292="","",IF(COUNTIFS($AC$3:AC292,"Quên chấm công",$S$3:S292,S292)&gt;3,"Không chấm công do vi phạm quá 3 lần",IF(COUNTIFS($AC$3:AC292,"Quên chấm công",$S$3:S292,S292)&gt;2,"Trừ toàn bộ chuyên cần tháng do vi phạm lần 3",IF(COUNTIFS($AC$3:AC292,"Quên chấm công",$S$3:S292,S292)&gt;1,"Trừ 1/2 ngày lương",50000))))</f>
        <v/>
      </c>
      <c r="AH292" s="12" t="str">
        <f>IF(AF292=0,"",IF(COUNTIFS($AF$3:AF292,"&gt;0",$S$3:S292,S292)&gt;3,"Trừ toàn bộ chuyên cần tháng",""))</f>
        <v/>
      </c>
      <c r="AI292" s="12"/>
    </row>
    <row r="293" spans="1:35" x14ac:dyDescent="0.25">
      <c r="A293" s="4" t="s">
        <v>433</v>
      </c>
      <c r="B293" s="1" t="s">
        <v>434</v>
      </c>
      <c r="C293" s="1" t="s">
        <v>20</v>
      </c>
      <c r="D293" s="1" t="s">
        <v>105</v>
      </c>
      <c r="E293" s="1" t="s">
        <v>22</v>
      </c>
      <c r="F293" s="1" t="s">
        <v>23</v>
      </c>
      <c r="G293" s="1" t="s">
        <v>12</v>
      </c>
      <c r="H293" s="1" t="s">
        <v>24</v>
      </c>
      <c r="I293" s="1" t="s">
        <v>24</v>
      </c>
      <c r="J293" s="1" t="s">
        <v>25</v>
      </c>
      <c r="K293" s="1" t="s">
        <v>25</v>
      </c>
      <c r="L293" s="1" t="s">
        <v>26</v>
      </c>
      <c r="M293" s="1" t="s">
        <v>25</v>
      </c>
      <c r="N293" s="1" t="s">
        <v>25</v>
      </c>
      <c r="O293" s="1" t="s">
        <v>25</v>
      </c>
      <c r="P293" s="1" t="s">
        <v>25</v>
      </c>
      <c r="Q293" s="1" t="s">
        <v>25</v>
      </c>
      <c r="R293" s="85" t="str">
        <f t="shared" si="16"/>
        <v>2345921</v>
      </c>
      <c r="S293" t="str">
        <f>VLOOKUP(A293,Data_NV!$A:$C,3,0)</f>
        <v xml:space="preserve"> Nguyễn Thiên Thanh    </v>
      </c>
      <c r="T293" t="str">
        <f>VLOOKUP(A293,Data_NV!$A:$E,4,0)</f>
        <v>Vận Hành</v>
      </c>
      <c r="U293" s="82">
        <f>DATEVALUE(Table2[[#This Row],[Ngày]])</f>
        <v>45921</v>
      </c>
      <c r="V293" t="str">
        <f>VLOOKUP(A293,Data_NV!$A:$E,5,0)</f>
        <v>Đang làm việc</v>
      </c>
      <c r="W293" s="10">
        <f>VLOOKUP(A293,Data_NV!$A:$I,8,0)</f>
        <v>0.33333333333333331</v>
      </c>
      <c r="X293" s="10">
        <f>VLOOKUP(A293,Data_NV!$A:$I,9,0)</f>
        <v>0.70833333333333337</v>
      </c>
      <c r="Y293" s="10">
        <f>IFERROR(TIMEVALUE(Table2[[#This Row],[Vào]]),0)</f>
        <v>0</v>
      </c>
      <c r="Z293" s="10">
        <f>IFERROR(TIMEVALUE(Table2[[#This Row],[Ra]]),0)</f>
        <v>0</v>
      </c>
      <c r="AA293" t="str">
        <f t="shared" si="17"/>
        <v>Chủ nhật</v>
      </c>
      <c r="AB293" s="105">
        <f t="shared" si="18"/>
        <v>0</v>
      </c>
      <c r="AC293" s="12" t="str">
        <f>IF(VLOOKUP(A293,Data_NV!$A:$I,7,0)="Không","",IF(OR(AND(Y293=0,Z293=0),AND(Y293&lt;&gt;0,Z293&lt;&gt;0)),"","Quên chấm công"))</f>
        <v/>
      </c>
      <c r="AD293" s="12">
        <f>IF(VLOOKUP(A293,Data_NV!$A:$I,7,0)="Không",0,IF(AND(Y293=0,Z293=0),0,IF(X293&lt;=Z293,0,ROUNDDOWN((X293-Z293)*24*60,0))))</f>
        <v>0</v>
      </c>
      <c r="AE293" s="12">
        <f>IF(VLOOKUP(A293,Data_NV!$A:$I,6,0)="Không",0,IF(Z293&lt;=X293,0,ROUNDDOWN((Z293-X293)*24*60,0)))</f>
        <v>0</v>
      </c>
      <c r="AF293" s="26">
        <f t="shared" si="19"/>
        <v>0</v>
      </c>
      <c r="AG293" s="27" t="str">
        <f>IF(AC293="","",IF(COUNTIFS($AC$3:AC293,"Quên chấm công",$S$3:S293,S293)&gt;3,"Không chấm công do vi phạm quá 3 lần",IF(COUNTIFS($AC$3:AC293,"Quên chấm công",$S$3:S293,S293)&gt;2,"Trừ toàn bộ chuyên cần tháng do vi phạm lần 3",IF(COUNTIFS($AC$3:AC293,"Quên chấm công",$S$3:S293,S293)&gt;1,"Trừ 1/2 ngày lương",50000))))</f>
        <v/>
      </c>
      <c r="AH293" s="12" t="str">
        <f>IF(AF293=0,"",IF(COUNTIFS($AF$3:AF293,"&gt;0",$S$3:S293,S293)&gt;3,"Trừ toàn bộ chuyên cần tháng",""))</f>
        <v/>
      </c>
      <c r="AI293" s="12"/>
    </row>
    <row r="294" spans="1:35" x14ac:dyDescent="0.25">
      <c r="A294" s="4" t="s">
        <v>433</v>
      </c>
      <c r="B294" s="1" t="s">
        <v>434</v>
      </c>
      <c r="C294" s="1" t="s">
        <v>20</v>
      </c>
      <c r="D294" s="1" t="s">
        <v>106</v>
      </c>
      <c r="E294" s="1" t="s">
        <v>22</v>
      </c>
      <c r="F294" s="1" t="s">
        <v>23</v>
      </c>
      <c r="G294" s="1" t="s">
        <v>29</v>
      </c>
      <c r="H294" s="1" t="s">
        <v>479</v>
      </c>
      <c r="I294" s="1" t="s">
        <v>480</v>
      </c>
      <c r="J294" s="1" t="s">
        <v>25</v>
      </c>
      <c r="K294" s="1" t="s">
        <v>88</v>
      </c>
      <c r="L294" s="1" t="s">
        <v>25</v>
      </c>
      <c r="M294" s="1" t="s">
        <v>26</v>
      </c>
      <c r="N294" s="1" t="s">
        <v>25</v>
      </c>
      <c r="O294" s="1" t="s">
        <v>89</v>
      </c>
      <c r="P294" s="1" t="s">
        <v>25</v>
      </c>
      <c r="Q294" s="1" t="s">
        <v>25</v>
      </c>
      <c r="R294" s="85" t="str">
        <f t="shared" si="16"/>
        <v>2345922</v>
      </c>
      <c r="S294" t="str">
        <f>VLOOKUP(A294,Data_NV!$A:$C,3,0)</f>
        <v xml:space="preserve"> Nguyễn Thiên Thanh    </v>
      </c>
      <c r="T294" t="str">
        <f>VLOOKUP(A294,Data_NV!$A:$E,4,0)</f>
        <v>Vận Hành</v>
      </c>
      <c r="U294" s="82">
        <f>DATEVALUE(Table2[[#This Row],[Ngày]])</f>
        <v>45922</v>
      </c>
      <c r="V294" t="str">
        <f>VLOOKUP(A294,Data_NV!$A:$E,5,0)</f>
        <v>Đang làm việc</v>
      </c>
      <c r="W294" s="10">
        <f>VLOOKUP(A294,Data_NV!$A:$I,8,0)</f>
        <v>0.33333333333333331</v>
      </c>
      <c r="X294" s="10">
        <f>VLOOKUP(A294,Data_NV!$A:$I,9,0)</f>
        <v>0.70833333333333337</v>
      </c>
      <c r="Y294" s="10">
        <f>IFERROR(TIMEVALUE(Table2[[#This Row],[Vào]]),0)</f>
        <v>0.31335648148148149</v>
      </c>
      <c r="Z294" s="10">
        <f>IFERROR(TIMEVALUE(Table2[[#This Row],[Ra]]),0)</f>
        <v>0.77386574074074077</v>
      </c>
      <c r="AA294" t="str">
        <f t="shared" si="17"/>
        <v>x</v>
      </c>
      <c r="AB294" s="105">
        <f t="shared" si="18"/>
        <v>0</v>
      </c>
      <c r="AC294" s="12" t="str">
        <f>IF(VLOOKUP(A294,Data_NV!$A:$I,7,0)="Không","",IF(OR(AND(Y294=0,Z294=0),AND(Y294&lt;&gt;0,Z294&lt;&gt;0)),"","Quên chấm công"))</f>
        <v/>
      </c>
      <c r="AD294" s="12">
        <f>IF(VLOOKUP(A294,Data_NV!$A:$I,7,0)="Không",0,IF(AND(Y294=0,Z294=0),0,IF(X294&lt;=Z294,0,ROUNDDOWN((X294-Z294)*24*60,0))))</f>
        <v>0</v>
      </c>
      <c r="AE294" s="12">
        <f>IF(VLOOKUP(A294,Data_NV!$A:$I,6,0)="Không",0,IF(Z294&lt;=X294,0,ROUNDDOWN((Z294-X294)*24*60,0)))</f>
        <v>94</v>
      </c>
      <c r="AF294" s="26">
        <f t="shared" si="19"/>
        <v>0</v>
      </c>
      <c r="AG294" s="27" t="str">
        <f>IF(AC294="","",IF(COUNTIFS($AC$3:AC294,"Quên chấm công",$S$3:S294,S294)&gt;3,"Không chấm công do vi phạm quá 3 lần",IF(COUNTIFS($AC$3:AC294,"Quên chấm công",$S$3:S294,S294)&gt;2,"Trừ toàn bộ chuyên cần tháng do vi phạm lần 3",IF(COUNTIFS($AC$3:AC294,"Quên chấm công",$S$3:S294,S294)&gt;1,"Trừ 1/2 ngày lương",50000))))</f>
        <v/>
      </c>
      <c r="AH294" s="12" t="str">
        <f>IF(AF294=0,"",IF(COUNTIFS($AF$3:AF294,"&gt;0",$S$3:S294,S294)&gt;3,"Trừ toàn bộ chuyên cần tháng",""))</f>
        <v/>
      </c>
      <c r="AI294" s="12"/>
    </row>
    <row r="295" spans="1:35" x14ac:dyDescent="0.25">
      <c r="A295" s="4" t="s">
        <v>433</v>
      </c>
      <c r="B295" s="1" t="s">
        <v>434</v>
      </c>
      <c r="C295" s="1" t="s">
        <v>20</v>
      </c>
      <c r="D295" s="1" t="s">
        <v>111</v>
      </c>
      <c r="E295" s="1" t="s">
        <v>22</v>
      </c>
      <c r="F295" s="1" t="s">
        <v>23</v>
      </c>
      <c r="G295" s="1" t="s">
        <v>29</v>
      </c>
      <c r="H295" s="1" t="s">
        <v>481</v>
      </c>
      <c r="I295" s="1" t="s">
        <v>482</v>
      </c>
      <c r="J295" s="1" t="s">
        <v>25</v>
      </c>
      <c r="K295" s="1" t="s">
        <v>483</v>
      </c>
      <c r="L295" s="1" t="s">
        <v>25</v>
      </c>
      <c r="M295" s="1" t="s">
        <v>26</v>
      </c>
      <c r="N295" s="1" t="s">
        <v>25</v>
      </c>
      <c r="O295" s="1" t="s">
        <v>33</v>
      </c>
      <c r="P295" s="1" t="s">
        <v>484</v>
      </c>
      <c r="Q295" s="1" t="s">
        <v>25</v>
      </c>
      <c r="R295" s="85" t="str">
        <f t="shared" si="16"/>
        <v>2345923</v>
      </c>
      <c r="S295" t="str">
        <f>VLOOKUP(A295,Data_NV!$A:$C,3,0)</f>
        <v xml:space="preserve"> Nguyễn Thiên Thanh    </v>
      </c>
      <c r="T295" t="str">
        <f>VLOOKUP(A295,Data_NV!$A:$E,4,0)</f>
        <v>Vận Hành</v>
      </c>
      <c r="U295" s="82">
        <f>DATEVALUE(Table2[[#This Row],[Ngày]])</f>
        <v>45923</v>
      </c>
      <c r="V295" t="str">
        <f>VLOOKUP(A295,Data_NV!$A:$E,5,0)</f>
        <v>Đang làm việc</v>
      </c>
      <c r="W295" s="10">
        <f>VLOOKUP(A295,Data_NV!$A:$I,8,0)</f>
        <v>0.33333333333333331</v>
      </c>
      <c r="X295" s="10">
        <f>VLOOKUP(A295,Data_NV!$A:$I,9,0)</f>
        <v>0.70833333333333337</v>
      </c>
      <c r="Y295" s="10">
        <f>IFERROR(TIMEVALUE(Table2[[#This Row],[Vào]]),0)</f>
        <v>0.31229166666666669</v>
      </c>
      <c r="Z295" s="10">
        <f>IFERROR(TIMEVALUE(Table2[[#This Row],[Ra]]),0)</f>
        <v>0.8162152777777778</v>
      </c>
      <c r="AA295" t="str">
        <f t="shared" si="17"/>
        <v>x</v>
      </c>
      <c r="AB295" s="105">
        <f t="shared" si="18"/>
        <v>0</v>
      </c>
      <c r="AC295" s="12" t="str">
        <f>IF(VLOOKUP(A295,Data_NV!$A:$I,7,0)="Không","",IF(OR(AND(Y295=0,Z295=0),AND(Y295&lt;&gt;0,Z295&lt;&gt;0)),"","Quên chấm công"))</f>
        <v/>
      </c>
      <c r="AD295" s="12">
        <f>IF(VLOOKUP(A295,Data_NV!$A:$I,7,0)="Không",0,IF(AND(Y295=0,Z295=0),0,IF(X295&lt;=Z295,0,ROUNDDOWN((X295-Z295)*24*60,0))))</f>
        <v>0</v>
      </c>
      <c r="AE295" s="12">
        <f>IF(VLOOKUP(A295,Data_NV!$A:$I,6,0)="Không",0,IF(Z295&lt;=X295,0,ROUNDDOWN((Z295-X295)*24*60,0)))</f>
        <v>155</v>
      </c>
      <c r="AF295" s="26">
        <f t="shared" si="19"/>
        <v>0</v>
      </c>
      <c r="AG295" s="27" t="str">
        <f>IF(AC295="","",IF(COUNTIFS($AC$3:AC295,"Quên chấm công",$S$3:S295,S295)&gt;3,"Không chấm công do vi phạm quá 3 lần",IF(COUNTIFS($AC$3:AC295,"Quên chấm công",$S$3:S295,S295)&gt;2,"Trừ toàn bộ chuyên cần tháng do vi phạm lần 3",IF(COUNTIFS($AC$3:AC295,"Quên chấm công",$S$3:S295,S295)&gt;1,"Trừ 1/2 ngày lương",50000))))</f>
        <v/>
      </c>
      <c r="AH295" s="12" t="str">
        <f>IF(AF295=0,"",IF(COUNTIFS($AF$3:AF295,"&gt;0",$S$3:S295,S295)&gt;3,"Trừ toàn bộ chuyên cần tháng",""))</f>
        <v/>
      </c>
      <c r="AI295" s="12"/>
    </row>
    <row r="296" spans="1:35" x14ac:dyDescent="0.25">
      <c r="A296" s="4" t="s">
        <v>433</v>
      </c>
      <c r="B296" s="1" t="s">
        <v>434</v>
      </c>
      <c r="C296" s="1" t="s">
        <v>20</v>
      </c>
      <c r="D296" s="1" t="s">
        <v>116</v>
      </c>
      <c r="E296" s="1" t="s">
        <v>22</v>
      </c>
      <c r="F296" s="1" t="s">
        <v>23</v>
      </c>
      <c r="G296" s="1" t="s">
        <v>29</v>
      </c>
      <c r="H296" s="1" t="s">
        <v>485</v>
      </c>
      <c r="I296" s="1" t="s">
        <v>486</v>
      </c>
      <c r="J296" s="1" t="s">
        <v>25</v>
      </c>
      <c r="K296" s="1" t="s">
        <v>487</v>
      </c>
      <c r="L296" s="1" t="s">
        <v>25</v>
      </c>
      <c r="M296" s="1" t="s">
        <v>26</v>
      </c>
      <c r="N296" s="1" t="s">
        <v>25</v>
      </c>
      <c r="O296" s="1" t="s">
        <v>33</v>
      </c>
      <c r="P296" s="1" t="s">
        <v>488</v>
      </c>
      <c r="Q296" s="1" t="s">
        <v>25</v>
      </c>
      <c r="R296" s="85" t="str">
        <f t="shared" si="16"/>
        <v>2345924</v>
      </c>
      <c r="S296" t="str">
        <f>VLOOKUP(A296,Data_NV!$A:$C,3,0)</f>
        <v xml:space="preserve"> Nguyễn Thiên Thanh    </v>
      </c>
      <c r="T296" t="str">
        <f>VLOOKUP(A296,Data_NV!$A:$E,4,0)</f>
        <v>Vận Hành</v>
      </c>
      <c r="U296" s="82">
        <f>DATEVALUE(Table2[[#This Row],[Ngày]])</f>
        <v>45924</v>
      </c>
      <c r="V296" t="str">
        <f>VLOOKUP(A296,Data_NV!$A:$E,5,0)</f>
        <v>Đang làm việc</v>
      </c>
      <c r="W296" s="10">
        <f>VLOOKUP(A296,Data_NV!$A:$I,8,0)</f>
        <v>0.33333333333333331</v>
      </c>
      <c r="X296" s="10">
        <f>VLOOKUP(A296,Data_NV!$A:$I,9,0)</f>
        <v>0.70833333333333337</v>
      </c>
      <c r="Y296" s="10">
        <f>IFERROR(TIMEVALUE(Table2[[#This Row],[Vào]]),0)</f>
        <v>0.31402777777777779</v>
      </c>
      <c r="Z296" s="10">
        <f>IFERROR(TIMEVALUE(Table2[[#This Row],[Ra]]),0)</f>
        <v>0.83944444444444444</v>
      </c>
      <c r="AA296" t="str">
        <f t="shared" si="17"/>
        <v>x</v>
      </c>
      <c r="AB296" s="105">
        <f t="shared" si="18"/>
        <v>0</v>
      </c>
      <c r="AC296" s="12" t="str">
        <f>IF(VLOOKUP(A296,Data_NV!$A:$I,7,0)="Không","",IF(OR(AND(Y296=0,Z296=0),AND(Y296&lt;&gt;0,Z296&lt;&gt;0)),"","Quên chấm công"))</f>
        <v/>
      </c>
      <c r="AD296" s="12">
        <f>IF(VLOOKUP(A296,Data_NV!$A:$I,7,0)="Không",0,IF(AND(Y296=0,Z296=0),0,IF(X296&lt;=Z296,0,ROUNDDOWN((X296-Z296)*24*60,0))))</f>
        <v>0</v>
      </c>
      <c r="AE296" s="12">
        <f>IF(VLOOKUP(A296,Data_NV!$A:$I,6,0)="Không",0,IF(Z296&lt;=X296,0,ROUNDDOWN((Z296-X296)*24*60,0)))</f>
        <v>188</v>
      </c>
      <c r="AF296" s="26">
        <f t="shared" si="19"/>
        <v>0</v>
      </c>
      <c r="AG296" s="27" t="str">
        <f>IF(AC296="","",IF(COUNTIFS($AC$3:AC296,"Quên chấm công",$S$3:S296,S296)&gt;3,"Không chấm công do vi phạm quá 3 lần",IF(COUNTIFS($AC$3:AC296,"Quên chấm công",$S$3:S296,S296)&gt;2,"Trừ toàn bộ chuyên cần tháng do vi phạm lần 3",IF(COUNTIFS($AC$3:AC296,"Quên chấm công",$S$3:S296,S296)&gt;1,"Trừ 1/2 ngày lương",50000))))</f>
        <v/>
      </c>
      <c r="AH296" s="12" t="str">
        <f>IF(AF296=0,"",IF(COUNTIFS($AF$3:AF296,"&gt;0",$S$3:S296,S296)&gt;3,"Trừ toàn bộ chuyên cần tháng",""))</f>
        <v/>
      </c>
      <c r="AI296" s="12"/>
    </row>
    <row r="297" spans="1:35" x14ac:dyDescent="0.25">
      <c r="A297" s="4" t="s">
        <v>433</v>
      </c>
      <c r="B297" s="1" t="s">
        <v>434</v>
      </c>
      <c r="C297" s="1" t="s">
        <v>20</v>
      </c>
      <c r="D297" s="1" t="s">
        <v>121</v>
      </c>
      <c r="E297" s="1" t="s">
        <v>22</v>
      </c>
      <c r="F297" s="1" t="s">
        <v>23</v>
      </c>
      <c r="G297" s="1" t="s">
        <v>29</v>
      </c>
      <c r="H297" s="1" t="s">
        <v>489</v>
      </c>
      <c r="I297" s="1" t="s">
        <v>490</v>
      </c>
      <c r="J297" s="1" t="s">
        <v>25</v>
      </c>
      <c r="K297" s="1" t="s">
        <v>491</v>
      </c>
      <c r="L297" s="1" t="s">
        <v>25</v>
      </c>
      <c r="M297" s="1" t="s">
        <v>26</v>
      </c>
      <c r="N297" s="1" t="s">
        <v>25</v>
      </c>
      <c r="O297" s="1" t="s">
        <v>492</v>
      </c>
      <c r="P297" s="1" t="s">
        <v>25</v>
      </c>
      <c r="Q297" s="1" t="s">
        <v>25</v>
      </c>
      <c r="R297" s="85" t="str">
        <f t="shared" si="16"/>
        <v>2345925</v>
      </c>
      <c r="S297" t="str">
        <f>VLOOKUP(A297,Data_NV!$A:$C,3,0)</f>
        <v xml:space="preserve"> Nguyễn Thiên Thanh    </v>
      </c>
      <c r="T297" t="str">
        <f>VLOOKUP(A297,Data_NV!$A:$E,4,0)</f>
        <v>Vận Hành</v>
      </c>
      <c r="U297" s="82">
        <f>DATEVALUE(Table2[[#This Row],[Ngày]])</f>
        <v>45925</v>
      </c>
      <c r="V297" t="str">
        <f>VLOOKUP(A297,Data_NV!$A:$E,5,0)</f>
        <v>Đang làm việc</v>
      </c>
      <c r="W297" s="10">
        <f>VLOOKUP(A297,Data_NV!$A:$I,8,0)</f>
        <v>0.33333333333333331</v>
      </c>
      <c r="X297" s="10">
        <f>VLOOKUP(A297,Data_NV!$A:$I,9,0)</f>
        <v>0.70833333333333337</v>
      </c>
      <c r="Y297" s="10">
        <f>IFERROR(TIMEVALUE(Table2[[#This Row],[Vào]]),0)</f>
        <v>0.3132638888888889</v>
      </c>
      <c r="Z297" s="10">
        <f>IFERROR(TIMEVALUE(Table2[[#This Row],[Ra]]),0)</f>
        <v>0.76761574074074079</v>
      </c>
      <c r="AA297" t="str">
        <f t="shared" si="17"/>
        <v>x</v>
      </c>
      <c r="AB297" s="105">
        <f t="shared" si="18"/>
        <v>0</v>
      </c>
      <c r="AC297" s="12" t="str">
        <f>IF(VLOOKUP(A297,Data_NV!$A:$I,7,0)="Không","",IF(OR(AND(Y297=0,Z297=0),AND(Y297&lt;&gt;0,Z297&lt;&gt;0)),"","Quên chấm công"))</f>
        <v/>
      </c>
      <c r="AD297" s="12">
        <f>IF(VLOOKUP(A297,Data_NV!$A:$I,7,0)="Không",0,IF(AND(Y297=0,Z297=0),0,IF(X297&lt;=Z297,0,ROUNDDOWN((X297-Z297)*24*60,0))))</f>
        <v>0</v>
      </c>
      <c r="AE297" s="12">
        <f>IF(VLOOKUP(A297,Data_NV!$A:$I,6,0)="Không",0,IF(Z297&lt;=X297,0,ROUNDDOWN((Z297-X297)*24*60,0)))</f>
        <v>85</v>
      </c>
      <c r="AF297" s="26">
        <f t="shared" si="19"/>
        <v>0</v>
      </c>
      <c r="AG297" s="27" t="str">
        <f>IF(AC297="","",IF(COUNTIFS($AC$3:AC297,"Quên chấm công",$S$3:S297,S297)&gt;3,"Không chấm công do vi phạm quá 3 lần",IF(COUNTIFS($AC$3:AC297,"Quên chấm công",$S$3:S297,S297)&gt;2,"Trừ toàn bộ chuyên cần tháng do vi phạm lần 3",IF(COUNTIFS($AC$3:AC297,"Quên chấm công",$S$3:S297,S297)&gt;1,"Trừ 1/2 ngày lương",50000))))</f>
        <v/>
      </c>
      <c r="AH297" s="12" t="str">
        <f>IF(AF297=0,"",IF(COUNTIFS($AF$3:AF297,"&gt;0",$S$3:S297,S297)&gt;3,"Trừ toàn bộ chuyên cần tháng",""))</f>
        <v/>
      </c>
      <c r="AI297" s="12"/>
    </row>
    <row r="298" spans="1:35" x14ac:dyDescent="0.25">
      <c r="A298" s="4" t="s">
        <v>433</v>
      </c>
      <c r="B298" s="1" t="s">
        <v>434</v>
      </c>
      <c r="C298" s="1" t="s">
        <v>20</v>
      </c>
      <c r="D298" s="1" t="s">
        <v>123</v>
      </c>
      <c r="E298" s="1" t="s">
        <v>22</v>
      </c>
      <c r="F298" s="1" t="s">
        <v>23</v>
      </c>
      <c r="G298" s="1" t="s">
        <v>29</v>
      </c>
      <c r="H298" s="1" t="s">
        <v>493</v>
      </c>
      <c r="I298" s="1" t="s">
        <v>494</v>
      </c>
      <c r="J298" s="1" t="s">
        <v>25</v>
      </c>
      <c r="K298" s="1" t="s">
        <v>45</v>
      </c>
      <c r="L298" s="1" t="s">
        <v>25</v>
      </c>
      <c r="M298" s="1" t="s">
        <v>26</v>
      </c>
      <c r="N298" s="1" t="s">
        <v>25</v>
      </c>
      <c r="O298" s="1" t="s">
        <v>46</v>
      </c>
      <c r="P298" s="1" t="s">
        <v>25</v>
      </c>
      <c r="Q298" s="1" t="s">
        <v>25</v>
      </c>
      <c r="R298" s="85" t="str">
        <f t="shared" si="16"/>
        <v>2345926</v>
      </c>
      <c r="S298" t="str">
        <f>VLOOKUP(A298,Data_NV!$A:$C,3,0)</f>
        <v xml:space="preserve"> Nguyễn Thiên Thanh    </v>
      </c>
      <c r="T298" t="str">
        <f>VLOOKUP(A298,Data_NV!$A:$E,4,0)</f>
        <v>Vận Hành</v>
      </c>
      <c r="U298" s="82">
        <f>DATEVALUE(Table2[[#This Row],[Ngày]])</f>
        <v>45926</v>
      </c>
      <c r="V298" t="str">
        <f>VLOOKUP(A298,Data_NV!$A:$E,5,0)</f>
        <v>Đang làm việc</v>
      </c>
      <c r="W298" s="10">
        <f>VLOOKUP(A298,Data_NV!$A:$I,8,0)</f>
        <v>0.33333333333333331</v>
      </c>
      <c r="X298" s="10">
        <f>VLOOKUP(A298,Data_NV!$A:$I,9,0)</f>
        <v>0.70833333333333337</v>
      </c>
      <c r="Y298" s="10">
        <f>IFERROR(TIMEVALUE(Table2[[#This Row],[Vào]]),0)</f>
        <v>0.31556712962962963</v>
      </c>
      <c r="Z298" s="10">
        <f>IFERROR(TIMEVALUE(Table2[[#This Row],[Ra]]),0)</f>
        <v>0.7431712962962963</v>
      </c>
      <c r="AA298" t="str">
        <f t="shared" si="17"/>
        <v>x</v>
      </c>
      <c r="AB298" s="105">
        <f t="shared" si="18"/>
        <v>0</v>
      </c>
      <c r="AC298" s="12" t="str">
        <f>IF(VLOOKUP(A298,Data_NV!$A:$I,7,0)="Không","",IF(OR(AND(Y298=0,Z298=0),AND(Y298&lt;&gt;0,Z298&lt;&gt;0)),"","Quên chấm công"))</f>
        <v/>
      </c>
      <c r="AD298" s="12">
        <f>IF(VLOOKUP(A298,Data_NV!$A:$I,7,0)="Không",0,IF(AND(Y298=0,Z298=0),0,IF(X298&lt;=Z298,0,ROUNDDOWN((X298-Z298)*24*60,0))))</f>
        <v>0</v>
      </c>
      <c r="AE298" s="12">
        <f>IF(VLOOKUP(A298,Data_NV!$A:$I,6,0)="Không",0,IF(Z298&lt;=X298,0,ROUNDDOWN((Z298-X298)*24*60,0)))</f>
        <v>50</v>
      </c>
      <c r="AF298" s="26">
        <f t="shared" si="19"/>
        <v>0</v>
      </c>
      <c r="AG298" s="27" t="str">
        <f>IF(AC298="","",IF(COUNTIFS($AC$3:AC298,"Quên chấm công",$S$3:S298,S298)&gt;3,"Không chấm công do vi phạm quá 3 lần",IF(COUNTIFS($AC$3:AC298,"Quên chấm công",$S$3:S298,S298)&gt;2,"Trừ toàn bộ chuyên cần tháng do vi phạm lần 3",IF(COUNTIFS($AC$3:AC298,"Quên chấm công",$S$3:S298,S298)&gt;1,"Trừ 1/2 ngày lương",50000))))</f>
        <v/>
      </c>
      <c r="AH298" s="12" t="str">
        <f>IF(AF298=0,"",IF(COUNTIFS($AF$3:AF298,"&gt;0",$S$3:S298,S298)&gt;3,"Trừ toàn bộ chuyên cần tháng",""))</f>
        <v/>
      </c>
      <c r="AI298" s="12"/>
    </row>
    <row r="299" spans="1:35" x14ac:dyDescent="0.25">
      <c r="A299" s="4" t="s">
        <v>433</v>
      </c>
      <c r="B299" s="1" t="s">
        <v>434</v>
      </c>
      <c r="C299" s="1" t="s">
        <v>20</v>
      </c>
      <c r="D299" s="1" t="s">
        <v>125</v>
      </c>
      <c r="E299" s="1" t="s">
        <v>22</v>
      </c>
      <c r="F299" s="1" t="s">
        <v>23</v>
      </c>
      <c r="G299" s="1" t="s">
        <v>29</v>
      </c>
      <c r="H299" s="1" t="s">
        <v>495</v>
      </c>
      <c r="I299" s="1" t="s">
        <v>496</v>
      </c>
      <c r="J299" s="1" t="s">
        <v>25</v>
      </c>
      <c r="K299" s="1" t="s">
        <v>264</v>
      </c>
      <c r="L299" s="1" t="s">
        <v>25</v>
      </c>
      <c r="M299" s="1" t="s">
        <v>26</v>
      </c>
      <c r="N299" s="1" t="s">
        <v>25</v>
      </c>
      <c r="O299" s="1" t="s">
        <v>265</v>
      </c>
      <c r="P299" s="1" t="s">
        <v>25</v>
      </c>
      <c r="Q299" s="1" t="s">
        <v>25</v>
      </c>
      <c r="R299" s="85" t="str">
        <f t="shared" si="16"/>
        <v>2345927</v>
      </c>
      <c r="S299" t="str">
        <f>VLOOKUP(A299,Data_NV!$A:$C,3,0)</f>
        <v xml:space="preserve"> Nguyễn Thiên Thanh    </v>
      </c>
      <c r="T299" t="str">
        <f>VLOOKUP(A299,Data_NV!$A:$E,4,0)</f>
        <v>Vận Hành</v>
      </c>
      <c r="U299" s="82">
        <f>DATEVALUE(Table2[[#This Row],[Ngày]])</f>
        <v>45927</v>
      </c>
      <c r="V299" t="str">
        <f>VLOOKUP(A299,Data_NV!$A:$E,5,0)</f>
        <v>Đang làm việc</v>
      </c>
      <c r="W299" s="10">
        <f>VLOOKUP(A299,Data_NV!$A:$I,8,0)</f>
        <v>0.33333333333333331</v>
      </c>
      <c r="X299" s="10">
        <f>VLOOKUP(A299,Data_NV!$A:$I,9,0)</f>
        <v>0.70833333333333337</v>
      </c>
      <c r="Y299" s="10">
        <f>IFERROR(TIMEVALUE(Table2[[#This Row],[Vào]]),0)</f>
        <v>0.31240740740740741</v>
      </c>
      <c r="Z299" s="10">
        <f>IFERROR(TIMEVALUE(Table2[[#This Row],[Ra]]),0)</f>
        <v>0.73502314814814818</v>
      </c>
      <c r="AA299" t="str">
        <f t="shared" si="17"/>
        <v>x</v>
      </c>
      <c r="AB299" s="105">
        <f t="shared" si="18"/>
        <v>0</v>
      </c>
      <c r="AC299" s="12" t="str">
        <f>IF(VLOOKUP(A299,Data_NV!$A:$I,7,0)="Không","",IF(OR(AND(Y299=0,Z299=0),AND(Y299&lt;&gt;0,Z299&lt;&gt;0)),"","Quên chấm công"))</f>
        <v/>
      </c>
      <c r="AD299" s="12">
        <f>IF(VLOOKUP(A299,Data_NV!$A:$I,7,0)="Không",0,IF(AND(Y299=0,Z299=0),0,IF(X299&lt;=Z299,0,ROUNDDOWN((X299-Z299)*24*60,0))))</f>
        <v>0</v>
      </c>
      <c r="AE299" s="12">
        <f>IF(VLOOKUP(A299,Data_NV!$A:$I,6,0)="Không",0,IF(Z299&lt;=X299,0,ROUNDDOWN((Z299-X299)*24*60,0)))</f>
        <v>38</v>
      </c>
      <c r="AF299" s="26">
        <f t="shared" si="19"/>
        <v>0</v>
      </c>
      <c r="AG299" s="27" t="str">
        <f>IF(AC299="","",IF(COUNTIFS($AC$3:AC299,"Quên chấm công",$S$3:S299,S299)&gt;3,"Không chấm công do vi phạm quá 3 lần",IF(COUNTIFS($AC$3:AC299,"Quên chấm công",$S$3:S299,S299)&gt;2,"Trừ toàn bộ chuyên cần tháng do vi phạm lần 3",IF(COUNTIFS($AC$3:AC299,"Quên chấm công",$S$3:S299,S299)&gt;1,"Trừ 1/2 ngày lương",50000))))</f>
        <v/>
      </c>
      <c r="AH299" s="12" t="str">
        <f>IF(AF299=0,"",IF(COUNTIFS($AF$3:AF299,"&gt;0",$S$3:S299,S299)&gt;3,"Trừ toàn bộ chuyên cần tháng",""))</f>
        <v/>
      </c>
      <c r="AI299" s="12"/>
    </row>
    <row r="300" spans="1:35" x14ac:dyDescent="0.25">
      <c r="A300" s="4" t="s">
        <v>433</v>
      </c>
      <c r="B300" s="1" t="s">
        <v>434</v>
      </c>
      <c r="C300" s="1" t="s">
        <v>20</v>
      </c>
      <c r="D300" s="1" t="s">
        <v>130</v>
      </c>
      <c r="E300" s="1" t="s">
        <v>22</v>
      </c>
      <c r="F300" s="1" t="s">
        <v>23</v>
      </c>
      <c r="G300" s="1" t="s">
        <v>12</v>
      </c>
      <c r="H300" s="1" t="s">
        <v>24</v>
      </c>
      <c r="I300" s="1" t="s">
        <v>24</v>
      </c>
      <c r="J300" s="1" t="s">
        <v>25</v>
      </c>
      <c r="K300" s="1" t="s">
        <v>25</v>
      </c>
      <c r="L300" s="1" t="s">
        <v>26</v>
      </c>
      <c r="M300" s="1" t="s">
        <v>25</v>
      </c>
      <c r="N300" s="1" t="s">
        <v>25</v>
      </c>
      <c r="O300" s="1" t="s">
        <v>25</v>
      </c>
      <c r="P300" s="1" t="s">
        <v>25</v>
      </c>
      <c r="Q300" s="1" t="s">
        <v>25</v>
      </c>
      <c r="R300" s="85" t="str">
        <f t="shared" si="16"/>
        <v>2345928</v>
      </c>
      <c r="S300" t="str">
        <f>VLOOKUP(A300,Data_NV!$A:$C,3,0)</f>
        <v xml:space="preserve"> Nguyễn Thiên Thanh    </v>
      </c>
      <c r="T300" t="str">
        <f>VLOOKUP(A300,Data_NV!$A:$E,4,0)</f>
        <v>Vận Hành</v>
      </c>
      <c r="U300" s="82">
        <f>DATEVALUE(Table2[[#This Row],[Ngày]])</f>
        <v>45928</v>
      </c>
      <c r="V300" t="str">
        <f>VLOOKUP(A300,Data_NV!$A:$E,5,0)</f>
        <v>Đang làm việc</v>
      </c>
      <c r="W300" s="10">
        <f>VLOOKUP(A300,Data_NV!$A:$I,8,0)</f>
        <v>0.33333333333333331</v>
      </c>
      <c r="X300" s="10">
        <f>VLOOKUP(A300,Data_NV!$A:$I,9,0)</f>
        <v>0.70833333333333337</v>
      </c>
      <c r="Y300" s="10">
        <f>IFERROR(TIMEVALUE(Table2[[#This Row],[Vào]]),0)</f>
        <v>0</v>
      </c>
      <c r="Z300" s="10">
        <f>IFERROR(TIMEVALUE(Table2[[#This Row],[Ra]]),0)</f>
        <v>0</v>
      </c>
      <c r="AA300" t="str">
        <f t="shared" si="17"/>
        <v>Chủ nhật</v>
      </c>
      <c r="AB300" s="105">
        <f t="shared" si="18"/>
        <v>0</v>
      </c>
      <c r="AC300" s="12" t="str">
        <f>IF(VLOOKUP(A300,Data_NV!$A:$I,7,0)="Không","",IF(OR(AND(Y300=0,Z300=0),AND(Y300&lt;&gt;0,Z300&lt;&gt;0)),"","Quên chấm công"))</f>
        <v/>
      </c>
      <c r="AD300" s="12">
        <f>IF(VLOOKUP(A300,Data_NV!$A:$I,7,0)="Không",0,IF(AND(Y300=0,Z300=0),0,IF(X300&lt;=Z300,0,ROUNDDOWN((X300-Z300)*24*60,0))))</f>
        <v>0</v>
      </c>
      <c r="AE300" s="12">
        <f>IF(VLOOKUP(A300,Data_NV!$A:$I,6,0)="Không",0,IF(Z300&lt;=X300,0,ROUNDDOWN((Z300-X300)*24*60,0)))</f>
        <v>0</v>
      </c>
      <c r="AF300" s="26">
        <f t="shared" si="19"/>
        <v>0</v>
      </c>
      <c r="AG300" s="27" t="str">
        <f>IF(AC300="","",IF(COUNTIFS($AC$3:AC300,"Quên chấm công",$S$3:S300,S300)&gt;3,"Không chấm công do vi phạm quá 3 lần",IF(COUNTIFS($AC$3:AC300,"Quên chấm công",$S$3:S300,S300)&gt;2,"Trừ toàn bộ chuyên cần tháng do vi phạm lần 3",IF(COUNTIFS($AC$3:AC300,"Quên chấm công",$S$3:S300,S300)&gt;1,"Trừ 1/2 ngày lương",50000))))</f>
        <v/>
      </c>
      <c r="AH300" s="12" t="str">
        <f>IF(AF300=0,"",IF(COUNTIFS($AF$3:AF300,"&gt;0",$S$3:S300,S300)&gt;3,"Trừ toàn bộ chuyên cần tháng",""))</f>
        <v/>
      </c>
      <c r="AI300" s="12"/>
    </row>
    <row r="301" spans="1:35" x14ac:dyDescent="0.25">
      <c r="A301" s="4" t="s">
        <v>433</v>
      </c>
      <c r="B301" s="1" t="s">
        <v>434</v>
      </c>
      <c r="C301" s="1" t="s">
        <v>20</v>
      </c>
      <c r="D301" s="1" t="s">
        <v>131</v>
      </c>
      <c r="E301" s="1" t="s">
        <v>22</v>
      </c>
      <c r="F301" s="1" t="s">
        <v>23</v>
      </c>
      <c r="G301" s="1" t="s">
        <v>29</v>
      </c>
      <c r="H301" s="1" t="s">
        <v>497</v>
      </c>
      <c r="I301" s="1" t="s">
        <v>498</v>
      </c>
      <c r="J301" s="1" t="s">
        <v>25</v>
      </c>
      <c r="K301" s="1" t="s">
        <v>419</v>
      </c>
      <c r="L301" s="1" t="s">
        <v>25</v>
      </c>
      <c r="M301" s="1" t="s">
        <v>26</v>
      </c>
      <c r="N301" s="1" t="s">
        <v>25</v>
      </c>
      <c r="O301" s="1" t="s">
        <v>33</v>
      </c>
      <c r="P301" s="1" t="s">
        <v>420</v>
      </c>
      <c r="Q301" s="1" t="s">
        <v>25</v>
      </c>
      <c r="R301" s="85" t="str">
        <f t="shared" si="16"/>
        <v>2345929</v>
      </c>
      <c r="S301" t="str">
        <f>VLOOKUP(A301,Data_NV!$A:$C,3,0)</f>
        <v xml:space="preserve"> Nguyễn Thiên Thanh    </v>
      </c>
      <c r="T301" t="str">
        <f>VLOOKUP(A301,Data_NV!$A:$E,4,0)</f>
        <v>Vận Hành</v>
      </c>
      <c r="U301" s="82">
        <f>DATEVALUE(Table2[[#This Row],[Ngày]])</f>
        <v>45929</v>
      </c>
      <c r="V301" t="str">
        <f>VLOOKUP(A301,Data_NV!$A:$E,5,0)</f>
        <v>Đang làm việc</v>
      </c>
      <c r="W301" s="10">
        <f>VLOOKUP(A301,Data_NV!$A:$I,8,0)</f>
        <v>0.33333333333333331</v>
      </c>
      <c r="X301" s="10">
        <f>VLOOKUP(A301,Data_NV!$A:$I,9,0)</f>
        <v>0.70833333333333337</v>
      </c>
      <c r="Y301" s="10">
        <f>IFERROR(TIMEVALUE(Table2[[#This Row],[Vào]]),0)</f>
        <v>0.31479166666666669</v>
      </c>
      <c r="Z301" s="10">
        <f>IFERROR(TIMEVALUE(Table2[[#This Row],[Ra]]),0)</f>
        <v>0.80061342592592588</v>
      </c>
      <c r="AA301" t="str">
        <f t="shared" si="17"/>
        <v>x</v>
      </c>
      <c r="AB301" s="105">
        <f t="shared" si="18"/>
        <v>0</v>
      </c>
      <c r="AC301" s="12" t="str">
        <f>IF(VLOOKUP(A301,Data_NV!$A:$I,7,0)="Không","",IF(OR(AND(Y301=0,Z301=0),AND(Y301&lt;&gt;0,Z301&lt;&gt;0)),"","Quên chấm công"))</f>
        <v/>
      </c>
      <c r="AD301" s="12">
        <f>IF(VLOOKUP(A301,Data_NV!$A:$I,7,0)="Không",0,IF(AND(Y301=0,Z301=0),0,IF(X301&lt;=Z301,0,ROUNDDOWN((X301-Z301)*24*60,0))))</f>
        <v>0</v>
      </c>
      <c r="AE301" s="12">
        <f>IF(VLOOKUP(A301,Data_NV!$A:$I,6,0)="Không",0,IF(Z301&lt;=X301,0,ROUNDDOWN((Z301-X301)*24*60,0)))</f>
        <v>132</v>
      </c>
      <c r="AF301" s="26">
        <f t="shared" si="19"/>
        <v>0</v>
      </c>
      <c r="AG301" s="27" t="str">
        <f>IF(AC301="","",IF(COUNTIFS($AC$3:AC301,"Quên chấm công",$S$3:S301,S301)&gt;3,"Không chấm công do vi phạm quá 3 lần",IF(COUNTIFS($AC$3:AC301,"Quên chấm công",$S$3:S301,S301)&gt;2,"Trừ toàn bộ chuyên cần tháng do vi phạm lần 3",IF(COUNTIFS($AC$3:AC301,"Quên chấm công",$S$3:S301,S301)&gt;1,"Trừ 1/2 ngày lương",50000))))</f>
        <v/>
      </c>
      <c r="AH301" s="12" t="str">
        <f>IF(AF301=0,"",IF(COUNTIFS($AF$3:AF301,"&gt;0",$S$3:S301,S301)&gt;3,"Trừ toàn bộ chuyên cần tháng",""))</f>
        <v/>
      </c>
      <c r="AI301" s="12"/>
    </row>
    <row r="302" spans="1:35" x14ac:dyDescent="0.25">
      <c r="A302" s="4" t="s">
        <v>433</v>
      </c>
      <c r="B302" s="1" t="s">
        <v>434</v>
      </c>
      <c r="C302" s="1" t="s">
        <v>20</v>
      </c>
      <c r="D302" s="1" t="s">
        <v>136</v>
      </c>
      <c r="E302" s="1" t="s">
        <v>22</v>
      </c>
      <c r="F302" s="1" t="s">
        <v>23</v>
      </c>
      <c r="G302" s="1" t="s">
        <v>29</v>
      </c>
      <c r="H302" s="1" t="s">
        <v>485</v>
      </c>
      <c r="I302" s="1" t="s">
        <v>499</v>
      </c>
      <c r="J302" s="1" t="s">
        <v>25</v>
      </c>
      <c r="K302" s="1" t="s">
        <v>500</v>
      </c>
      <c r="L302" s="1" t="s">
        <v>25</v>
      </c>
      <c r="M302" s="1" t="s">
        <v>26</v>
      </c>
      <c r="N302" s="1" t="s">
        <v>25</v>
      </c>
      <c r="O302" s="1" t="s">
        <v>438</v>
      </c>
      <c r="P302" s="1" t="s">
        <v>25</v>
      </c>
      <c r="Q302" s="1" t="s">
        <v>25</v>
      </c>
      <c r="R302" s="85" t="str">
        <f t="shared" si="16"/>
        <v>2345930</v>
      </c>
      <c r="S302" t="str">
        <f>VLOOKUP(A302,Data_NV!$A:$C,3,0)</f>
        <v xml:space="preserve"> Nguyễn Thiên Thanh    </v>
      </c>
      <c r="T302" t="str">
        <f>VLOOKUP(A302,Data_NV!$A:$E,4,0)</f>
        <v>Vận Hành</v>
      </c>
      <c r="U302" s="82">
        <f>DATEVALUE(Table2[[#This Row],[Ngày]])</f>
        <v>45930</v>
      </c>
      <c r="V302" t="str">
        <f>VLOOKUP(A302,Data_NV!$A:$E,5,0)</f>
        <v>Đang làm việc</v>
      </c>
      <c r="W302" s="10">
        <f>VLOOKUP(A302,Data_NV!$A:$I,8,0)</f>
        <v>0.33333333333333331</v>
      </c>
      <c r="X302" s="10">
        <f>VLOOKUP(A302,Data_NV!$A:$I,9,0)</f>
        <v>0.70833333333333337</v>
      </c>
      <c r="Y302" s="10">
        <f>IFERROR(TIMEVALUE(Table2[[#This Row],[Vào]]),0)</f>
        <v>0.31402777777777779</v>
      </c>
      <c r="Z302" s="10">
        <f>IFERROR(TIMEVALUE(Table2[[#This Row],[Ra]]),0)</f>
        <v>0.77063657407407404</v>
      </c>
      <c r="AA302" t="str">
        <f t="shared" si="17"/>
        <v>x</v>
      </c>
      <c r="AB302" s="105">
        <f t="shared" si="18"/>
        <v>0</v>
      </c>
      <c r="AC302" s="12" t="str">
        <f>IF(VLOOKUP(A302,Data_NV!$A:$I,7,0)="Không","",IF(OR(AND(Y302=0,Z302=0),AND(Y302&lt;&gt;0,Z302&lt;&gt;0)),"","Quên chấm công"))</f>
        <v/>
      </c>
      <c r="AD302" s="12">
        <f>IF(VLOOKUP(A302,Data_NV!$A:$I,7,0)="Không",0,IF(AND(Y302=0,Z302=0),0,IF(X302&lt;=Z302,0,ROUNDDOWN((X302-Z302)*24*60,0))))</f>
        <v>0</v>
      </c>
      <c r="AE302" s="12">
        <f>IF(VLOOKUP(A302,Data_NV!$A:$I,6,0)="Không",0,IF(Z302&lt;=X302,0,ROUNDDOWN((Z302-X302)*24*60,0)))</f>
        <v>89</v>
      </c>
      <c r="AF302" s="26">
        <f t="shared" si="19"/>
        <v>0</v>
      </c>
      <c r="AG302" s="27" t="str">
        <f>IF(AC302="","",IF(COUNTIFS($AC$3:AC302,"Quên chấm công",$S$3:S302,S302)&gt;3,"Không chấm công do vi phạm quá 3 lần",IF(COUNTIFS($AC$3:AC302,"Quên chấm công",$S$3:S302,S302)&gt;2,"Trừ toàn bộ chuyên cần tháng do vi phạm lần 3",IF(COUNTIFS($AC$3:AC302,"Quên chấm công",$S$3:S302,S302)&gt;1,"Trừ 1/2 ngày lương",50000))))</f>
        <v/>
      </c>
      <c r="AH302" s="12" t="str">
        <f>IF(AF302=0,"",IF(COUNTIFS($AF$3:AF302,"&gt;0",$S$3:S302,S302)&gt;3,"Trừ toàn bộ chuyên cần tháng",""))</f>
        <v/>
      </c>
      <c r="AI302" s="12"/>
    </row>
    <row r="303" spans="1:35" x14ac:dyDescent="0.25">
      <c r="A303" s="4" t="s">
        <v>501</v>
      </c>
      <c r="B303" s="1" t="s">
        <v>502</v>
      </c>
      <c r="C303" s="1" t="s">
        <v>20</v>
      </c>
      <c r="D303" s="1" t="s">
        <v>21</v>
      </c>
      <c r="E303" s="1" t="s">
        <v>22</v>
      </c>
      <c r="F303" s="1" t="s">
        <v>23</v>
      </c>
      <c r="G303" s="1" t="s">
        <v>12</v>
      </c>
      <c r="H303" s="1" t="s">
        <v>24</v>
      </c>
      <c r="I303" s="1" t="s">
        <v>24</v>
      </c>
      <c r="J303" s="1" t="s">
        <v>25</v>
      </c>
      <c r="K303" s="1" t="s">
        <v>25</v>
      </c>
      <c r="L303" s="1" t="s">
        <v>26</v>
      </c>
      <c r="M303" s="1" t="s">
        <v>25</v>
      </c>
      <c r="N303" s="1" t="s">
        <v>25</v>
      </c>
      <c r="O303" s="1" t="s">
        <v>25</v>
      </c>
      <c r="P303" s="1" t="s">
        <v>25</v>
      </c>
      <c r="Q303" s="1" t="s">
        <v>25</v>
      </c>
      <c r="R303" s="85" t="str">
        <f t="shared" si="16"/>
        <v>2445901</v>
      </c>
      <c r="S303" t="str">
        <f>VLOOKUP(A303,Data_NV!$A:$C,3,0)</f>
        <v xml:space="preserve"> Nguyễn Thiên Trang    </v>
      </c>
      <c r="T303" t="str">
        <f>VLOOKUP(A303,Data_NV!$A:$E,4,0)</f>
        <v>Vận Hành</v>
      </c>
      <c r="U303" s="82">
        <f>DATEVALUE(Table2[[#This Row],[Ngày]])</f>
        <v>45901</v>
      </c>
      <c r="V303" t="str">
        <f>VLOOKUP(A303,Data_NV!$A:$E,5,0)</f>
        <v>Đang làm việc</v>
      </c>
      <c r="W303" s="10">
        <f>VLOOKUP(A303,Data_NV!$A:$I,8,0)</f>
        <v>0.33333333333333331</v>
      </c>
      <c r="X303" s="10">
        <f>VLOOKUP(A303,Data_NV!$A:$I,9,0)</f>
        <v>0.70833333333333337</v>
      </c>
      <c r="Y303" s="10">
        <f>IFERROR(TIMEVALUE(Table2[[#This Row],[Vào]]),0)</f>
        <v>0</v>
      </c>
      <c r="Z303" s="10">
        <f>IFERROR(TIMEVALUE(Table2[[#This Row],[Ra]]),0)</f>
        <v>0</v>
      </c>
      <c r="AA303" s="97" t="s">
        <v>1349</v>
      </c>
      <c r="AB303" s="105">
        <f t="shared" si="18"/>
        <v>0</v>
      </c>
      <c r="AC303" s="12" t="str">
        <f>IF(VLOOKUP(A303,Data_NV!$A:$I,7,0)="Không","",IF(OR(AND(Y303=0,Z303=0),AND(Y303&lt;&gt;0,Z303&lt;&gt;0)),"","Quên chấm công"))</f>
        <v/>
      </c>
      <c r="AD303" s="12">
        <f>IF(VLOOKUP(A303,Data_NV!$A:$I,7,0)="Không",0,IF(AND(Y303=0,Z303=0),0,IF(X303&lt;=Z303,0,ROUNDDOWN((X303-Z303)*24*60,0))))</f>
        <v>0</v>
      </c>
      <c r="AE303" s="12">
        <f>IF(VLOOKUP(A303,Data_NV!$A:$I,6,0)="Không",0,IF(Z303&lt;=X303,0,ROUNDDOWN((Z303-X303)*24*60,0)))</f>
        <v>0</v>
      </c>
      <c r="AF303" s="26">
        <f t="shared" si="19"/>
        <v>0</v>
      </c>
      <c r="AG303" s="27" t="str">
        <f>IF(AC303="","",IF(COUNTIFS($AC$3:AC303,"Quên chấm công",$S$3:S303,S303)&gt;3,"Không chấm công do vi phạm quá 3 lần",IF(COUNTIFS($AC$3:AC303,"Quên chấm công",$S$3:S303,S303)&gt;2,"Trừ toàn bộ chuyên cần tháng do vi phạm lần 3",IF(COUNTIFS($AC$3:AC303,"Quên chấm công",$S$3:S303,S303)&gt;1,"Trừ 1/2 ngày lương",50000))))</f>
        <v/>
      </c>
      <c r="AH303" s="12" t="str">
        <f>IF(AF303=0,"",IF(COUNTIFS($AF$3:AF303,"&gt;0",$S$3:S303,S303)&gt;3,"Trừ toàn bộ chuyên cần tháng",""))</f>
        <v/>
      </c>
      <c r="AI303" s="98" t="s">
        <v>1369</v>
      </c>
    </row>
    <row r="304" spans="1:35" x14ac:dyDescent="0.25">
      <c r="A304" s="4" t="s">
        <v>501</v>
      </c>
      <c r="B304" s="1" t="s">
        <v>502</v>
      </c>
      <c r="C304" s="1" t="s">
        <v>20</v>
      </c>
      <c r="D304" s="1" t="s">
        <v>27</v>
      </c>
      <c r="E304" s="1" t="s">
        <v>22</v>
      </c>
      <c r="F304" s="1" t="s">
        <v>23</v>
      </c>
      <c r="G304" s="1" t="s">
        <v>12</v>
      </c>
      <c r="H304" s="1" t="s">
        <v>24</v>
      </c>
      <c r="I304" s="1" t="s">
        <v>24</v>
      </c>
      <c r="J304" s="1" t="s">
        <v>25</v>
      </c>
      <c r="K304" s="1" t="s">
        <v>25</v>
      </c>
      <c r="L304" s="1" t="s">
        <v>26</v>
      </c>
      <c r="M304" s="1" t="s">
        <v>25</v>
      </c>
      <c r="N304" s="1" t="s">
        <v>25</v>
      </c>
      <c r="O304" s="1" t="s">
        <v>25</v>
      </c>
      <c r="P304" s="1" t="s">
        <v>25</v>
      </c>
      <c r="Q304" s="1" t="s">
        <v>25</v>
      </c>
      <c r="R304" s="85" t="str">
        <f t="shared" si="16"/>
        <v>2445902</v>
      </c>
      <c r="S304" t="str">
        <f>VLOOKUP(A304,Data_NV!$A:$C,3,0)</f>
        <v xml:space="preserve"> Nguyễn Thiên Trang    </v>
      </c>
      <c r="T304" t="str">
        <f>VLOOKUP(A304,Data_NV!$A:$E,4,0)</f>
        <v>Vận Hành</v>
      </c>
      <c r="U304" s="82">
        <f>DATEVALUE(Table2[[#This Row],[Ngày]])</f>
        <v>45902</v>
      </c>
      <c r="V304" t="str">
        <f>VLOOKUP(A304,Data_NV!$A:$E,5,0)</f>
        <v>Đang làm việc</v>
      </c>
      <c r="W304" s="10">
        <f>VLOOKUP(A304,Data_NV!$A:$I,8,0)</f>
        <v>0.33333333333333331</v>
      </c>
      <c r="X304" s="10">
        <f>VLOOKUP(A304,Data_NV!$A:$I,9,0)</f>
        <v>0.70833333333333337</v>
      </c>
      <c r="Y304" s="10">
        <f>IFERROR(TIMEVALUE(Table2[[#This Row],[Vào]]),0)</f>
        <v>0</v>
      </c>
      <c r="Z304" s="10">
        <f>IFERROR(TIMEVALUE(Table2[[#This Row],[Ra]]),0)</f>
        <v>0</v>
      </c>
      <c r="AA304" s="97" t="s">
        <v>1349</v>
      </c>
      <c r="AB304" s="105">
        <f t="shared" si="18"/>
        <v>0</v>
      </c>
      <c r="AC304" s="12" t="str">
        <f>IF(VLOOKUP(A304,Data_NV!$A:$I,7,0)="Không","",IF(OR(AND(Y304=0,Z304=0),AND(Y304&lt;&gt;0,Z304&lt;&gt;0)),"","Quên chấm công"))</f>
        <v/>
      </c>
      <c r="AD304" s="12">
        <f>IF(VLOOKUP(A304,Data_NV!$A:$I,7,0)="Không",0,IF(AND(Y304=0,Z304=0),0,IF(X304&lt;=Z304,0,ROUNDDOWN((X304-Z304)*24*60,0))))</f>
        <v>0</v>
      </c>
      <c r="AE304" s="12">
        <f>IF(VLOOKUP(A304,Data_NV!$A:$I,6,0)="Không",0,IF(Z304&lt;=X304,0,ROUNDDOWN((Z304-X304)*24*60,0)))</f>
        <v>0</v>
      </c>
      <c r="AF304" s="26">
        <f t="shared" si="19"/>
        <v>0</v>
      </c>
      <c r="AG304" s="27" t="str">
        <f>IF(AC304="","",IF(COUNTIFS($AC$3:AC304,"Quên chấm công",$S$3:S304,S304)&gt;3,"Không chấm công do vi phạm quá 3 lần",IF(COUNTIFS($AC$3:AC304,"Quên chấm công",$S$3:S304,S304)&gt;2,"Trừ toàn bộ chuyên cần tháng do vi phạm lần 3",IF(COUNTIFS($AC$3:AC304,"Quên chấm công",$S$3:S304,S304)&gt;1,"Trừ 1/2 ngày lương",50000))))</f>
        <v/>
      </c>
      <c r="AH304" s="12" t="str">
        <f>IF(AF304=0,"",IF(COUNTIFS($AF$3:AF304,"&gt;0",$S$3:S304,S304)&gt;3,"Trừ toàn bộ chuyên cần tháng",""))</f>
        <v/>
      </c>
      <c r="AI304" s="98" t="s">
        <v>1369</v>
      </c>
    </row>
    <row r="305" spans="1:35" x14ac:dyDescent="0.25">
      <c r="A305" s="4" t="s">
        <v>501</v>
      </c>
      <c r="B305" s="1" t="s">
        <v>502</v>
      </c>
      <c r="C305" s="1" t="s">
        <v>20</v>
      </c>
      <c r="D305" s="1" t="s">
        <v>28</v>
      </c>
      <c r="E305" s="1" t="s">
        <v>22</v>
      </c>
      <c r="F305" s="1" t="s">
        <v>23</v>
      </c>
      <c r="G305" s="1" t="s">
        <v>29</v>
      </c>
      <c r="H305" s="1" t="s">
        <v>503</v>
      </c>
      <c r="I305" s="1" t="s">
        <v>504</v>
      </c>
      <c r="J305" s="1" t="s">
        <v>25</v>
      </c>
      <c r="K305" s="1" t="s">
        <v>437</v>
      </c>
      <c r="L305" s="1" t="s">
        <v>25</v>
      </c>
      <c r="M305" s="1" t="s">
        <v>26</v>
      </c>
      <c r="N305" s="1" t="s">
        <v>25</v>
      </c>
      <c r="O305" s="1" t="s">
        <v>33</v>
      </c>
      <c r="P305" s="1" t="s">
        <v>505</v>
      </c>
      <c r="Q305" s="1" t="s">
        <v>25</v>
      </c>
      <c r="R305" s="85" t="str">
        <f t="shared" si="16"/>
        <v>2445903</v>
      </c>
      <c r="S305" t="str">
        <f>VLOOKUP(A305,Data_NV!$A:$C,3,0)</f>
        <v xml:space="preserve"> Nguyễn Thiên Trang    </v>
      </c>
      <c r="T305" t="str">
        <f>VLOOKUP(A305,Data_NV!$A:$E,4,0)</f>
        <v>Vận Hành</v>
      </c>
      <c r="U305" s="82">
        <f>DATEVALUE(Table2[[#This Row],[Ngày]])</f>
        <v>45903</v>
      </c>
      <c r="V305" t="str">
        <f>VLOOKUP(A305,Data_NV!$A:$E,5,0)</f>
        <v>Đang làm việc</v>
      </c>
      <c r="W305" s="10">
        <f>VLOOKUP(A305,Data_NV!$A:$I,8,0)</f>
        <v>0.33333333333333331</v>
      </c>
      <c r="X305" s="10">
        <f>VLOOKUP(A305,Data_NV!$A:$I,9,0)</f>
        <v>0.70833333333333337</v>
      </c>
      <c r="Y305" s="10">
        <f>IFERROR(TIMEVALUE(Table2[[#This Row],[Vào]]),0)</f>
        <v>0.31018518518518517</v>
      </c>
      <c r="Z305" s="10">
        <f>IFERROR(TIMEVALUE(Table2[[#This Row],[Ra]]),0)</f>
        <v>0.82268518518518519</v>
      </c>
      <c r="AA305" t="str">
        <f t="shared" si="17"/>
        <v>x</v>
      </c>
      <c r="AB305" s="105">
        <f t="shared" si="18"/>
        <v>0</v>
      </c>
      <c r="AC305" s="12" t="str">
        <f>IF(VLOOKUP(A305,Data_NV!$A:$I,7,0)="Không","",IF(OR(AND(Y305=0,Z305=0),AND(Y305&lt;&gt;0,Z305&lt;&gt;0)),"","Quên chấm công"))</f>
        <v/>
      </c>
      <c r="AD305" s="12">
        <f>IF(VLOOKUP(A305,Data_NV!$A:$I,7,0)="Không",0,IF(AND(Y305=0,Z305=0),0,IF(X305&lt;=Z305,0,ROUNDDOWN((X305-Z305)*24*60,0))))</f>
        <v>0</v>
      </c>
      <c r="AE305" s="12">
        <f>IF(VLOOKUP(A305,Data_NV!$A:$I,6,0)="Không",0,IF(Z305&lt;=X305,0,ROUNDDOWN((Z305-X305)*24*60,0)))</f>
        <v>164</v>
      </c>
      <c r="AF305" s="26">
        <f t="shared" si="19"/>
        <v>0</v>
      </c>
      <c r="AG305" s="27" t="str">
        <f>IF(AC305="","",IF(COUNTIFS($AC$3:AC305,"Quên chấm công",$S$3:S305,S305)&gt;3,"Không chấm công do vi phạm quá 3 lần",IF(COUNTIFS($AC$3:AC305,"Quên chấm công",$S$3:S305,S305)&gt;2,"Trừ toàn bộ chuyên cần tháng do vi phạm lần 3",IF(COUNTIFS($AC$3:AC305,"Quên chấm công",$S$3:S305,S305)&gt;1,"Trừ 1/2 ngày lương",50000))))</f>
        <v/>
      </c>
      <c r="AH305" s="12" t="str">
        <f>IF(AF305=0,"",IF(COUNTIFS($AF$3:AF305,"&gt;0",$S$3:S305,S305)&gt;3,"Trừ toàn bộ chuyên cần tháng",""))</f>
        <v/>
      </c>
      <c r="AI305" s="12"/>
    </row>
    <row r="306" spans="1:35" x14ac:dyDescent="0.25">
      <c r="A306" s="4" t="s">
        <v>501</v>
      </c>
      <c r="B306" s="1" t="s">
        <v>502</v>
      </c>
      <c r="C306" s="1" t="s">
        <v>20</v>
      </c>
      <c r="D306" s="1" t="s">
        <v>35</v>
      </c>
      <c r="E306" s="1" t="s">
        <v>22</v>
      </c>
      <c r="F306" s="1" t="s">
        <v>23</v>
      </c>
      <c r="G306" s="1" t="s">
        <v>29</v>
      </c>
      <c r="H306" s="1" t="s">
        <v>506</v>
      </c>
      <c r="I306" s="1" t="s">
        <v>507</v>
      </c>
      <c r="J306" s="1" t="s">
        <v>25</v>
      </c>
      <c r="K306" s="1" t="s">
        <v>88</v>
      </c>
      <c r="L306" s="1" t="s">
        <v>25</v>
      </c>
      <c r="M306" s="1" t="s">
        <v>26</v>
      </c>
      <c r="N306" s="1" t="s">
        <v>25</v>
      </c>
      <c r="O306" s="1" t="s">
        <v>89</v>
      </c>
      <c r="P306" s="1" t="s">
        <v>25</v>
      </c>
      <c r="Q306" s="1" t="s">
        <v>25</v>
      </c>
      <c r="R306" s="85" t="str">
        <f t="shared" si="16"/>
        <v>2445904</v>
      </c>
      <c r="S306" t="str">
        <f>VLOOKUP(A306,Data_NV!$A:$C,3,0)</f>
        <v xml:space="preserve"> Nguyễn Thiên Trang    </v>
      </c>
      <c r="T306" t="str">
        <f>VLOOKUP(A306,Data_NV!$A:$E,4,0)</f>
        <v>Vận Hành</v>
      </c>
      <c r="U306" s="82">
        <f>DATEVALUE(Table2[[#This Row],[Ngày]])</f>
        <v>45904</v>
      </c>
      <c r="V306" t="str">
        <f>VLOOKUP(A306,Data_NV!$A:$E,5,0)</f>
        <v>Đang làm việc</v>
      </c>
      <c r="W306" s="10">
        <f>VLOOKUP(A306,Data_NV!$A:$I,8,0)</f>
        <v>0.33333333333333331</v>
      </c>
      <c r="X306" s="10">
        <f>VLOOKUP(A306,Data_NV!$A:$I,9,0)</f>
        <v>0.70833333333333337</v>
      </c>
      <c r="Y306" s="10">
        <f>IFERROR(TIMEVALUE(Table2[[#This Row],[Vào]]),0)</f>
        <v>0.31490740740740741</v>
      </c>
      <c r="Z306" s="10">
        <f>IFERROR(TIMEVALUE(Table2[[#This Row],[Ra]]),0)</f>
        <v>0.77328703703703705</v>
      </c>
      <c r="AA306" t="str">
        <f t="shared" si="17"/>
        <v>x</v>
      </c>
      <c r="AB306" s="105">
        <f t="shared" si="18"/>
        <v>0</v>
      </c>
      <c r="AC306" s="12" t="str">
        <f>IF(VLOOKUP(A306,Data_NV!$A:$I,7,0)="Không","",IF(OR(AND(Y306=0,Z306=0),AND(Y306&lt;&gt;0,Z306&lt;&gt;0)),"","Quên chấm công"))</f>
        <v/>
      </c>
      <c r="AD306" s="12">
        <f>IF(VLOOKUP(A306,Data_NV!$A:$I,7,0)="Không",0,IF(AND(Y306=0,Z306=0),0,IF(X306&lt;=Z306,0,ROUNDDOWN((X306-Z306)*24*60,0))))</f>
        <v>0</v>
      </c>
      <c r="AE306" s="12">
        <f>IF(VLOOKUP(A306,Data_NV!$A:$I,6,0)="Không",0,IF(Z306&lt;=X306,0,ROUNDDOWN((Z306-X306)*24*60,0)))</f>
        <v>93</v>
      </c>
      <c r="AF306" s="26">
        <f t="shared" si="19"/>
        <v>0</v>
      </c>
      <c r="AG306" s="27" t="str">
        <f>IF(AC306="","",IF(COUNTIFS($AC$3:AC306,"Quên chấm công",$S$3:S306,S306)&gt;3,"Không chấm công do vi phạm quá 3 lần",IF(COUNTIFS($AC$3:AC306,"Quên chấm công",$S$3:S306,S306)&gt;2,"Trừ toàn bộ chuyên cần tháng do vi phạm lần 3",IF(COUNTIFS($AC$3:AC306,"Quên chấm công",$S$3:S306,S306)&gt;1,"Trừ 1/2 ngày lương",50000))))</f>
        <v/>
      </c>
      <c r="AH306" s="12" t="str">
        <f>IF(AF306=0,"",IF(COUNTIFS($AF$3:AF306,"&gt;0",$S$3:S306,S306)&gt;3,"Trừ toàn bộ chuyên cần tháng",""))</f>
        <v/>
      </c>
      <c r="AI306" s="12"/>
    </row>
    <row r="307" spans="1:35" x14ac:dyDescent="0.25">
      <c r="A307" s="4" t="s">
        <v>501</v>
      </c>
      <c r="B307" s="1" t="s">
        <v>502</v>
      </c>
      <c r="C307" s="1" t="s">
        <v>20</v>
      </c>
      <c r="D307" s="1" t="s">
        <v>37</v>
      </c>
      <c r="E307" s="1" t="s">
        <v>22</v>
      </c>
      <c r="F307" s="1" t="s">
        <v>23</v>
      </c>
      <c r="G307" s="1" t="s">
        <v>29</v>
      </c>
      <c r="H307" s="1" t="s">
        <v>508</v>
      </c>
      <c r="I307" s="1" t="s">
        <v>509</v>
      </c>
      <c r="J307" s="1" t="s">
        <v>25</v>
      </c>
      <c r="K307" s="1" t="s">
        <v>72</v>
      </c>
      <c r="L307" s="1" t="s">
        <v>25</v>
      </c>
      <c r="M307" s="1" t="s">
        <v>26</v>
      </c>
      <c r="N307" s="1" t="s">
        <v>25</v>
      </c>
      <c r="O307" s="1" t="s">
        <v>73</v>
      </c>
      <c r="P307" s="1" t="s">
        <v>25</v>
      </c>
      <c r="Q307" s="1" t="s">
        <v>25</v>
      </c>
      <c r="R307" s="85" t="str">
        <f t="shared" si="16"/>
        <v>2445905</v>
      </c>
      <c r="S307" t="str">
        <f>VLOOKUP(A307,Data_NV!$A:$C,3,0)</f>
        <v xml:space="preserve"> Nguyễn Thiên Trang    </v>
      </c>
      <c r="T307" t="str">
        <f>VLOOKUP(A307,Data_NV!$A:$E,4,0)</f>
        <v>Vận Hành</v>
      </c>
      <c r="U307" s="82">
        <f>DATEVALUE(Table2[[#This Row],[Ngày]])</f>
        <v>45905</v>
      </c>
      <c r="V307" t="str">
        <f>VLOOKUP(A307,Data_NV!$A:$E,5,0)</f>
        <v>Đang làm việc</v>
      </c>
      <c r="W307" s="10">
        <f>VLOOKUP(A307,Data_NV!$A:$I,8,0)</f>
        <v>0.33333333333333331</v>
      </c>
      <c r="X307" s="10">
        <f>VLOOKUP(A307,Data_NV!$A:$I,9,0)</f>
        <v>0.70833333333333337</v>
      </c>
      <c r="Y307" s="10">
        <f>IFERROR(TIMEVALUE(Table2[[#This Row],[Vào]]),0)</f>
        <v>0.31571759259259258</v>
      </c>
      <c r="Z307" s="10">
        <f>IFERROR(TIMEVALUE(Table2[[#This Row],[Ra]]),0)</f>
        <v>0.74633101851851846</v>
      </c>
      <c r="AA307" t="str">
        <f t="shared" si="17"/>
        <v>x</v>
      </c>
      <c r="AB307" s="105">
        <f t="shared" si="18"/>
        <v>0</v>
      </c>
      <c r="AC307" s="12" t="str">
        <f>IF(VLOOKUP(A307,Data_NV!$A:$I,7,0)="Không","",IF(OR(AND(Y307=0,Z307=0),AND(Y307&lt;&gt;0,Z307&lt;&gt;0)),"","Quên chấm công"))</f>
        <v/>
      </c>
      <c r="AD307" s="12">
        <f>IF(VLOOKUP(A307,Data_NV!$A:$I,7,0)="Không",0,IF(AND(Y307=0,Z307=0),0,IF(X307&lt;=Z307,0,ROUNDDOWN((X307-Z307)*24*60,0))))</f>
        <v>0</v>
      </c>
      <c r="AE307" s="12">
        <f>IF(VLOOKUP(A307,Data_NV!$A:$I,6,0)="Không",0,IF(Z307&lt;=X307,0,ROUNDDOWN((Z307-X307)*24*60,0)))</f>
        <v>54</v>
      </c>
      <c r="AF307" s="26">
        <f t="shared" si="19"/>
        <v>0</v>
      </c>
      <c r="AG307" s="27" t="str">
        <f>IF(AC307="","",IF(COUNTIFS($AC$3:AC307,"Quên chấm công",$S$3:S307,S307)&gt;3,"Không chấm công do vi phạm quá 3 lần",IF(COUNTIFS($AC$3:AC307,"Quên chấm công",$S$3:S307,S307)&gt;2,"Trừ toàn bộ chuyên cần tháng do vi phạm lần 3",IF(COUNTIFS($AC$3:AC307,"Quên chấm công",$S$3:S307,S307)&gt;1,"Trừ 1/2 ngày lương",50000))))</f>
        <v/>
      </c>
      <c r="AH307" s="12" t="str">
        <f>IF(AF307=0,"",IF(COUNTIFS($AF$3:AF307,"&gt;0",$S$3:S307,S307)&gt;3,"Trừ toàn bộ chuyên cần tháng",""))</f>
        <v/>
      </c>
      <c r="AI307" s="12"/>
    </row>
    <row r="308" spans="1:35" x14ac:dyDescent="0.25">
      <c r="A308" s="4" t="s">
        <v>501</v>
      </c>
      <c r="B308" s="1" t="s">
        <v>502</v>
      </c>
      <c r="C308" s="1" t="s">
        <v>20</v>
      </c>
      <c r="D308" s="1" t="s">
        <v>42</v>
      </c>
      <c r="E308" s="1" t="s">
        <v>22</v>
      </c>
      <c r="F308" s="1" t="s">
        <v>23</v>
      </c>
      <c r="G308" s="1" t="s">
        <v>29</v>
      </c>
      <c r="H308" s="1" t="s">
        <v>510</v>
      </c>
      <c r="I308" s="1" t="s">
        <v>511</v>
      </c>
      <c r="J308" s="1" t="s">
        <v>25</v>
      </c>
      <c r="K308" s="1" t="s">
        <v>512</v>
      </c>
      <c r="L308" s="1" t="s">
        <v>25</v>
      </c>
      <c r="M308" s="1" t="s">
        <v>26</v>
      </c>
      <c r="N308" s="1" t="s">
        <v>25</v>
      </c>
      <c r="O308" s="1" t="s">
        <v>513</v>
      </c>
      <c r="P308" s="1" t="s">
        <v>25</v>
      </c>
      <c r="Q308" s="1" t="s">
        <v>25</v>
      </c>
      <c r="R308" s="85" t="str">
        <f t="shared" si="16"/>
        <v>2445906</v>
      </c>
      <c r="S308" t="str">
        <f>VLOOKUP(A308,Data_NV!$A:$C,3,0)</f>
        <v xml:space="preserve"> Nguyễn Thiên Trang    </v>
      </c>
      <c r="T308" t="str">
        <f>VLOOKUP(A308,Data_NV!$A:$E,4,0)</f>
        <v>Vận Hành</v>
      </c>
      <c r="U308" s="82">
        <f>DATEVALUE(Table2[[#This Row],[Ngày]])</f>
        <v>45906</v>
      </c>
      <c r="V308" t="str">
        <f>VLOOKUP(A308,Data_NV!$A:$E,5,0)</f>
        <v>Đang làm việc</v>
      </c>
      <c r="W308" s="10">
        <f>VLOOKUP(A308,Data_NV!$A:$I,8,0)</f>
        <v>0.33333333333333331</v>
      </c>
      <c r="X308" s="10">
        <f>VLOOKUP(A308,Data_NV!$A:$I,9,0)</f>
        <v>0.70833333333333337</v>
      </c>
      <c r="Y308" s="10">
        <f>IFERROR(TIMEVALUE(Table2[[#This Row],[Vào]]),0)</f>
        <v>0.31376157407407407</v>
      </c>
      <c r="Z308" s="10">
        <f>IFERROR(TIMEVALUE(Table2[[#This Row],[Ra]]),0)</f>
        <v>0.77664351851851854</v>
      </c>
      <c r="AA308" t="str">
        <f t="shared" si="17"/>
        <v>x</v>
      </c>
      <c r="AB308" s="105">
        <f t="shared" si="18"/>
        <v>0</v>
      </c>
      <c r="AC308" s="12" t="str">
        <f>IF(VLOOKUP(A308,Data_NV!$A:$I,7,0)="Không","",IF(OR(AND(Y308=0,Z308=0),AND(Y308&lt;&gt;0,Z308&lt;&gt;0)),"","Quên chấm công"))</f>
        <v/>
      </c>
      <c r="AD308" s="12">
        <f>IF(VLOOKUP(A308,Data_NV!$A:$I,7,0)="Không",0,IF(AND(Y308=0,Z308=0),0,IF(X308&lt;=Z308,0,ROUNDDOWN((X308-Z308)*24*60,0))))</f>
        <v>0</v>
      </c>
      <c r="AE308" s="12">
        <f>IF(VLOOKUP(A308,Data_NV!$A:$I,6,0)="Không",0,IF(Z308&lt;=X308,0,ROUNDDOWN((Z308-X308)*24*60,0)))</f>
        <v>98</v>
      </c>
      <c r="AF308" s="26">
        <f t="shared" si="19"/>
        <v>0</v>
      </c>
      <c r="AG308" s="27" t="str">
        <f>IF(AC308="","",IF(COUNTIFS($AC$3:AC308,"Quên chấm công",$S$3:S308,S308)&gt;3,"Không chấm công do vi phạm quá 3 lần",IF(COUNTIFS($AC$3:AC308,"Quên chấm công",$S$3:S308,S308)&gt;2,"Trừ toàn bộ chuyên cần tháng do vi phạm lần 3",IF(COUNTIFS($AC$3:AC308,"Quên chấm công",$S$3:S308,S308)&gt;1,"Trừ 1/2 ngày lương",50000))))</f>
        <v/>
      </c>
      <c r="AH308" s="12" t="str">
        <f>IF(AF308=0,"",IF(COUNTIFS($AF$3:AF308,"&gt;0",$S$3:S308,S308)&gt;3,"Trừ toàn bộ chuyên cần tháng",""))</f>
        <v/>
      </c>
      <c r="AI308" s="12"/>
    </row>
    <row r="309" spans="1:35" x14ac:dyDescent="0.25">
      <c r="A309" s="4" t="s">
        <v>501</v>
      </c>
      <c r="B309" s="1" t="s">
        <v>502</v>
      </c>
      <c r="C309" s="1" t="s">
        <v>20</v>
      </c>
      <c r="D309" s="1" t="s">
        <v>47</v>
      </c>
      <c r="E309" s="1" t="s">
        <v>22</v>
      </c>
      <c r="F309" s="1" t="s">
        <v>23</v>
      </c>
      <c r="G309" s="1" t="s">
        <v>12</v>
      </c>
      <c r="H309" s="1" t="s">
        <v>24</v>
      </c>
      <c r="I309" s="1" t="s">
        <v>24</v>
      </c>
      <c r="J309" s="1" t="s">
        <v>25</v>
      </c>
      <c r="K309" s="1" t="s">
        <v>25</v>
      </c>
      <c r="L309" s="1" t="s">
        <v>26</v>
      </c>
      <c r="M309" s="1" t="s">
        <v>25</v>
      </c>
      <c r="N309" s="1" t="s">
        <v>25</v>
      </c>
      <c r="O309" s="1" t="s">
        <v>25</v>
      </c>
      <c r="P309" s="1" t="s">
        <v>25</v>
      </c>
      <c r="Q309" s="1" t="s">
        <v>25</v>
      </c>
      <c r="R309" s="85" t="str">
        <f t="shared" si="16"/>
        <v>2445907</v>
      </c>
      <c r="S309" t="str">
        <f>VLOOKUP(A309,Data_NV!$A:$C,3,0)</f>
        <v xml:space="preserve"> Nguyễn Thiên Trang    </v>
      </c>
      <c r="T309" t="str">
        <f>VLOOKUP(A309,Data_NV!$A:$E,4,0)</f>
        <v>Vận Hành</v>
      </c>
      <c r="U309" s="82">
        <f>DATEVALUE(Table2[[#This Row],[Ngày]])</f>
        <v>45907</v>
      </c>
      <c r="V309" t="str">
        <f>VLOOKUP(A309,Data_NV!$A:$E,5,0)</f>
        <v>Đang làm việc</v>
      </c>
      <c r="W309" s="10">
        <f>VLOOKUP(A309,Data_NV!$A:$I,8,0)</f>
        <v>0.33333333333333331</v>
      </c>
      <c r="X309" s="10">
        <f>VLOOKUP(A309,Data_NV!$A:$I,9,0)</f>
        <v>0.70833333333333337</v>
      </c>
      <c r="Y309" s="10">
        <f>IFERROR(TIMEVALUE(Table2[[#This Row],[Vào]]),0)</f>
        <v>0</v>
      </c>
      <c r="Z309" s="10">
        <f>IFERROR(TIMEVALUE(Table2[[#This Row],[Ra]]),0)</f>
        <v>0</v>
      </c>
      <c r="AA309" t="str">
        <f t="shared" si="17"/>
        <v>Chủ nhật</v>
      </c>
      <c r="AB309" s="105">
        <f t="shared" si="18"/>
        <v>0</v>
      </c>
      <c r="AC309" s="12" t="str">
        <f>IF(VLOOKUP(A309,Data_NV!$A:$I,7,0)="Không","",IF(OR(AND(Y309=0,Z309=0),AND(Y309&lt;&gt;0,Z309&lt;&gt;0)),"","Quên chấm công"))</f>
        <v/>
      </c>
      <c r="AD309" s="12">
        <f>IF(VLOOKUP(A309,Data_NV!$A:$I,7,0)="Không",0,IF(AND(Y309=0,Z309=0),0,IF(X309&lt;=Z309,0,ROUNDDOWN((X309-Z309)*24*60,0))))</f>
        <v>0</v>
      </c>
      <c r="AE309" s="12">
        <f>IF(VLOOKUP(A309,Data_NV!$A:$I,6,0)="Không",0,IF(Z309&lt;=X309,0,ROUNDDOWN((Z309-X309)*24*60,0)))</f>
        <v>0</v>
      </c>
      <c r="AF309" s="26">
        <f t="shared" si="19"/>
        <v>0</v>
      </c>
      <c r="AG309" s="27" t="str">
        <f>IF(AC309="","",IF(COUNTIFS($AC$3:AC309,"Quên chấm công",$S$3:S309,S309)&gt;3,"Không chấm công do vi phạm quá 3 lần",IF(COUNTIFS($AC$3:AC309,"Quên chấm công",$S$3:S309,S309)&gt;2,"Trừ toàn bộ chuyên cần tháng do vi phạm lần 3",IF(COUNTIFS($AC$3:AC309,"Quên chấm công",$S$3:S309,S309)&gt;1,"Trừ 1/2 ngày lương",50000))))</f>
        <v/>
      </c>
      <c r="AH309" s="12" t="str">
        <f>IF(AF309=0,"",IF(COUNTIFS($AF$3:AF309,"&gt;0",$S$3:S309,S309)&gt;3,"Trừ toàn bộ chuyên cần tháng",""))</f>
        <v/>
      </c>
      <c r="AI309" s="12"/>
    </row>
    <row r="310" spans="1:35" x14ac:dyDescent="0.25">
      <c r="A310" s="4" t="s">
        <v>501</v>
      </c>
      <c r="B310" s="1" t="s">
        <v>502</v>
      </c>
      <c r="C310" s="1" t="s">
        <v>20</v>
      </c>
      <c r="D310" s="1" t="s">
        <v>48</v>
      </c>
      <c r="E310" s="1" t="s">
        <v>22</v>
      </c>
      <c r="F310" s="1" t="s">
        <v>23</v>
      </c>
      <c r="G310" s="1" t="s">
        <v>29</v>
      </c>
      <c r="H310" s="1" t="s">
        <v>514</v>
      </c>
      <c r="I310" s="1" t="s">
        <v>515</v>
      </c>
      <c r="J310" s="1" t="s">
        <v>25</v>
      </c>
      <c r="K310" s="1" t="s">
        <v>516</v>
      </c>
      <c r="L310" s="1" t="s">
        <v>25</v>
      </c>
      <c r="M310" s="1" t="s">
        <v>26</v>
      </c>
      <c r="N310" s="1" t="s">
        <v>25</v>
      </c>
      <c r="O310" s="1" t="s">
        <v>33</v>
      </c>
      <c r="P310" s="1" t="s">
        <v>517</v>
      </c>
      <c r="Q310" s="1" t="s">
        <v>25</v>
      </c>
      <c r="R310" s="85" t="str">
        <f t="shared" si="16"/>
        <v>2445908</v>
      </c>
      <c r="S310" t="str">
        <f>VLOOKUP(A310,Data_NV!$A:$C,3,0)</f>
        <v xml:space="preserve"> Nguyễn Thiên Trang    </v>
      </c>
      <c r="T310" t="str">
        <f>VLOOKUP(A310,Data_NV!$A:$E,4,0)</f>
        <v>Vận Hành</v>
      </c>
      <c r="U310" s="82">
        <f>DATEVALUE(Table2[[#This Row],[Ngày]])</f>
        <v>45908</v>
      </c>
      <c r="V310" t="str">
        <f>VLOOKUP(A310,Data_NV!$A:$E,5,0)</f>
        <v>Đang làm việc</v>
      </c>
      <c r="W310" s="10">
        <f>VLOOKUP(A310,Data_NV!$A:$I,8,0)</f>
        <v>0.33333333333333331</v>
      </c>
      <c r="X310" s="10">
        <f>VLOOKUP(A310,Data_NV!$A:$I,9,0)</f>
        <v>0.70833333333333337</v>
      </c>
      <c r="Y310" s="10">
        <f>IFERROR(TIMEVALUE(Table2[[#This Row],[Vào]]),0)</f>
        <v>0.3162847222222222</v>
      </c>
      <c r="Z310" s="10">
        <f>IFERROR(TIMEVALUE(Table2[[#This Row],[Ra]]),0)</f>
        <v>0.85473379629629631</v>
      </c>
      <c r="AA310" t="str">
        <f t="shared" si="17"/>
        <v>x</v>
      </c>
      <c r="AB310" s="105">
        <f t="shared" si="18"/>
        <v>0</v>
      </c>
      <c r="AC310" s="12" t="str">
        <f>IF(VLOOKUP(A310,Data_NV!$A:$I,7,0)="Không","",IF(OR(AND(Y310=0,Z310=0),AND(Y310&lt;&gt;0,Z310&lt;&gt;0)),"","Quên chấm công"))</f>
        <v/>
      </c>
      <c r="AD310" s="12">
        <f>IF(VLOOKUP(A310,Data_NV!$A:$I,7,0)="Không",0,IF(AND(Y310=0,Z310=0),0,IF(X310&lt;=Z310,0,ROUNDDOWN((X310-Z310)*24*60,0))))</f>
        <v>0</v>
      </c>
      <c r="AE310" s="12">
        <f>IF(VLOOKUP(A310,Data_NV!$A:$I,6,0)="Không",0,IF(Z310&lt;=X310,0,ROUNDDOWN((Z310-X310)*24*60,0)))</f>
        <v>210</v>
      </c>
      <c r="AF310" s="26">
        <f t="shared" si="19"/>
        <v>0</v>
      </c>
      <c r="AG310" s="27" t="str">
        <f>IF(AC310="","",IF(COUNTIFS($AC$3:AC310,"Quên chấm công",$S$3:S310,S310)&gt;3,"Không chấm công do vi phạm quá 3 lần",IF(COUNTIFS($AC$3:AC310,"Quên chấm công",$S$3:S310,S310)&gt;2,"Trừ toàn bộ chuyên cần tháng do vi phạm lần 3",IF(COUNTIFS($AC$3:AC310,"Quên chấm công",$S$3:S310,S310)&gt;1,"Trừ 1/2 ngày lương",50000))))</f>
        <v/>
      </c>
      <c r="AH310" s="12" t="str">
        <f>IF(AF310=0,"",IF(COUNTIFS($AF$3:AF310,"&gt;0",$S$3:S310,S310)&gt;3,"Trừ toàn bộ chuyên cần tháng",""))</f>
        <v/>
      </c>
      <c r="AI310" s="12"/>
    </row>
    <row r="311" spans="1:35" x14ac:dyDescent="0.25">
      <c r="A311" s="4" t="s">
        <v>501</v>
      </c>
      <c r="B311" s="1" t="s">
        <v>502</v>
      </c>
      <c r="C311" s="1" t="s">
        <v>20</v>
      </c>
      <c r="D311" s="1" t="s">
        <v>53</v>
      </c>
      <c r="E311" s="1" t="s">
        <v>22</v>
      </c>
      <c r="F311" s="1" t="s">
        <v>23</v>
      </c>
      <c r="G311" s="1" t="s">
        <v>29</v>
      </c>
      <c r="H311" s="1" t="s">
        <v>518</v>
      </c>
      <c r="I311" s="1" t="s">
        <v>519</v>
      </c>
      <c r="J311" s="1" t="s">
        <v>25</v>
      </c>
      <c r="K311" s="1" t="s">
        <v>520</v>
      </c>
      <c r="L311" s="1" t="s">
        <v>25</v>
      </c>
      <c r="M311" s="1" t="s">
        <v>26</v>
      </c>
      <c r="N311" s="1" t="s">
        <v>25</v>
      </c>
      <c r="O311" s="1" t="s">
        <v>521</v>
      </c>
      <c r="P311" s="1" t="s">
        <v>25</v>
      </c>
      <c r="Q311" s="1" t="s">
        <v>25</v>
      </c>
      <c r="R311" s="85" t="str">
        <f t="shared" si="16"/>
        <v>2445909</v>
      </c>
      <c r="S311" t="str">
        <f>VLOOKUP(A311,Data_NV!$A:$C,3,0)</f>
        <v xml:space="preserve"> Nguyễn Thiên Trang    </v>
      </c>
      <c r="T311" t="str">
        <f>VLOOKUP(A311,Data_NV!$A:$E,4,0)</f>
        <v>Vận Hành</v>
      </c>
      <c r="U311" s="82">
        <f>DATEVALUE(Table2[[#This Row],[Ngày]])</f>
        <v>45909</v>
      </c>
      <c r="V311" t="str">
        <f>VLOOKUP(A311,Data_NV!$A:$E,5,0)</f>
        <v>Đang làm việc</v>
      </c>
      <c r="W311" s="10">
        <f>VLOOKUP(A311,Data_NV!$A:$I,8,0)</f>
        <v>0.33333333333333331</v>
      </c>
      <c r="X311" s="10">
        <f>VLOOKUP(A311,Data_NV!$A:$I,9,0)</f>
        <v>0.70833333333333337</v>
      </c>
      <c r="Y311" s="10">
        <f>IFERROR(TIMEVALUE(Table2[[#This Row],[Vào]]),0)</f>
        <v>0.29567129629629629</v>
      </c>
      <c r="Z311" s="10">
        <f>IFERROR(TIMEVALUE(Table2[[#This Row],[Ra]]),0)</f>
        <v>0.78616898148148151</v>
      </c>
      <c r="AA311" t="str">
        <f t="shared" si="17"/>
        <v>x</v>
      </c>
      <c r="AB311" s="105">
        <f t="shared" si="18"/>
        <v>0</v>
      </c>
      <c r="AC311" s="12" t="str">
        <f>IF(VLOOKUP(A311,Data_NV!$A:$I,7,0)="Không","",IF(OR(AND(Y311=0,Z311=0),AND(Y311&lt;&gt;0,Z311&lt;&gt;0)),"","Quên chấm công"))</f>
        <v/>
      </c>
      <c r="AD311" s="12">
        <f>IF(VLOOKUP(A311,Data_NV!$A:$I,7,0)="Không",0,IF(AND(Y311=0,Z311=0),0,IF(X311&lt;=Z311,0,ROUNDDOWN((X311-Z311)*24*60,0))))</f>
        <v>0</v>
      </c>
      <c r="AE311" s="12">
        <f>IF(VLOOKUP(A311,Data_NV!$A:$I,6,0)="Không",0,IF(Z311&lt;=X311,0,ROUNDDOWN((Z311-X311)*24*60,0)))</f>
        <v>112</v>
      </c>
      <c r="AF311" s="26">
        <f t="shared" si="19"/>
        <v>0</v>
      </c>
      <c r="AG311" s="27" t="str">
        <f>IF(AC311="","",IF(COUNTIFS($AC$3:AC311,"Quên chấm công",$S$3:S311,S311)&gt;3,"Không chấm công do vi phạm quá 3 lần",IF(COUNTIFS($AC$3:AC311,"Quên chấm công",$S$3:S311,S311)&gt;2,"Trừ toàn bộ chuyên cần tháng do vi phạm lần 3",IF(COUNTIFS($AC$3:AC311,"Quên chấm công",$S$3:S311,S311)&gt;1,"Trừ 1/2 ngày lương",50000))))</f>
        <v/>
      </c>
      <c r="AH311" s="12" t="str">
        <f>IF(AF311=0,"",IF(COUNTIFS($AF$3:AF311,"&gt;0",$S$3:S311,S311)&gt;3,"Trừ toàn bộ chuyên cần tháng",""))</f>
        <v/>
      </c>
      <c r="AI311" s="12"/>
    </row>
    <row r="312" spans="1:35" x14ac:dyDescent="0.25">
      <c r="A312" s="4" t="s">
        <v>501</v>
      </c>
      <c r="B312" s="1" t="s">
        <v>502</v>
      </c>
      <c r="C312" s="1" t="s">
        <v>20</v>
      </c>
      <c r="D312" s="1" t="s">
        <v>58</v>
      </c>
      <c r="E312" s="1" t="s">
        <v>22</v>
      </c>
      <c r="F312" s="1" t="s">
        <v>23</v>
      </c>
      <c r="G312" s="1" t="s">
        <v>29</v>
      </c>
      <c r="H312" s="1" t="s">
        <v>522</v>
      </c>
      <c r="I312" s="1" t="s">
        <v>523</v>
      </c>
      <c r="J312" s="1" t="s">
        <v>25</v>
      </c>
      <c r="K312" s="1" t="s">
        <v>491</v>
      </c>
      <c r="L312" s="1" t="s">
        <v>25</v>
      </c>
      <c r="M312" s="1" t="s">
        <v>26</v>
      </c>
      <c r="N312" s="1" t="s">
        <v>25</v>
      </c>
      <c r="O312" s="1" t="s">
        <v>492</v>
      </c>
      <c r="P312" s="1" t="s">
        <v>25</v>
      </c>
      <c r="Q312" s="1" t="s">
        <v>25</v>
      </c>
      <c r="R312" s="85" t="str">
        <f t="shared" si="16"/>
        <v>2445910</v>
      </c>
      <c r="S312" t="str">
        <f>VLOOKUP(A312,Data_NV!$A:$C,3,0)</f>
        <v xml:space="preserve"> Nguyễn Thiên Trang    </v>
      </c>
      <c r="T312" t="str">
        <f>VLOOKUP(A312,Data_NV!$A:$E,4,0)</f>
        <v>Vận Hành</v>
      </c>
      <c r="U312" s="82">
        <f>DATEVALUE(Table2[[#This Row],[Ngày]])</f>
        <v>45910</v>
      </c>
      <c r="V312" t="str">
        <f>VLOOKUP(A312,Data_NV!$A:$E,5,0)</f>
        <v>Đang làm việc</v>
      </c>
      <c r="W312" s="10">
        <f>VLOOKUP(A312,Data_NV!$A:$I,8,0)</f>
        <v>0.33333333333333331</v>
      </c>
      <c r="X312" s="10">
        <f>VLOOKUP(A312,Data_NV!$A:$I,9,0)</f>
        <v>0.70833333333333337</v>
      </c>
      <c r="Y312" s="10">
        <f>IFERROR(TIMEVALUE(Table2[[#This Row],[Vào]]),0)</f>
        <v>0.31648148148148147</v>
      </c>
      <c r="Z312" s="10">
        <f>IFERROR(TIMEVALUE(Table2[[#This Row],[Ra]]),0)</f>
        <v>0.76712962962962961</v>
      </c>
      <c r="AA312" t="str">
        <f t="shared" si="17"/>
        <v>x</v>
      </c>
      <c r="AB312" s="105">
        <f t="shared" si="18"/>
        <v>0</v>
      </c>
      <c r="AC312" s="12" t="str">
        <f>IF(VLOOKUP(A312,Data_NV!$A:$I,7,0)="Không","",IF(OR(AND(Y312=0,Z312=0),AND(Y312&lt;&gt;0,Z312&lt;&gt;0)),"","Quên chấm công"))</f>
        <v/>
      </c>
      <c r="AD312" s="12">
        <f>IF(VLOOKUP(A312,Data_NV!$A:$I,7,0)="Không",0,IF(AND(Y312=0,Z312=0),0,IF(X312&lt;=Z312,0,ROUNDDOWN((X312-Z312)*24*60,0))))</f>
        <v>0</v>
      </c>
      <c r="AE312" s="12">
        <f>IF(VLOOKUP(A312,Data_NV!$A:$I,6,0)="Không",0,IF(Z312&lt;=X312,0,ROUNDDOWN((Z312-X312)*24*60,0)))</f>
        <v>84</v>
      </c>
      <c r="AF312" s="26">
        <f t="shared" si="19"/>
        <v>0</v>
      </c>
      <c r="AG312" s="27" t="str">
        <f>IF(AC312="","",IF(COUNTIFS($AC$3:AC312,"Quên chấm công",$S$3:S312,S312)&gt;3,"Không chấm công do vi phạm quá 3 lần",IF(COUNTIFS($AC$3:AC312,"Quên chấm công",$S$3:S312,S312)&gt;2,"Trừ toàn bộ chuyên cần tháng do vi phạm lần 3",IF(COUNTIFS($AC$3:AC312,"Quên chấm công",$S$3:S312,S312)&gt;1,"Trừ 1/2 ngày lương",50000))))</f>
        <v/>
      </c>
      <c r="AH312" s="12" t="str">
        <f>IF(AF312=0,"",IF(COUNTIFS($AF$3:AF312,"&gt;0",$S$3:S312,S312)&gt;3,"Trừ toàn bộ chuyên cần tháng",""))</f>
        <v/>
      </c>
      <c r="AI312" s="12"/>
    </row>
    <row r="313" spans="1:35" x14ac:dyDescent="0.25">
      <c r="A313" s="4" t="s">
        <v>501</v>
      </c>
      <c r="B313" s="1" t="s">
        <v>502</v>
      </c>
      <c r="C313" s="1" t="s">
        <v>20</v>
      </c>
      <c r="D313" s="1" t="s">
        <v>63</v>
      </c>
      <c r="E313" s="1" t="s">
        <v>22</v>
      </c>
      <c r="F313" s="1" t="s">
        <v>23</v>
      </c>
      <c r="G313" s="1" t="s">
        <v>29</v>
      </c>
      <c r="H313" s="1" t="s">
        <v>524</v>
      </c>
      <c r="I313" s="1" t="s">
        <v>525</v>
      </c>
      <c r="J313" s="1" t="s">
        <v>25</v>
      </c>
      <c r="K313" s="1" t="s">
        <v>369</v>
      </c>
      <c r="L313" s="1" t="s">
        <v>25</v>
      </c>
      <c r="M313" s="1" t="s">
        <v>26</v>
      </c>
      <c r="N313" s="1" t="s">
        <v>25</v>
      </c>
      <c r="O313" s="1" t="s">
        <v>316</v>
      </c>
      <c r="P313" s="1" t="s">
        <v>25</v>
      </c>
      <c r="Q313" s="1" t="s">
        <v>25</v>
      </c>
      <c r="R313" s="85" t="str">
        <f t="shared" si="16"/>
        <v>2445911</v>
      </c>
      <c r="S313" t="str">
        <f>VLOOKUP(A313,Data_NV!$A:$C,3,0)</f>
        <v xml:space="preserve"> Nguyễn Thiên Trang    </v>
      </c>
      <c r="T313" t="str">
        <f>VLOOKUP(A313,Data_NV!$A:$E,4,0)</f>
        <v>Vận Hành</v>
      </c>
      <c r="U313" s="82">
        <f>DATEVALUE(Table2[[#This Row],[Ngày]])</f>
        <v>45911</v>
      </c>
      <c r="V313" t="str">
        <f>VLOOKUP(A313,Data_NV!$A:$E,5,0)</f>
        <v>Đang làm việc</v>
      </c>
      <c r="W313" s="10">
        <f>VLOOKUP(A313,Data_NV!$A:$I,8,0)</f>
        <v>0.33333333333333331</v>
      </c>
      <c r="X313" s="10">
        <f>VLOOKUP(A313,Data_NV!$A:$I,9,0)</f>
        <v>0.70833333333333337</v>
      </c>
      <c r="Y313" s="10">
        <f>IFERROR(TIMEVALUE(Table2[[#This Row],[Vào]]),0)</f>
        <v>0.31055555555555553</v>
      </c>
      <c r="Z313" s="10">
        <f>IFERROR(TIMEVALUE(Table2[[#This Row],[Ra]]),0)</f>
        <v>0.78702546296296294</v>
      </c>
      <c r="AA313" t="str">
        <f t="shared" si="17"/>
        <v>x</v>
      </c>
      <c r="AB313" s="105">
        <f t="shared" si="18"/>
        <v>0</v>
      </c>
      <c r="AC313" s="12" t="str">
        <f>IF(VLOOKUP(A313,Data_NV!$A:$I,7,0)="Không","",IF(OR(AND(Y313=0,Z313=0),AND(Y313&lt;&gt;0,Z313&lt;&gt;0)),"","Quên chấm công"))</f>
        <v/>
      </c>
      <c r="AD313" s="12">
        <f>IF(VLOOKUP(A313,Data_NV!$A:$I,7,0)="Không",0,IF(AND(Y313=0,Z313=0),0,IF(X313&lt;=Z313,0,ROUNDDOWN((X313-Z313)*24*60,0))))</f>
        <v>0</v>
      </c>
      <c r="AE313" s="12">
        <f>IF(VLOOKUP(A313,Data_NV!$A:$I,6,0)="Không",0,IF(Z313&lt;=X313,0,ROUNDDOWN((Z313-X313)*24*60,0)))</f>
        <v>113</v>
      </c>
      <c r="AF313" s="26">
        <f t="shared" si="19"/>
        <v>0</v>
      </c>
      <c r="AG313" s="27" t="str">
        <f>IF(AC313="","",IF(COUNTIFS($AC$3:AC313,"Quên chấm công",$S$3:S313,S313)&gt;3,"Không chấm công do vi phạm quá 3 lần",IF(COUNTIFS($AC$3:AC313,"Quên chấm công",$S$3:S313,S313)&gt;2,"Trừ toàn bộ chuyên cần tháng do vi phạm lần 3",IF(COUNTIFS($AC$3:AC313,"Quên chấm công",$S$3:S313,S313)&gt;1,"Trừ 1/2 ngày lương",50000))))</f>
        <v/>
      </c>
      <c r="AH313" s="12" t="str">
        <f>IF(AF313=0,"",IF(COUNTIFS($AF$3:AF313,"&gt;0",$S$3:S313,S313)&gt;3,"Trừ toàn bộ chuyên cần tháng",""))</f>
        <v/>
      </c>
      <c r="AI313" s="12"/>
    </row>
    <row r="314" spans="1:35" x14ac:dyDescent="0.25">
      <c r="A314" s="4" t="s">
        <v>501</v>
      </c>
      <c r="B314" s="1" t="s">
        <v>502</v>
      </c>
      <c r="C314" s="1" t="s">
        <v>20</v>
      </c>
      <c r="D314" s="1" t="s">
        <v>67</v>
      </c>
      <c r="E314" s="1" t="s">
        <v>22</v>
      </c>
      <c r="F314" s="1" t="s">
        <v>23</v>
      </c>
      <c r="G314" s="1" t="s">
        <v>29</v>
      </c>
      <c r="H314" s="1" t="s">
        <v>526</v>
      </c>
      <c r="I314" s="1" t="s">
        <v>527</v>
      </c>
      <c r="J314" s="1" t="s">
        <v>25</v>
      </c>
      <c r="K314" s="1" t="s">
        <v>528</v>
      </c>
      <c r="L314" s="1" t="s">
        <v>25</v>
      </c>
      <c r="M314" s="1" t="s">
        <v>26</v>
      </c>
      <c r="N314" s="1" t="s">
        <v>25</v>
      </c>
      <c r="O314" s="1" t="s">
        <v>529</v>
      </c>
      <c r="P314" s="1" t="s">
        <v>25</v>
      </c>
      <c r="Q314" s="1" t="s">
        <v>25</v>
      </c>
      <c r="R314" s="85" t="str">
        <f t="shared" si="16"/>
        <v>2445912</v>
      </c>
      <c r="S314" t="str">
        <f>VLOOKUP(A314,Data_NV!$A:$C,3,0)</f>
        <v xml:space="preserve"> Nguyễn Thiên Trang    </v>
      </c>
      <c r="T314" t="str">
        <f>VLOOKUP(A314,Data_NV!$A:$E,4,0)</f>
        <v>Vận Hành</v>
      </c>
      <c r="U314" s="82">
        <f>DATEVALUE(Table2[[#This Row],[Ngày]])</f>
        <v>45912</v>
      </c>
      <c r="V314" t="str">
        <f>VLOOKUP(A314,Data_NV!$A:$E,5,0)</f>
        <v>Đang làm việc</v>
      </c>
      <c r="W314" s="10">
        <f>VLOOKUP(A314,Data_NV!$A:$I,8,0)</f>
        <v>0.33333333333333331</v>
      </c>
      <c r="X314" s="10">
        <f>VLOOKUP(A314,Data_NV!$A:$I,9,0)</f>
        <v>0.70833333333333337</v>
      </c>
      <c r="Y314" s="10">
        <f>IFERROR(TIMEVALUE(Table2[[#This Row],[Vào]]),0)</f>
        <v>0.31677083333333333</v>
      </c>
      <c r="Z314" s="10">
        <f>IFERROR(TIMEVALUE(Table2[[#This Row],[Ra]]),0)</f>
        <v>0.76078703703703698</v>
      </c>
      <c r="AA314" t="str">
        <f t="shared" si="17"/>
        <v>x</v>
      </c>
      <c r="AB314" s="105">
        <f t="shared" si="18"/>
        <v>0</v>
      </c>
      <c r="AC314" s="12" t="str">
        <f>IF(VLOOKUP(A314,Data_NV!$A:$I,7,0)="Không","",IF(OR(AND(Y314=0,Z314=0),AND(Y314&lt;&gt;0,Z314&lt;&gt;0)),"","Quên chấm công"))</f>
        <v/>
      </c>
      <c r="AD314" s="12">
        <f>IF(VLOOKUP(A314,Data_NV!$A:$I,7,0)="Không",0,IF(AND(Y314=0,Z314=0),0,IF(X314&lt;=Z314,0,ROUNDDOWN((X314-Z314)*24*60,0))))</f>
        <v>0</v>
      </c>
      <c r="AE314" s="12">
        <f>IF(VLOOKUP(A314,Data_NV!$A:$I,6,0)="Không",0,IF(Z314&lt;=X314,0,ROUNDDOWN((Z314-X314)*24*60,0)))</f>
        <v>75</v>
      </c>
      <c r="AF314" s="26">
        <f t="shared" si="19"/>
        <v>0</v>
      </c>
      <c r="AG314" s="27" t="str">
        <f>IF(AC314="","",IF(COUNTIFS($AC$3:AC314,"Quên chấm công",$S$3:S314,S314)&gt;3,"Không chấm công do vi phạm quá 3 lần",IF(COUNTIFS($AC$3:AC314,"Quên chấm công",$S$3:S314,S314)&gt;2,"Trừ toàn bộ chuyên cần tháng do vi phạm lần 3",IF(COUNTIFS($AC$3:AC314,"Quên chấm công",$S$3:S314,S314)&gt;1,"Trừ 1/2 ngày lương",50000))))</f>
        <v/>
      </c>
      <c r="AH314" s="12" t="str">
        <f>IF(AF314=0,"",IF(COUNTIFS($AF$3:AF314,"&gt;0",$S$3:S314,S314)&gt;3,"Trừ toàn bộ chuyên cần tháng",""))</f>
        <v/>
      </c>
      <c r="AI314" s="12"/>
    </row>
    <row r="315" spans="1:35" x14ac:dyDescent="0.25">
      <c r="A315" s="4" t="s">
        <v>501</v>
      </c>
      <c r="B315" s="1" t="s">
        <v>502</v>
      </c>
      <c r="C315" s="1" t="s">
        <v>20</v>
      </c>
      <c r="D315" s="1" t="s">
        <v>69</v>
      </c>
      <c r="E315" s="1" t="s">
        <v>22</v>
      </c>
      <c r="F315" s="1" t="s">
        <v>23</v>
      </c>
      <c r="G315" s="1" t="s">
        <v>29</v>
      </c>
      <c r="H315" s="1" t="s">
        <v>530</v>
      </c>
      <c r="I315" s="1" t="s">
        <v>531</v>
      </c>
      <c r="J315" s="1" t="s">
        <v>25</v>
      </c>
      <c r="K315" s="1" t="s">
        <v>260</v>
      </c>
      <c r="L315" s="1" t="s">
        <v>25</v>
      </c>
      <c r="M315" s="1" t="s">
        <v>26</v>
      </c>
      <c r="N315" s="1" t="s">
        <v>25</v>
      </c>
      <c r="O315" s="1" t="s">
        <v>261</v>
      </c>
      <c r="P315" s="1" t="s">
        <v>25</v>
      </c>
      <c r="Q315" s="1" t="s">
        <v>25</v>
      </c>
      <c r="R315" s="85" t="str">
        <f t="shared" si="16"/>
        <v>2445913</v>
      </c>
      <c r="S315" t="str">
        <f>VLOOKUP(A315,Data_NV!$A:$C,3,0)</f>
        <v xml:space="preserve"> Nguyễn Thiên Trang    </v>
      </c>
      <c r="T315" t="str">
        <f>VLOOKUP(A315,Data_NV!$A:$E,4,0)</f>
        <v>Vận Hành</v>
      </c>
      <c r="U315" s="82">
        <f>DATEVALUE(Table2[[#This Row],[Ngày]])</f>
        <v>45913</v>
      </c>
      <c r="V315" t="str">
        <f>VLOOKUP(A315,Data_NV!$A:$E,5,0)</f>
        <v>Đang làm việc</v>
      </c>
      <c r="W315" s="10">
        <f>VLOOKUP(A315,Data_NV!$A:$I,8,0)</f>
        <v>0.33333333333333331</v>
      </c>
      <c r="X315" s="10">
        <f>VLOOKUP(A315,Data_NV!$A:$I,9,0)</f>
        <v>0.70833333333333337</v>
      </c>
      <c r="Y315" s="10">
        <f>IFERROR(TIMEVALUE(Table2[[#This Row],[Vào]]),0)</f>
        <v>0.30865740740740738</v>
      </c>
      <c r="Z315" s="10">
        <f>IFERROR(TIMEVALUE(Table2[[#This Row],[Ra]]),0)</f>
        <v>0.75971064814814815</v>
      </c>
      <c r="AA315" t="str">
        <f t="shared" si="17"/>
        <v>x</v>
      </c>
      <c r="AB315" s="105">
        <f t="shared" si="18"/>
        <v>0</v>
      </c>
      <c r="AC315" s="12" t="str">
        <f>IF(VLOOKUP(A315,Data_NV!$A:$I,7,0)="Không","",IF(OR(AND(Y315=0,Z315=0),AND(Y315&lt;&gt;0,Z315&lt;&gt;0)),"","Quên chấm công"))</f>
        <v/>
      </c>
      <c r="AD315" s="12">
        <f>IF(VLOOKUP(A315,Data_NV!$A:$I,7,0)="Không",0,IF(AND(Y315=0,Z315=0),0,IF(X315&lt;=Z315,0,ROUNDDOWN((X315-Z315)*24*60,0))))</f>
        <v>0</v>
      </c>
      <c r="AE315" s="12">
        <f>IF(VLOOKUP(A315,Data_NV!$A:$I,6,0)="Không",0,IF(Z315&lt;=X315,0,ROUNDDOWN((Z315-X315)*24*60,0)))</f>
        <v>73</v>
      </c>
      <c r="AF315" s="26">
        <f t="shared" si="19"/>
        <v>0</v>
      </c>
      <c r="AG315" s="27" t="str">
        <f>IF(AC315="","",IF(COUNTIFS($AC$3:AC315,"Quên chấm công",$S$3:S315,S315)&gt;3,"Không chấm công do vi phạm quá 3 lần",IF(COUNTIFS($AC$3:AC315,"Quên chấm công",$S$3:S315,S315)&gt;2,"Trừ toàn bộ chuyên cần tháng do vi phạm lần 3",IF(COUNTIFS($AC$3:AC315,"Quên chấm công",$S$3:S315,S315)&gt;1,"Trừ 1/2 ngày lương",50000))))</f>
        <v/>
      </c>
      <c r="AH315" s="12" t="str">
        <f>IF(AF315=0,"",IF(COUNTIFS($AF$3:AF315,"&gt;0",$S$3:S315,S315)&gt;3,"Trừ toàn bộ chuyên cần tháng",""))</f>
        <v/>
      </c>
      <c r="AI315" s="12"/>
    </row>
    <row r="316" spans="1:35" x14ac:dyDescent="0.25">
      <c r="A316" s="4" t="s">
        <v>501</v>
      </c>
      <c r="B316" s="1" t="s">
        <v>502</v>
      </c>
      <c r="C316" s="1" t="s">
        <v>20</v>
      </c>
      <c r="D316" s="1" t="s">
        <v>74</v>
      </c>
      <c r="E316" s="1" t="s">
        <v>22</v>
      </c>
      <c r="F316" s="1" t="s">
        <v>23</v>
      </c>
      <c r="G316" s="1" t="s">
        <v>12</v>
      </c>
      <c r="H316" s="1" t="s">
        <v>24</v>
      </c>
      <c r="I316" s="1" t="s">
        <v>24</v>
      </c>
      <c r="J316" s="1" t="s">
        <v>25</v>
      </c>
      <c r="K316" s="1" t="s">
        <v>25</v>
      </c>
      <c r="L316" s="1" t="s">
        <v>26</v>
      </c>
      <c r="M316" s="1" t="s">
        <v>25</v>
      </c>
      <c r="N316" s="1" t="s">
        <v>25</v>
      </c>
      <c r="O316" s="1" t="s">
        <v>25</v>
      </c>
      <c r="P316" s="1" t="s">
        <v>25</v>
      </c>
      <c r="Q316" s="1" t="s">
        <v>25</v>
      </c>
      <c r="R316" s="85" t="str">
        <f t="shared" si="16"/>
        <v>2445914</v>
      </c>
      <c r="S316" t="str">
        <f>VLOOKUP(A316,Data_NV!$A:$C,3,0)</f>
        <v xml:space="preserve"> Nguyễn Thiên Trang    </v>
      </c>
      <c r="T316" t="str">
        <f>VLOOKUP(A316,Data_NV!$A:$E,4,0)</f>
        <v>Vận Hành</v>
      </c>
      <c r="U316" s="82">
        <f>DATEVALUE(Table2[[#This Row],[Ngày]])</f>
        <v>45914</v>
      </c>
      <c r="V316" t="str">
        <f>VLOOKUP(A316,Data_NV!$A:$E,5,0)</f>
        <v>Đang làm việc</v>
      </c>
      <c r="W316" s="10">
        <f>VLOOKUP(A316,Data_NV!$A:$I,8,0)</f>
        <v>0.33333333333333331</v>
      </c>
      <c r="X316" s="10">
        <f>VLOOKUP(A316,Data_NV!$A:$I,9,0)</f>
        <v>0.70833333333333337</v>
      </c>
      <c r="Y316" s="10">
        <f>IFERROR(TIMEVALUE(Table2[[#This Row],[Vào]]),0)</f>
        <v>0</v>
      </c>
      <c r="Z316" s="10">
        <f>IFERROR(TIMEVALUE(Table2[[#This Row],[Ra]]),0)</f>
        <v>0</v>
      </c>
      <c r="AA316" t="str">
        <f t="shared" si="17"/>
        <v>Chủ nhật</v>
      </c>
      <c r="AB316" s="105">
        <f t="shared" si="18"/>
        <v>0</v>
      </c>
      <c r="AC316" s="12" t="str">
        <f>IF(VLOOKUP(A316,Data_NV!$A:$I,7,0)="Không","",IF(OR(AND(Y316=0,Z316=0),AND(Y316&lt;&gt;0,Z316&lt;&gt;0)),"","Quên chấm công"))</f>
        <v/>
      </c>
      <c r="AD316" s="12">
        <f>IF(VLOOKUP(A316,Data_NV!$A:$I,7,0)="Không",0,IF(AND(Y316=0,Z316=0),0,IF(X316&lt;=Z316,0,ROUNDDOWN((X316-Z316)*24*60,0))))</f>
        <v>0</v>
      </c>
      <c r="AE316" s="12">
        <f>IF(VLOOKUP(A316,Data_NV!$A:$I,6,0)="Không",0,IF(Z316&lt;=X316,0,ROUNDDOWN((Z316-X316)*24*60,0)))</f>
        <v>0</v>
      </c>
      <c r="AF316" s="26">
        <f t="shared" si="19"/>
        <v>0</v>
      </c>
      <c r="AG316" s="27" t="str">
        <f>IF(AC316="","",IF(COUNTIFS($AC$3:AC316,"Quên chấm công",$S$3:S316,S316)&gt;3,"Không chấm công do vi phạm quá 3 lần",IF(COUNTIFS($AC$3:AC316,"Quên chấm công",$S$3:S316,S316)&gt;2,"Trừ toàn bộ chuyên cần tháng do vi phạm lần 3",IF(COUNTIFS($AC$3:AC316,"Quên chấm công",$S$3:S316,S316)&gt;1,"Trừ 1/2 ngày lương",50000))))</f>
        <v/>
      </c>
      <c r="AH316" s="12" t="str">
        <f>IF(AF316=0,"",IF(COUNTIFS($AF$3:AF316,"&gt;0",$S$3:S316,S316)&gt;3,"Trừ toàn bộ chuyên cần tháng",""))</f>
        <v/>
      </c>
      <c r="AI316" s="12"/>
    </row>
    <row r="317" spans="1:35" x14ac:dyDescent="0.25">
      <c r="A317" s="4" t="s">
        <v>501</v>
      </c>
      <c r="B317" s="1" t="s">
        <v>502</v>
      </c>
      <c r="C317" s="1" t="s">
        <v>20</v>
      </c>
      <c r="D317" s="1" t="s">
        <v>75</v>
      </c>
      <c r="E317" s="1" t="s">
        <v>22</v>
      </c>
      <c r="F317" s="1" t="s">
        <v>23</v>
      </c>
      <c r="G317" s="1" t="s">
        <v>29</v>
      </c>
      <c r="H317" s="1" t="s">
        <v>532</v>
      </c>
      <c r="I317" s="1" t="s">
        <v>533</v>
      </c>
      <c r="J317" s="1" t="s">
        <v>25</v>
      </c>
      <c r="K317" s="1" t="s">
        <v>406</v>
      </c>
      <c r="L317" s="1" t="s">
        <v>25</v>
      </c>
      <c r="M317" s="1" t="s">
        <v>26</v>
      </c>
      <c r="N317" s="1" t="s">
        <v>25</v>
      </c>
      <c r="O317" s="1" t="s">
        <v>33</v>
      </c>
      <c r="P317" s="1" t="s">
        <v>265</v>
      </c>
      <c r="Q317" s="1" t="s">
        <v>25</v>
      </c>
      <c r="R317" s="85" t="str">
        <f t="shared" si="16"/>
        <v>2445915</v>
      </c>
      <c r="S317" t="str">
        <f>VLOOKUP(A317,Data_NV!$A:$C,3,0)</f>
        <v xml:space="preserve"> Nguyễn Thiên Trang    </v>
      </c>
      <c r="T317" t="str">
        <f>VLOOKUP(A317,Data_NV!$A:$E,4,0)</f>
        <v>Vận Hành</v>
      </c>
      <c r="U317" s="82">
        <f>DATEVALUE(Table2[[#This Row],[Ngày]])</f>
        <v>45915</v>
      </c>
      <c r="V317" t="str">
        <f>VLOOKUP(A317,Data_NV!$A:$E,5,0)</f>
        <v>Đang làm việc</v>
      </c>
      <c r="W317" s="10">
        <f>VLOOKUP(A317,Data_NV!$A:$I,8,0)</f>
        <v>0.33333333333333331</v>
      </c>
      <c r="X317" s="10">
        <f>VLOOKUP(A317,Data_NV!$A:$I,9,0)</f>
        <v>0.70833333333333337</v>
      </c>
      <c r="Y317" s="10">
        <f>IFERROR(TIMEVALUE(Table2[[#This Row],[Vào]]),0)</f>
        <v>0.31140046296296298</v>
      </c>
      <c r="Z317" s="10">
        <f>IFERROR(TIMEVALUE(Table2[[#This Row],[Ra]]),0)</f>
        <v>0.80501157407407409</v>
      </c>
      <c r="AA317" t="str">
        <f t="shared" si="17"/>
        <v>x</v>
      </c>
      <c r="AB317" s="105">
        <f t="shared" si="18"/>
        <v>0</v>
      </c>
      <c r="AC317" s="12" t="str">
        <f>IF(VLOOKUP(A317,Data_NV!$A:$I,7,0)="Không","",IF(OR(AND(Y317=0,Z317=0),AND(Y317&lt;&gt;0,Z317&lt;&gt;0)),"","Quên chấm công"))</f>
        <v/>
      </c>
      <c r="AD317" s="12">
        <f>IF(VLOOKUP(A317,Data_NV!$A:$I,7,0)="Không",0,IF(AND(Y317=0,Z317=0),0,IF(X317&lt;=Z317,0,ROUNDDOWN((X317-Z317)*24*60,0))))</f>
        <v>0</v>
      </c>
      <c r="AE317" s="12">
        <f>IF(VLOOKUP(A317,Data_NV!$A:$I,6,0)="Không",0,IF(Z317&lt;=X317,0,ROUNDDOWN((Z317-X317)*24*60,0)))</f>
        <v>139</v>
      </c>
      <c r="AF317" s="26">
        <f t="shared" si="19"/>
        <v>0</v>
      </c>
      <c r="AG317" s="27" t="str">
        <f>IF(AC317="","",IF(COUNTIFS($AC$3:AC317,"Quên chấm công",$S$3:S317,S317)&gt;3,"Không chấm công do vi phạm quá 3 lần",IF(COUNTIFS($AC$3:AC317,"Quên chấm công",$S$3:S317,S317)&gt;2,"Trừ toàn bộ chuyên cần tháng do vi phạm lần 3",IF(COUNTIFS($AC$3:AC317,"Quên chấm công",$S$3:S317,S317)&gt;1,"Trừ 1/2 ngày lương",50000))))</f>
        <v/>
      </c>
      <c r="AH317" s="12" t="str">
        <f>IF(AF317=0,"",IF(COUNTIFS($AF$3:AF317,"&gt;0",$S$3:S317,S317)&gt;3,"Trừ toàn bộ chuyên cần tháng",""))</f>
        <v/>
      </c>
      <c r="AI317" s="12"/>
    </row>
    <row r="318" spans="1:35" x14ac:dyDescent="0.25">
      <c r="A318" s="4" t="s">
        <v>501</v>
      </c>
      <c r="B318" s="1" t="s">
        <v>502</v>
      </c>
      <c r="C318" s="1" t="s">
        <v>20</v>
      </c>
      <c r="D318" s="1" t="s">
        <v>80</v>
      </c>
      <c r="E318" s="1" t="s">
        <v>22</v>
      </c>
      <c r="F318" s="1" t="s">
        <v>23</v>
      </c>
      <c r="G318" s="1" t="s">
        <v>29</v>
      </c>
      <c r="H318" s="1" t="s">
        <v>534</v>
      </c>
      <c r="I318" s="1" t="s">
        <v>535</v>
      </c>
      <c r="J318" s="1" t="s">
        <v>25</v>
      </c>
      <c r="K318" s="1" t="s">
        <v>32</v>
      </c>
      <c r="L318" s="1" t="s">
        <v>25</v>
      </c>
      <c r="M318" s="1" t="s">
        <v>26</v>
      </c>
      <c r="N318" s="1" t="s">
        <v>25</v>
      </c>
      <c r="O318" s="1" t="s">
        <v>33</v>
      </c>
      <c r="P318" s="1" t="s">
        <v>66</v>
      </c>
      <c r="Q318" s="1" t="s">
        <v>25</v>
      </c>
      <c r="R318" s="85" t="str">
        <f t="shared" si="16"/>
        <v>2445916</v>
      </c>
      <c r="S318" t="str">
        <f>VLOOKUP(A318,Data_NV!$A:$C,3,0)</f>
        <v xml:space="preserve"> Nguyễn Thiên Trang    </v>
      </c>
      <c r="T318" t="str">
        <f>VLOOKUP(A318,Data_NV!$A:$E,4,0)</f>
        <v>Vận Hành</v>
      </c>
      <c r="U318" s="82">
        <f>DATEVALUE(Table2[[#This Row],[Ngày]])</f>
        <v>45916</v>
      </c>
      <c r="V318" t="str">
        <f>VLOOKUP(A318,Data_NV!$A:$E,5,0)</f>
        <v>Đang làm việc</v>
      </c>
      <c r="W318" s="10">
        <f>VLOOKUP(A318,Data_NV!$A:$I,8,0)</f>
        <v>0.33333333333333331</v>
      </c>
      <c r="X318" s="10">
        <f>VLOOKUP(A318,Data_NV!$A:$I,9,0)</f>
        <v>0.70833333333333337</v>
      </c>
      <c r="Y318" s="10">
        <f>IFERROR(TIMEVALUE(Table2[[#This Row],[Vào]]),0)</f>
        <v>0.31067129629629631</v>
      </c>
      <c r="Z318" s="10">
        <f>IFERROR(TIMEVALUE(Table2[[#This Row],[Ra]]),0)</f>
        <v>0.80608796296296292</v>
      </c>
      <c r="AA318" t="str">
        <f t="shared" si="17"/>
        <v>x</v>
      </c>
      <c r="AB318" s="105">
        <f t="shared" si="18"/>
        <v>0</v>
      </c>
      <c r="AC318" s="12" t="str">
        <f>IF(VLOOKUP(A318,Data_NV!$A:$I,7,0)="Không","",IF(OR(AND(Y318=0,Z318=0),AND(Y318&lt;&gt;0,Z318&lt;&gt;0)),"","Quên chấm công"))</f>
        <v/>
      </c>
      <c r="AD318" s="12">
        <f>IF(VLOOKUP(A318,Data_NV!$A:$I,7,0)="Không",0,IF(AND(Y318=0,Z318=0),0,IF(X318&lt;=Z318,0,ROUNDDOWN((X318-Z318)*24*60,0))))</f>
        <v>0</v>
      </c>
      <c r="AE318" s="12">
        <f>IF(VLOOKUP(A318,Data_NV!$A:$I,6,0)="Không",0,IF(Z318&lt;=X318,0,ROUNDDOWN((Z318-X318)*24*60,0)))</f>
        <v>140</v>
      </c>
      <c r="AF318" s="26">
        <f t="shared" si="19"/>
        <v>0</v>
      </c>
      <c r="AG318" s="27" t="str">
        <f>IF(AC318="","",IF(COUNTIFS($AC$3:AC318,"Quên chấm công",$S$3:S318,S318)&gt;3,"Không chấm công do vi phạm quá 3 lần",IF(COUNTIFS($AC$3:AC318,"Quên chấm công",$S$3:S318,S318)&gt;2,"Trừ toàn bộ chuyên cần tháng do vi phạm lần 3",IF(COUNTIFS($AC$3:AC318,"Quên chấm công",$S$3:S318,S318)&gt;1,"Trừ 1/2 ngày lương",50000))))</f>
        <v/>
      </c>
      <c r="AH318" s="12" t="str">
        <f>IF(AF318=0,"",IF(COUNTIFS($AF$3:AF318,"&gt;0",$S$3:S318,S318)&gt;3,"Trừ toàn bộ chuyên cần tháng",""))</f>
        <v/>
      </c>
      <c r="AI318" s="12"/>
    </row>
    <row r="319" spans="1:35" x14ac:dyDescent="0.25">
      <c r="A319" s="4" t="s">
        <v>501</v>
      </c>
      <c r="B319" s="1" t="s">
        <v>502</v>
      </c>
      <c r="C319" s="1" t="s">
        <v>20</v>
      </c>
      <c r="D319" s="1" t="s">
        <v>85</v>
      </c>
      <c r="E319" s="1" t="s">
        <v>22</v>
      </c>
      <c r="F319" s="1" t="s">
        <v>23</v>
      </c>
      <c r="G319" s="1" t="s">
        <v>29</v>
      </c>
      <c r="H319" s="1" t="s">
        <v>536</v>
      </c>
      <c r="I319" s="1" t="s">
        <v>537</v>
      </c>
      <c r="J319" s="1" t="s">
        <v>25</v>
      </c>
      <c r="K319" s="1" t="s">
        <v>292</v>
      </c>
      <c r="L319" s="1" t="s">
        <v>25</v>
      </c>
      <c r="M319" s="1" t="s">
        <v>26</v>
      </c>
      <c r="N319" s="1" t="s">
        <v>25</v>
      </c>
      <c r="O319" s="1" t="s">
        <v>293</v>
      </c>
      <c r="P319" s="1" t="s">
        <v>25</v>
      </c>
      <c r="Q319" s="1" t="s">
        <v>25</v>
      </c>
      <c r="R319" s="85" t="str">
        <f t="shared" si="16"/>
        <v>2445917</v>
      </c>
      <c r="S319" t="str">
        <f>VLOOKUP(A319,Data_NV!$A:$C,3,0)</f>
        <v xml:space="preserve"> Nguyễn Thiên Trang    </v>
      </c>
      <c r="T319" t="str">
        <f>VLOOKUP(A319,Data_NV!$A:$E,4,0)</f>
        <v>Vận Hành</v>
      </c>
      <c r="U319" s="82">
        <f>DATEVALUE(Table2[[#This Row],[Ngày]])</f>
        <v>45917</v>
      </c>
      <c r="V319" t="str">
        <f>VLOOKUP(A319,Data_NV!$A:$E,5,0)</f>
        <v>Đang làm việc</v>
      </c>
      <c r="W319" s="10">
        <f>VLOOKUP(A319,Data_NV!$A:$I,8,0)</f>
        <v>0.33333333333333331</v>
      </c>
      <c r="X319" s="10">
        <f>VLOOKUP(A319,Data_NV!$A:$I,9,0)</f>
        <v>0.70833333333333337</v>
      </c>
      <c r="Y319" s="10">
        <f>IFERROR(TIMEVALUE(Table2[[#This Row],[Vào]]),0)</f>
        <v>0.3137962962962963</v>
      </c>
      <c r="Z319" s="10">
        <f>IFERROR(TIMEVALUE(Table2[[#This Row],[Ra]]),0)</f>
        <v>0.79031249999999997</v>
      </c>
      <c r="AA319" t="str">
        <f t="shared" si="17"/>
        <v>x</v>
      </c>
      <c r="AB319" s="105">
        <f t="shared" si="18"/>
        <v>0</v>
      </c>
      <c r="AC319" s="12" t="str">
        <f>IF(VLOOKUP(A319,Data_NV!$A:$I,7,0)="Không","",IF(OR(AND(Y319=0,Z319=0),AND(Y319&lt;&gt;0,Z319&lt;&gt;0)),"","Quên chấm công"))</f>
        <v/>
      </c>
      <c r="AD319" s="12">
        <f>IF(VLOOKUP(A319,Data_NV!$A:$I,7,0)="Không",0,IF(AND(Y319=0,Z319=0),0,IF(X319&lt;=Z319,0,ROUNDDOWN((X319-Z319)*24*60,0))))</f>
        <v>0</v>
      </c>
      <c r="AE319" s="12">
        <f>IF(VLOOKUP(A319,Data_NV!$A:$I,6,0)="Không",0,IF(Z319&lt;=X319,0,ROUNDDOWN((Z319-X319)*24*60,0)))</f>
        <v>118</v>
      </c>
      <c r="AF319" s="26">
        <f t="shared" si="19"/>
        <v>0</v>
      </c>
      <c r="AG319" s="27" t="str">
        <f>IF(AC319="","",IF(COUNTIFS($AC$3:AC319,"Quên chấm công",$S$3:S319,S319)&gt;3,"Không chấm công do vi phạm quá 3 lần",IF(COUNTIFS($AC$3:AC319,"Quên chấm công",$S$3:S319,S319)&gt;2,"Trừ toàn bộ chuyên cần tháng do vi phạm lần 3",IF(COUNTIFS($AC$3:AC319,"Quên chấm công",$S$3:S319,S319)&gt;1,"Trừ 1/2 ngày lương",50000))))</f>
        <v/>
      </c>
      <c r="AH319" s="12" t="str">
        <f>IF(AF319=0,"",IF(COUNTIFS($AF$3:AF319,"&gt;0",$S$3:S319,S319)&gt;3,"Trừ toàn bộ chuyên cần tháng",""))</f>
        <v/>
      </c>
      <c r="AI319" s="12"/>
    </row>
    <row r="320" spans="1:35" x14ac:dyDescent="0.25">
      <c r="A320" s="4" t="s">
        <v>501</v>
      </c>
      <c r="B320" s="1" t="s">
        <v>502</v>
      </c>
      <c r="C320" s="1" t="s">
        <v>20</v>
      </c>
      <c r="D320" s="1" t="s">
        <v>90</v>
      </c>
      <c r="E320" s="1" t="s">
        <v>22</v>
      </c>
      <c r="F320" s="1" t="s">
        <v>23</v>
      </c>
      <c r="G320" s="1" t="s">
        <v>29</v>
      </c>
      <c r="H320" s="1" t="s">
        <v>538</v>
      </c>
      <c r="I320" s="1" t="s">
        <v>539</v>
      </c>
      <c r="J320" s="1" t="s">
        <v>25</v>
      </c>
      <c r="K320" s="1" t="s">
        <v>93</v>
      </c>
      <c r="L320" s="1" t="s">
        <v>25</v>
      </c>
      <c r="M320" s="1" t="s">
        <v>26</v>
      </c>
      <c r="N320" s="1" t="s">
        <v>25</v>
      </c>
      <c r="O320" s="1" t="s">
        <v>94</v>
      </c>
      <c r="P320" s="1" t="s">
        <v>25</v>
      </c>
      <c r="Q320" s="1" t="s">
        <v>25</v>
      </c>
      <c r="R320" s="85" t="str">
        <f t="shared" si="16"/>
        <v>2445918</v>
      </c>
      <c r="S320" t="str">
        <f>VLOOKUP(A320,Data_NV!$A:$C,3,0)</f>
        <v xml:space="preserve"> Nguyễn Thiên Trang    </v>
      </c>
      <c r="T320" t="str">
        <f>VLOOKUP(A320,Data_NV!$A:$E,4,0)</f>
        <v>Vận Hành</v>
      </c>
      <c r="U320" s="82">
        <f>DATEVALUE(Table2[[#This Row],[Ngày]])</f>
        <v>45918</v>
      </c>
      <c r="V320" t="str">
        <f>VLOOKUP(A320,Data_NV!$A:$E,5,0)</f>
        <v>Đang làm việc</v>
      </c>
      <c r="W320" s="10">
        <f>VLOOKUP(A320,Data_NV!$A:$I,8,0)</f>
        <v>0.33333333333333331</v>
      </c>
      <c r="X320" s="10">
        <f>VLOOKUP(A320,Data_NV!$A:$I,9,0)</f>
        <v>0.70833333333333337</v>
      </c>
      <c r="Y320" s="10">
        <f>IFERROR(TIMEVALUE(Table2[[#This Row],[Vào]]),0)</f>
        <v>0.3159837962962963</v>
      </c>
      <c r="Z320" s="10">
        <f>IFERROR(TIMEVALUE(Table2[[#This Row],[Ra]]),0)</f>
        <v>0.76605324074074077</v>
      </c>
      <c r="AA320" t="str">
        <f t="shared" si="17"/>
        <v>x</v>
      </c>
      <c r="AB320" s="105">
        <f t="shared" si="18"/>
        <v>0</v>
      </c>
      <c r="AC320" s="12" t="str">
        <f>IF(VLOOKUP(A320,Data_NV!$A:$I,7,0)="Không","",IF(OR(AND(Y320=0,Z320=0),AND(Y320&lt;&gt;0,Z320&lt;&gt;0)),"","Quên chấm công"))</f>
        <v/>
      </c>
      <c r="AD320" s="12">
        <f>IF(VLOOKUP(A320,Data_NV!$A:$I,7,0)="Không",0,IF(AND(Y320=0,Z320=0),0,IF(X320&lt;=Z320,0,ROUNDDOWN((X320-Z320)*24*60,0))))</f>
        <v>0</v>
      </c>
      <c r="AE320" s="12">
        <f>IF(VLOOKUP(A320,Data_NV!$A:$I,6,0)="Không",0,IF(Z320&lt;=X320,0,ROUNDDOWN((Z320-X320)*24*60,0)))</f>
        <v>83</v>
      </c>
      <c r="AF320" s="26">
        <f t="shared" si="19"/>
        <v>0</v>
      </c>
      <c r="AG320" s="27" t="str">
        <f>IF(AC320="","",IF(COUNTIFS($AC$3:AC320,"Quên chấm công",$S$3:S320,S320)&gt;3,"Không chấm công do vi phạm quá 3 lần",IF(COUNTIFS($AC$3:AC320,"Quên chấm công",$S$3:S320,S320)&gt;2,"Trừ toàn bộ chuyên cần tháng do vi phạm lần 3",IF(COUNTIFS($AC$3:AC320,"Quên chấm công",$S$3:S320,S320)&gt;1,"Trừ 1/2 ngày lương",50000))))</f>
        <v/>
      </c>
      <c r="AH320" s="12" t="str">
        <f>IF(AF320=0,"",IF(COUNTIFS($AF$3:AF320,"&gt;0",$S$3:S320,S320)&gt;3,"Trừ toàn bộ chuyên cần tháng",""))</f>
        <v/>
      </c>
      <c r="AI320" s="12"/>
    </row>
    <row r="321" spans="1:35" x14ac:dyDescent="0.25">
      <c r="A321" s="4" t="s">
        <v>501</v>
      </c>
      <c r="B321" s="1" t="s">
        <v>502</v>
      </c>
      <c r="C321" s="1" t="s">
        <v>20</v>
      </c>
      <c r="D321" s="1" t="s">
        <v>95</v>
      </c>
      <c r="E321" s="1" t="s">
        <v>22</v>
      </c>
      <c r="F321" s="1" t="s">
        <v>23</v>
      </c>
      <c r="G321" s="1" t="s">
        <v>29</v>
      </c>
      <c r="H321" s="1" t="s">
        <v>540</v>
      </c>
      <c r="I321" s="1" t="s">
        <v>541</v>
      </c>
      <c r="J321" s="1" t="s">
        <v>25</v>
      </c>
      <c r="K321" s="1" t="s">
        <v>473</v>
      </c>
      <c r="L321" s="1" t="s">
        <v>25</v>
      </c>
      <c r="M321" s="1" t="s">
        <v>26</v>
      </c>
      <c r="N321" s="1" t="s">
        <v>25</v>
      </c>
      <c r="O321" s="1" t="s">
        <v>474</v>
      </c>
      <c r="P321" s="1" t="s">
        <v>25</v>
      </c>
      <c r="Q321" s="1" t="s">
        <v>25</v>
      </c>
      <c r="R321" s="85" t="str">
        <f t="shared" si="16"/>
        <v>2445919</v>
      </c>
      <c r="S321" t="str">
        <f>VLOOKUP(A321,Data_NV!$A:$C,3,0)</f>
        <v xml:space="preserve"> Nguyễn Thiên Trang    </v>
      </c>
      <c r="T321" t="str">
        <f>VLOOKUP(A321,Data_NV!$A:$E,4,0)</f>
        <v>Vận Hành</v>
      </c>
      <c r="U321" s="82">
        <f>DATEVALUE(Table2[[#This Row],[Ngày]])</f>
        <v>45919</v>
      </c>
      <c r="V321" t="str">
        <f>VLOOKUP(A321,Data_NV!$A:$E,5,0)</f>
        <v>Đang làm việc</v>
      </c>
      <c r="W321" s="10">
        <f>VLOOKUP(A321,Data_NV!$A:$I,8,0)</f>
        <v>0.33333333333333331</v>
      </c>
      <c r="X321" s="10">
        <f>VLOOKUP(A321,Data_NV!$A:$I,9,0)</f>
        <v>0.70833333333333337</v>
      </c>
      <c r="Y321" s="10">
        <f>IFERROR(TIMEVALUE(Table2[[#This Row],[Vào]]),0)</f>
        <v>0.31363425925925925</v>
      </c>
      <c r="Z321" s="10">
        <f>IFERROR(TIMEVALUE(Table2[[#This Row],[Ra]]),0)</f>
        <v>0.75153935185185183</v>
      </c>
      <c r="AA321" t="str">
        <f t="shared" si="17"/>
        <v>x</v>
      </c>
      <c r="AB321" s="105">
        <f t="shared" si="18"/>
        <v>0</v>
      </c>
      <c r="AC321" s="12" t="str">
        <f>IF(VLOOKUP(A321,Data_NV!$A:$I,7,0)="Không","",IF(OR(AND(Y321=0,Z321=0),AND(Y321&lt;&gt;0,Z321&lt;&gt;0)),"","Quên chấm công"))</f>
        <v/>
      </c>
      <c r="AD321" s="12">
        <f>IF(VLOOKUP(A321,Data_NV!$A:$I,7,0)="Không",0,IF(AND(Y321=0,Z321=0),0,IF(X321&lt;=Z321,0,ROUNDDOWN((X321-Z321)*24*60,0))))</f>
        <v>0</v>
      </c>
      <c r="AE321" s="12">
        <f>IF(VLOOKUP(A321,Data_NV!$A:$I,6,0)="Không",0,IF(Z321&lt;=X321,0,ROUNDDOWN((Z321-X321)*24*60,0)))</f>
        <v>62</v>
      </c>
      <c r="AF321" s="26">
        <f t="shared" si="19"/>
        <v>0</v>
      </c>
      <c r="AG321" s="27" t="str">
        <f>IF(AC321="","",IF(COUNTIFS($AC$3:AC321,"Quên chấm công",$S$3:S321,S321)&gt;3,"Không chấm công do vi phạm quá 3 lần",IF(COUNTIFS($AC$3:AC321,"Quên chấm công",$S$3:S321,S321)&gt;2,"Trừ toàn bộ chuyên cần tháng do vi phạm lần 3",IF(COUNTIFS($AC$3:AC321,"Quên chấm công",$S$3:S321,S321)&gt;1,"Trừ 1/2 ngày lương",50000))))</f>
        <v/>
      </c>
      <c r="AH321" s="12" t="str">
        <f>IF(AF321=0,"",IF(COUNTIFS($AF$3:AF321,"&gt;0",$S$3:S321,S321)&gt;3,"Trừ toàn bộ chuyên cần tháng",""))</f>
        <v/>
      </c>
      <c r="AI321" s="12"/>
    </row>
    <row r="322" spans="1:35" x14ac:dyDescent="0.25">
      <c r="A322" s="4" t="s">
        <v>501</v>
      </c>
      <c r="B322" s="1" t="s">
        <v>502</v>
      </c>
      <c r="C322" s="1" t="s">
        <v>20</v>
      </c>
      <c r="D322" s="1" t="s">
        <v>100</v>
      </c>
      <c r="E322" s="1" t="s">
        <v>22</v>
      </c>
      <c r="F322" s="1" t="s">
        <v>23</v>
      </c>
      <c r="G322" s="1" t="s">
        <v>29</v>
      </c>
      <c r="H322" s="1" t="s">
        <v>542</v>
      </c>
      <c r="I322" s="1" t="s">
        <v>543</v>
      </c>
      <c r="J322" s="1" t="s">
        <v>25</v>
      </c>
      <c r="K322" s="1" t="s">
        <v>477</v>
      </c>
      <c r="L322" s="1" t="s">
        <v>25</v>
      </c>
      <c r="M322" s="1" t="s">
        <v>26</v>
      </c>
      <c r="N322" s="1" t="s">
        <v>25</v>
      </c>
      <c r="O322" s="1" t="s">
        <v>478</v>
      </c>
      <c r="P322" s="1" t="s">
        <v>25</v>
      </c>
      <c r="Q322" s="1" t="s">
        <v>25</v>
      </c>
      <c r="R322" s="85" t="str">
        <f t="shared" si="16"/>
        <v>2445920</v>
      </c>
      <c r="S322" t="str">
        <f>VLOOKUP(A322,Data_NV!$A:$C,3,0)</f>
        <v xml:space="preserve"> Nguyễn Thiên Trang    </v>
      </c>
      <c r="T322" t="str">
        <f>VLOOKUP(A322,Data_NV!$A:$E,4,0)</f>
        <v>Vận Hành</v>
      </c>
      <c r="U322" s="82">
        <f>DATEVALUE(Table2[[#This Row],[Ngày]])</f>
        <v>45920</v>
      </c>
      <c r="V322" t="str">
        <f>VLOOKUP(A322,Data_NV!$A:$E,5,0)</f>
        <v>Đang làm việc</v>
      </c>
      <c r="W322" s="10">
        <f>VLOOKUP(A322,Data_NV!$A:$I,8,0)</f>
        <v>0.33333333333333331</v>
      </c>
      <c r="X322" s="10">
        <f>VLOOKUP(A322,Data_NV!$A:$I,9,0)</f>
        <v>0.70833333333333337</v>
      </c>
      <c r="Y322" s="10">
        <f>IFERROR(TIMEVALUE(Table2[[#This Row],[Vào]]),0)</f>
        <v>0.31244212962962964</v>
      </c>
      <c r="Z322" s="10">
        <f>IFERROR(TIMEVALUE(Table2[[#This Row],[Ra]]),0)</f>
        <v>0.73893518518518519</v>
      </c>
      <c r="AA322" t="str">
        <f t="shared" si="17"/>
        <v>x</v>
      </c>
      <c r="AB322" s="105">
        <f t="shared" si="18"/>
        <v>0</v>
      </c>
      <c r="AC322" s="12" t="str">
        <f>IF(VLOOKUP(A322,Data_NV!$A:$I,7,0)="Không","",IF(OR(AND(Y322=0,Z322=0),AND(Y322&lt;&gt;0,Z322&lt;&gt;0)),"","Quên chấm công"))</f>
        <v/>
      </c>
      <c r="AD322" s="12">
        <f>IF(VLOOKUP(A322,Data_NV!$A:$I,7,0)="Không",0,IF(AND(Y322=0,Z322=0),0,IF(X322&lt;=Z322,0,ROUNDDOWN((X322-Z322)*24*60,0))))</f>
        <v>0</v>
      </c>
      <c r="AE322" s="12">
        <f>IF(VLOOKUP(A322,Data_NV!$A:$I,6,0)="Không",0,IF(Z322&lt;=X322,0,ROUNDDOWN((Z322-X322)*24*60,0)))</f>
        <v>44</v>
      </c>
      <c r="AF322" s="26">
        <f t="shared" si="19"/>
        <v>0</v>
      </c>
      <c r="AG322" s="27" t="str">
        <f>IF(AC322="","",IF(COUNTIFS($AC$3:AC322,"Quên chấm công",$S$3:S322,S322)&gt;3,"Không chấm công do vi phạm quá 3 lần",IF(COUNTIFS($AC$3:AC322,"Quên chấm công",$S$3:S322,S322)&gt;2,"Trừ toàn bộ chuyên cần tháng do vi phạm lần 3",IF(COUNTIFS($AC$3:AC322,"Quên chấm công",$S$3:S322,S322)&gt;1,"Trừ 1/2 ngày lương",50000))))</f>
        <v/>
      </c>
      <c r="AH322" s="12" t="str">
        <f>IF(AF322=0,"",IF(COUNTIFS($AF$3:AF322,"&gt;0",$S$3:S322,S322)&gt;3,"Trừ toàn bộ chuyên cần tháng",""))</f>
        <v/>
      </c>
      <c r="AI322" s="12"/>
    </row>
    <row r="323" spans="1:35" x14ac:dyDescent="0.25">
      <c r="A323" s="4" t="s">
        <v>501</v>
      </c>
      <c r="B323" s="1" t="s">
        <v>502</v>
      </c>
      <c r="C323" s="1" t="s">
        <v>20</v>
      </c>
      <c r="D323" s="1" t="s">
        <v>105</v>
      </c>
      <c r="E323" s="1" t="s">
        <v>22</v>
      </c>
      <c r="F323" s="1" t="s">
        <v>23</v>
      </c>
      <c r="G323" s="1" t="s">
        <v>12</v>
      </c>
      <c r="H323" s="1" t="s">
        <v>24</v>
      </c>
      <c r="I323" s="1" t="s">
        <v>24</v>
      </c>
      <c r="J323" s="1" t="s">
        <v>25</v>
      </c>
      <c r="K323" s="1" t="s">
        <v>25</v>
      </c>
      <c r="L323" s="1" t="s">
        <v>26</v>
      </c>
      <c r="M323" s="1" t="s">
        <v>25</v>
      </c>
      <c r="N323" s="1" t="s">
        <v>25</v>
      </c>
      <c r="O323" s="1" t="s">
        <v>25</v>
      </c>
      <c r="P323" s="1" t="s">
        <v>25</v>
      </c>
      <c r="Q323" s="1" t="s">
        <v>25</v>
      </c>
      <c r="R323" s="85" t="str">
        <f t="shared" ref="R323:R386" si="20">A323&amp;U323</f>
        <v>2445921</v>
      </c>
      <c r="S323" t="str">
        <f>VLOOKUP(A323,Data_NV!$A:$C,3,0)</f>
        <v xml:space="preserve"> Nguyễn Thiên Trang    </v>
      </c>
      <c r="T323" t="str">
        <f>VLOOKUP(A323,Data_NV!$A:$E,4,0)</f>
        <v>Vận Hành</v>
      </c>
      <c r="U323" s="82">
        <f>DATEVALUE(Table2[[#This Row],[Ngày]])</f>
        <v>45921</v>
      </c>
      <c r="V323" t="str">
        <f>VLOOKUP(A323,Data_NV!$A:$E,5,0)</f>
        <v>Đang làm việc</v>
      </c>
      <c r="W323" s="10">
        <f>VLOOKUP(A323,Data_NV!$A:$I,8,0)</f>
        <v>0.33333333333333331</v>
      </c>
      <c r="X323" s="10">
        <f>VLOOKUP(A323,Data_NV!$A:$I,9,0)</f>
        <v>0.70833333333333337</v>
      </c>
      <c r="Y323" s="10">
        <f>IFERROR(TIMEVALUE(Table2[[#This Row],[Vào]]),0)</f>
        <v>0</v>
      </c>
      <c r="Z323" s="10">
        <f>IFERROR(TIMEVALUE(Table2[[#This Row],[Ra]]),0)</f>
        <v>0</v>
      </c>
      <c r="AA323" t="str">
        <f t="shared" ref="AA323:AA386" si="21">IF(TEXT($U323,"ddd")="CN","Chủ nhật",IF(OR(AND(Y323=0,Z323=0),AG323="Không chấm công do vi phạm quá 3 lần"),"",IF(OR(AG323="Trừ 1/2 ngày lương",AF323="Trừ 1/2 ngày lương",AB323&gt;=60),"1/2","x")))</f>
        <v>Chủ nhật</v>
      </c>
      <c r="AB323" s="105">
        <f t="shared" ref="AB323:AB386" si="22">IF(Y323&lt;=W323,0,(Y323-W323)*24*60)</f>
        <v>0</v>
      </c>
      <c r="AC323" s="12" t="str">
        <f>IF(VLOOKUP(A323,Data_NV!$A:$I,7,0)="Không","",IF(OR(AND(Y323=0,Z323=0),AND(Y323&lt;&gt;0,Z323&lt;&gt;0)),"","Quên chấm công"))</f>
        <v/>
      </c>
      <c r="AD323" s="12">
        <f>IF(VLOOKUP(A323,Data_NV!$A:$I,7,0)="Không",0,IF(AND(Y323=0,Z323=0),0,IF(X323&lt;=Z323,0,ROUNDDOWN((X323-Z323)*24*60,0))))</f>
        <v>0</v>
      </c>
      <c r="AE323" s="12">
        <f>IF(VLOOKUP(A323,Data_NV!$A:$I,6,0)="Không",0,IF(Z323&lt;=X323,0,ROUNDDOWN((Z323-X323)*24*60,0)))</f>
        <v>0</v>
      </c>
      <c r="AF323" s="26">
        <f t="shared" ref="AF323:AF386" si="23">IF(AB323&gt;60,"Trừ 1/2 ngày lương",IF(AB323&gt;15,50000,IF(AB323&gt;6,30000,0)))</f>
        <v>0</v>
      </c>
      <c r="AG323" s="27" t="str">
        <f>IF(AC323="","",IF(COUNTIFS($AC$3:AC323,"Quên chấm công",$S$3:S323,S323)&gt;3,"Không chấm công do vi phạm quá 3 lần",IF(COUNTIFS($AC$3:AC323,"Quên chấm công",$S$3:S323,S323)&gt;2,"Trừ toàn bộ chuyên cần tháng do vi phạm lần 3",IF(COUNTIFS($AC$3:AC323,"Quên chấm công",$S$3:S323,S323)&gt;1,"Trừ 1/2 ngày lương",50000))))</f>
        <v/>
      </c>
      <c r="AH323" s="12" t="str">
        <f>IF(AF323=0,"",IF(COUNTIFS($AF$3:AF323,"&gt;0",$S$3:S323,S323)&gt;3,"Trừ toàn bộ chuyên cần tháng",""))</f>
        <v/>
      </c>
      <c r="AI323" s="12"/>
    </row>
    <row r="324" spans="1:35" x14ac:dyDescent="0.25">
      <c r="A324" s="4" t="s">
        <v>501</v>
      </c>
      <c r="B324" s="1" t="s">
        <v>502</v>
      </c>
      <c r="C324" s="1" t="s">
        <v>20</v>
      </c>
      <c r="D324" s="1" t="s">
        <v>106</v>
      </c>
      <c r="E324" s="1" t="s">
        <v>22</v>
      </c>
      <c r="F324" s="1" t="s">
        <v>23</v>
      </c>
      <c r="G324" s="1" t="s">
        <v>29</v>
      </c>
      <c r="H324" s="1" t="s">
        <v>544</v>
      </c>
      <c r="I324" s="1" t="s">
        <v>545</v>
      </c>
      <c r="J324" s="1" t="s">
        <v>25</v>
      </c>
      <c r="K324" s="1" t="s">
        <v>88</v>
      </c>
      <c r="L324" s="1" t="s">
        <v>25</v>
      </c>
      <c r="M324" s="1" t="s">
        <v>26</v>
      </c>
      <c r="N324" s="1" t="s">
        <v>25</v>
      </c>
      <c r="O324" s="1" t="s">
        <v>89</v>
      </c>
      <c r="P324" s="1" t="s">
        <v>25</v>
      </c>
      <c r="Q324" s="1" t="s">
        <v>25</v>
      </c>
      <c r="R324" s="85" t="str">
        <f t="shared" si="20"/>
        <v>2445922</v>
      </c>
      <c r="S324" t="str">
        <f>VLOOKUP(A324,Data_NV!$A:$C,3,0)</f>
        <v xml:space="preserve"> Nguyễn Thiên Trang    </v>
      </c>
      <c r="T324" t="str">
        <f>VLOOKUP(A324,Data_NV!$A:$E,4,0)</f>
        <v>Vận Hành</v>
      </c>
      <c r="U324" s="82">
        <f>DATEVALUE(Table2[[#This Row],[Ngày]])</f>
        <v>45922</v>
      </c>
      <c r="V324" t="str">
        <f>VLOOKUP(A324,Data_NV!$A:$E,5,0)</f>
        <v>Đang làm việc</v>
      </c>
      <c r="W324" s="10">
        <f>VLOOKUP(A324,Data_NV!$A:$I,8,0)</f>
        <v>0.33333333333333331</v>
      </c>
      <c r="X324" s="10">
        <f>VLOOKUP(A324,Data_NV!$A:$I,9,0)</f>
        <v>0.70833333333333337</v>
      </c>
      <c r="Y324" s="10">
        <f>IFERROR(TIMEVALUE(Table2[[#This Row],[Vào]]),0)</f>
        <v>0.31332175925925926</v>
      </c>
      <c r="Z324" s="10">
        <f>IFERROR(TIMEVALUE(Table2[[#This Row],[Ra]]),0)</f>
        <v>0.77378472222222228</v>
      </c>
      <c r="AA324" t="str">
        <f t="shared" si="21"/>
        <v>x</v>
      </c>
      <c r="AB324" s="105">
        <f t="shared" si="22"/>
        <v>0</v>
      </c>
      <c r="AC324" s="12" t="str">
        <f>IF(VLOOKUP(A324,Data_NV!$A:$I,7,0)="Không","",IF(OR(AND(Y324=0,Z324=0),AND(Y324&lt;&gt;0,Z324&lt;&gt;0)),"","Quên chấm công"))</f>
        <v/>
      </c>
      <c r="AD324" s="12">
        <f>IF(VLOOKUP(A324,Data_NV!$A:$I,7,0)="Không",0,IF(AND(Y324=0,Z324=0),0,IF(X324&lt;=Z324,0,ROUNDDOWN((X324-Z324)*24*60,0))))</f>
        <v>0</v>
      </c>
      <c r="AE324" s="12">
        <f>IF(VLOOKUP(A324,Data_NV!$A:$I,6,0)="Không",0,IF(Z324&lt;=X324,0,ROUNDDOWN((Z324-X324)*24*60,0)))</f>
        <v>94</v>
      </c>
      <c r="AF324" s="26">
        <f t="shared" si="23"/>
        <v>0</v>
      </c>
      <c r="AG324" s="27" t="str">
        <f>IF(AC324="","",IF(COUNTIFS($AC$3:AC324,"Quên chấm công",$S$3:S324,S324)&gt;3,"Không chấm công do vi phạm quá 3 lần",IF(COUNTIFS($AC$3:AC324,"Quên chấm công",$S$3:S324,S324)&gt;2,"Trừ toàn bộ chuyên cần tháng do vi phạm lần 3",IF(COUNTIFS($AC$3:AC324,"Quên chấm công",$S$3:S324,S324)&gt;1,"Trừ 1/2 ngày lương",50000))))</f>
        <v/>
      </c>
      <c r="AH324" s="12" t="str">
        <f>IF(AF324=0,"",IF(COUNTIFS($AF$3:AF324,"&gt;0",$S$3:S324,S324)&gt;3,"Trừ toàn bộ chuyên cần tháng",""))</f>
        <v/>
      </c>
      <c r="AI324" s="12"/>
    </row>
    <row r="325" spans="1:35" x14ac:dyDescent="0.25">
      <c r="A325" s="4" t="s">
        <v>501</v>
      </c>
      <c r="B325" s="1" t="s">
        <v>502</v>
      </c>
      <c r="C325" s="1" t="s">
        <v>20</v>
      </c>
      <c r="D325" s="1" t="s">
        <v>111</v>
      </c>
      <c r="E325" s="1" t="s">
        <v>22</v>
      </c>
      <c r="F325" s="1" t="s">
        <v>23</v>
      </c>
      <c r="G325" s="1" t="s">
        <v>29</v>
      </c>
      <c r="H325" s="1" t="s">
        <v>546</v>
      </c>
      <c r="I325" s="1" t="s">
        <v>547</v>
      </c>
      <c r="J325" s="1" t="s">
        <v>25</v>
      </c>
      <c r="K325" s="1" t="s">
        <v>548</v>
      </c>
      <c r="L325" s="1" t="s">
        <v>25</v>
      </c>
      <c r="M325" s="1" t="s">
        <v>26</v>
      </c>
      <c r="N325" s="1" t="s">
        <v>25</v>
      </c>
      <c r="O325" s="1" t="s">
        <v>33</v>
      </c>
      <c r="P325" s="1" t="s">
        <v>549</v>
      </c>
      <c r="Q325" s="1" t="s">
        <v>25</v>
      </c>
      <c r="R325" s="85" t="str">
        <f t="shared" si="20"/>
        <v>2445923</v>
      </c>
      <c r="S325" t="str">
        <f>VLOOKUP(A325,Data_NV!$A:$C,3,0)</f>
        <v xml:space="preserve"> Nguyễn Thiên Trang    </v>
      </c>
      <c r="T325" t="str">
        <f>VLOOKUP(A325,Data_NV!$A:$E,4,0)</f>
        <v>Vận Hành</v>
      </c>
      <c r="U325" s="82">
        <f>DATEVALUE(Table2[[#This Row],[Ngày]])</f>
        <v>45923</v>
      </c>
      <c r="V325" t="str">
        <f>VLOOKUP(A325,Data_NV!$A:$E,5,0)</f>
        <v>Đang làm việc</v>
      </c>
      <c r="W325" s="10">
        <f>VLOOKUP(A325,Data_NV!$A:$I,8,0)</f>
        <v>0.33333333333333331</v>
      </c>
      <c r="X325" s="10">
        <f>VLOOKUP(A325,Data_NV!$A:$I,9,0)</f>
        <v>0.70833333333333337</v>
      </c>
      <c r="Y325" s="10">
        <f>IFERROR(TIMEVALUE(Table2[[#This Row],[Vào]]),0)</f>
        <v>0.31224537037037037</v>
      </c>
      <c r="Z325" s="10">
        <f>IFERROR(TIMEVALUE(Table2[[#This Row],[Ra]]),0)</f>
        <v>0.81666666666666665</v>
      </c>
      <c r="AA325" t="str">
        <f t="shared" si="21"/>
        <v>x</v>
      </c>
      <c r="AB325" s="105">
        <f t="shared" si="22"/>
        <v>0</v>
      </c>
      <c r="AC325" s="12" t="str">
        <f>IF(VLOOKUP(A325,Data_NV!$A:$I,7,0)="Không","",IF(OR(AND(Y325=0,Z325=0),AND(Y325&lt;&gt;0,Z325&lt;&gt;0)),"","Quên chấm công"))</f>
        <v/>
      </c>
      <c r="AD325" s="12">
        <f>IF(VLOOKUP(A325,Data_NV!$A:$I,7,0)="Không",0,IF(AND(Y325=0,Z325=0),0,IF(X325&lt;=Z325,0,ROUNDDOWN((X325-Z325)*24*60,0))))</f>
        <v>0</v>
      </c>
      <c r="AE325" s="12">
        <f>IF(VLOOKUP(A325,Data_NV!$A:$I,6,0)="Không",0,IF(Z325&lt;=X325,0,ROUNDDOWN((Z325-X325)*24*60,0)))</f>
        <v>156</v>
      </c>
      <c r="AF325" s="26">
        <f t="shared" si="23"/>
        <v>0</v>
      </c>
      <c r="AG325" s="27" t="str">
        <f>IF(AC325="","",IF(COUNTIFS($AC$3:AC325,"Quên chấm công",$S$3:S325,S325)&gt;3,"Không chấm công do vi phạm quá 3 lần",IF(COUNTIFS($AC$3:AC325,"Quên chấm công",$S$3:S325,S325)&gt;2,"Trừ toàn bộ chuyên cần tháng do vi phạm lần 3",IF(COUNTIFS($AC$3:AC325,"Quên chấm công",$S$3:S325,S325)&gt;1,"Trừ 1/2 ngày lương",50000))))</f>
        <v/>
      </c>
      <c r="AH325" s="12" t="str">
        <f>IF(AF325=0,"",IF(COUNTIFS($AF$3:AF325,"&gt;0",$S$3:S325,S325)&gt;3,"Trừ toàn bộ chuyên cần tháng",""))</f>
        <v/>
      </c>
      <c r="AI325" s="12"/>
    </row>
    <row r="326" spans="1:35" x14ac:dyDescent="0.25">
      <c r="A326" s="4" t="s">
        <v>501</v>
      </c>
      <c r="B326" s="1" t="s">
        <v>502</v>
      </c>
      <c r="C326" s="1" t="s">
        <v>20</v>
      </c>
      <c r="D326" s="1" t="s">
        <v>116</v>
      </c>
      <c r="E326" s="1" t="s">
        <v>22</v>
      </c>
      <c r="F326" s="1" t="s">
        <v>23</v>
      </c>
      <c r="G326" s="1" t="s">
        <v>29</v>
      </c>
      <c r="H326" s="1" t="s">
        <v>550</v>
      </c>
      <c r="I326" s="1" t="s">
        <v>551</v>
      </c>
      <c r="J326" s="1" t="s">
        <v>25</v>
      </c>
      <c r="K326" s="1" t="s">
        <v>487</v>
      </c>
      <c r="L326" s="1" t="s">
        <v>25</v>
      </c>
      <c r="M326" s="1" t="s">
        <v>26</v>
      </c>
      <c r="N326" s="1" t="s">
        <v>25</v>
      </c>
      <c r="O326" s="1" t="s">
        <v>33</v>
      </c>
      <c r="P326" s="1" t="s">
        <v>552</v>
      </c>
      <c r="Q326" s="1" t="s">
        <v>25</v>
      </c>
      <c r="R326" s="85" t="str">
        <f t="shared" si="20"/>
        <v>2445924</v>
      </c>
      <c r="S326" t="str">
        <f>VLOOKUP(A326,Data_NV!$A:$C,3,0)</f>
        <v xml:space="preserve"> Nguyễn Thiên Trang    </v>
      </c>
      <c r="T326" t="str">
        <f>VLOOKUP(A326,Data_NV!$A:$E,4,0)</f>
        <v>Vận Hành</v>
      </c>
      <c r="U326" s="82">
        <f>DATEVALUE(Table2[[#This Row],[Ngày]])</f>
        <v>45924</v>
      </c>
      <c r="V326" t="str">
        <f>VLOOKUP(A326,Data_NV!$A:$E,5,0)</f>
        <v>Đang làm việc</v>
      </c>
      <c r="W326" s="10">
        <f>VLOOKUP(A326,Data_NV!$A:$I,8,0)</f>
        <v>0.33333333333333331</v>
      </c>
      <c r="X326" s="10">
        <f>VLOOKUP(A326,Data_NV!$A:$I,9,0)</f>
        <v>0.70833333333333337</v>
      </c>
      <c r="Y326" s="10">
        <f>IFERROR(TIMEVALUE(Table2[[#This Row],[Vào]]),0)</f>
        <v>0.31395833333333334</v>
      </c>
      <c r="Z326" s="10">
        <f>IFERROR(TIMEVALUE(Table2[[#This Row],[Ra]]),0)</f>
        <v>0.83936342592592594</v>
      </c>
      <c r="AA326" t="str">
        <f t="shared" si="21"/>
        <v>x</v>
      </c>
      <c r="AB326" s="105">
        <f t="shared" si="22"/>
        <v>0</v>
      </c>
      <c r="AC326" s="12" t="str">
        <f>IF(VLOOKUP(A326,Data_NV!$A:$I,7,0)="Không","",IF(OR(AND(Y326=0,Z326=0),AND(Y326&lt;&gt;0,Z326&lt;&gt;0)),"","Quên chấm công"))</f>
        <v/>
      </c>
      <c r="AD326" s="12">
        <f>IF(VLOOKUP(A326,Data_NV!$A:$I,7,0)="Không",0,IF(AND(Y326=0,Z326=0),0,IF(X326&lt;=Z326,0,ROUNDDOWN((X326-Z326)*24*60,0))))</f>
        <v>0</v>
      </c>
      <c r="AE326" s="12">
        <f>IF(VLOOKUP(A326,Data_NV!$A:$I,6,0)="Không",0,IF(Z326&lt;=X326,0,ROUNDDOWN((Z326-X326)*24*60,0)))</f>
        <v>188</v>
      </c>
      <c r="AF326" s="26">
        <f t="shared" si="23"/>
        <v>0</v>
      </c>
      <c r="AG326" s="27" t="str">
        <f>IF(AC326="","",IF(COUNTIFS($AC$3:AC326,"Quên chấm công",$S$3:S326,S326)&gt;3,"Không chấm công do vi phạm quá 3 lần",IF(COUNTIFS($AC$3:AC326,"Quên chấm công",$S$3:S326,S326)&gt;2,"Trừ toàn bộ chuyên cần tháng do vi phạm lần 3",IF(COUNTIFS($AC$3:AC326,"Quên chấm công",$S$3:S326,S326)&gt;1,"Trừ 1/2 ngày lương",50000))))</f>
        <v/>
      </c>
      <c r="AH326" s="12" t="str">
        <f>IF(AF326=0,"",IF(COUNTIFS($AF$3:AF326,"&gt;0",$S$3:S326,S326)&gt;3,"Trừ toàn bộ chuyên cần tháng",""))</f>
        <v/>
      </c>
      <c r="AI326" s="12"/>
    </row>
    <row r="327" spans="1:35" x14ac:dyDescent="0.25">
      <c r="A327" s="4" t="s">
        <v>501</v>
      </c>
      <c r="B327" s="1" t="s">
        <v>502</v>
      </c>
      <c r="C327" s="1" t="s">
        <v>20</v>
      </c>
      <c r="D327" s="1" t="s">
        <v>121</v>
      </c>
      <c r="E327" s="1" t="s">
        <v>22</v>
      </c>
      <c r="F327" s="1" t="s">
        <v>23</v>
      </c>
      <c r="G327" s="1" t="s">
        <v>29</v>
      </c>
      <c r="H327" s="1" t="s">
        <v>553</v>
      </c>
      <c r="I327" s="1" t="s">
        <v>554</v>
      </c>
      <c r="J327" s="1" t="s">
        <v>25</v>
      </c>
      <c r="K327" s="1" t="s">
        <v>491</v>
      </c>
      <c r="L327" s="1" t="s">
        <v>25</v>
      </c>
      <c r="M327" s="1" t="s">
        <v>26</v>
      </c>
      <c r="N327" s="1" t="s">
        <v>25</v>
      </c>
      <c r="O327" s="1" t="s">
        <v>492</v>
      </c>
      <c r="P327" s="1" t="s">
        <v>25</v>
      </c>
      <c r="Q327" s="1" t="s">
        <v>25</v>
      </c>
      <c r="R327" s="85" t="str">
        <f t="shared" si="20"/>
        <v>2445925</v>
      </c>
      <c r="S327" t="str">
        <f>VLOOKUP(A327,Data_NV!$A:$C,3,0)</f>
        <v xml:space="preserve"> Nguyễn Thiên Trang    </v>
      </c>
      <c r="T327" t="str">
        <f>VLOOKUP(A327,Data_NV!$A:$E,4,0)</f>
        <v>Vận Hành</v>
      </c>
      <c r="U327" s="82">
        <f>DATEVALUE(Table2[[#This Row],[Ngày]])</f>
        <v>45925</v>
      </c>
      <c r="V327" t="str">
        <f>VLOOKUP(A327,Data_NV!$A:$E,5,0)</f>
        <v>Đang làm việc</v>
      </c>
      <c r="W327" s="10">
        <f>VLOOKUP(A327,Data_NV!$A:$I,8,0)</f>
        <v>0.33333333333333331</v>
      </c>
      <c r="X327" s="10">
        <f>VLOOKUP(A327,Data_NV!$A:$I,9,0)</f>
        <v>0.70833333333333337</v>
      </c>
      <c r="Y327" s="10">
        <f>IFERROR(TIMEVALUE(Table2[[#This Row],[Vào]]),0)</f>
        <v>0.31321759259259258</v>
      </c>
      <c r="Z327" s="10">
        <f>IFERROR(TIMEVALUE(Table2[[#This Row],[Ra]]),0)</f>
        <v>0.76756944444444442</v>
      </c>
      <c r="AA327" t="str">
        <f t="shared" si="21"/>
        <v>x</v>
      </c>
      <c r="AB327" s="105">
        <f t="shared" si="22"/>
        <v>0</v>
      </c>
      <c r="AC327" s="12" t="str">
        <f>IF(VLOOKUP(A327,Data_NV!$A:$I,7,0)="Không","",IF(OR(AND(Y327=0,Z327=0),AND(Y327&lt;&gt;0,Z327&lt;&gt;0)),"","Quên chấm công"))</f>
        <v/>
      </c>
      <c r="AD327" s="12">
        <f>IF(VLOOKUP(A327,Data_NV!$A:$I,7,0)="Không",0,IF(AND(Y327=0,Z327=0),0,IF(X327&lt;=Z327,0,ROUNDDOWN((X327-Z327)*24*60,0))))</f>
        <v>0</v>
      </c>
      <c r="AE327" s="12">
        <f>IF(VLOOKUP(A327,Data_NV!$A:$I,6,0)="Không",0,IF(Z327&lt;=X327,0,ROUNDDOWN((Z327-X327)*24*60,0)))</f>
        <v>85</v>
      </c>
      <c r="AF327" s="26">
        <f t="shared" si="23"/>
        <v>0</v>
      </c>
      <c r="AG327" s="27" t="str">
        <f>IF(AC327="","",IF(COUNTIFS($AC$3:AC327,"Quên chấm công",$S$3:S327,S327)&gt;3,"Không chấm công do vi phạm quá 3 lần",IF(COUNTIFS($AC$3:AC327,"Quên chấm công",$S$3:S327,S327)&gt;2,"Trừ toàn bộ chuyên cần tháng do vi phạm lần 3",IF(COUNTIFS($AC$3:AC327,"Quên chấm công",$S$3:S327,S327)&gt;1,"Trừ 1/2 ngày lương",50000))))</f>
        <v/>
      </c>
      <c r="AH327" s="12" t="str">
        <f>IF(AF327=0,"",IF(COUNTIFS($AF$3:AF327,"&gt;0",$S$3:S327,S327)&gt;3,"Trừ toàn bộ chuyên cần tháng",""))</f>
        <v/>
      </c>
      <c r="AI327" s="12"/>
    </row>
    <row r="328" spans="1:35" x14ac:dyDescent="0.25">
      <c r="A328" s="4" t="s">
        <v>501</v>
      </c>
      <c r="B328" s="1" t="s">
        <v>502</v>
      </c>
      <c r="C328" s="1" t="s">
        <v>20</v>
      </c>
      <c r="D328" s="1" t="s">
        <v>123</v>
      </c>
      <c r="E328" s="1" t="s">
        <v>22</v>
      </c>
      <c r="F328" s="1" t="s">
        <v>23</v>
      </c>
      <c r="G328" s="1" t="s">
        <v>29</v>
      </c>
      <c r="H328" s="1" t="s">
        <v>555</v>
      </c>
      <c r="I328" s="1" t="s">
        <v>556</v>
      </c>
      <c r="J328" s="1" t="s">
        <v>25</v>
      </c>
      <c r="K328" s="1" t="s">
        <v>45</v>
      </c>
      <c r="L328" s="1" t="s">
        <v>25</v>
      </c>
      <c r="M328" s="1" t="s">
        <v>26</v>
      </c>
      <c r="N328" s="1" t="s">
        <v>25</v>
      </c>
      <c r="O328" s="1" t="s">
        <v>46</v>
      </c>
      <c r="P328" s="1" t="s">
        <v>25</v>
      </c>
      <c r="Q328" s="1" t="s">
        <v>25</v>
      </c>
      <c r="R328" s="85" t="str">
        <f t="shared" si="20"/>
        <v>2445926</v>
      </c>
      <c r="S328" t="str">
        <f>VLOOKUP(A328,Data_NV!$A:$C,3,0)</f>
        <v xml:space="preserve"> Nguyễn Thiên Trang    </v>
      </c>
      <c r="T328" t="str">
        <f>VLOOKUP(A328,Data_NV!$A:$E,4,0)</f>
        <v>Vận Hành</v>
      </c>
      <c r="U328" s="82">
        <f>DATEVALUE(Table2[[#This Row],[Ngày]])</f>
        <v>45926</v>
      </c>
      <c r="V328" t="str">
        <f>VLOOKUP(A328,Data_NV!$A:$E,5,0)</f>
        <v>Đang làm việc</v>
      </c>
      <c r="W328" s="10">
        <f>VLOOKUP(A328,Data_NV!$A:$I,8,0)</f>
        <v>0.33333333333333331</v>
      </c>
      <c r="X328" s="10">
        <f>VLOOKUP(A328,Data_NV!$A:$I,9,0)</f>
        <v>0.70833333333333337</v>
      </c>
      <c r="Y328" s="10">
        <f>IFERROR(TIMEVALUE(Table2[[#This Row],[Vào]]),0)</f>
        <v>0.31552083333333331</v>
      </c>
      <c r="Z328" s="10">
        <f>IFERROR(TIMEVALUE(Table2[[#This Row],[Ra]]),0)</f>
        <v>0.7429513888888889</v>
      </c>
      <c r="AA328" t="str">
        <f t="shared" si="21"/>
        <v>x</v>
      </c>
      <c r="AB328" s="105">
        <f t="shared" si="22"/>
        <v>0</v>
      </c>
      <c r="AC328" s="12" t="str">
        <f>IF(VLOOKUP(A328,Data_NV!$A:$I,7,0)="Không","",IF(OR(AND(Y328=0,Z328=0),AND(Y328&lt;&gt;0,Z328&lt;&gt;0)),"","Quên chấm công"))</f>
        <v/>
      </c>
      <c r="AD328" s="12">
        <f>IF(VLOOKUP(A328,Data_NV!$A:$I,7,0)="Không",0,IF(AND(Y328=0,Z328=0),0,IF(X328&lt;=Z328,0,ROUNDDOWN((X328-Z328)*24*60,0))))</f>
        <v>0</v>
      </c>
      <c r="AE328" s="12">
        <f>IF(VLOOKUP(A328,Data_NV!$A:$I,6,0)="Không",0,IF(Z328&lt;=X328,0,ROUNDDOWN((Z328-X328)*24*60,0)))</f>
        <v>49</v>
      </c>
      <c r="AF328" s="26">
        <f t="shared" si="23"/>
        <v>0</v>
      </c>
      <c r="AG328" s="27" t="str">
        <f>IF(AC328="","",IF(COUNTIFS($AC$3:AC328,"Quên chấm công",$S$3:S328,S328)&gt;3,"Không chấm công do vi phạm quá 3 lần",IF(COUNTIFS($AC$3:AC328,"Quên chấm công",$S$3:S328,S328)&gt;2,"Trừ toàn bộ chuyên cần tháng do vi phạm lần 3",IF(COUNTIFS($AC$3:AC328,"Quên chấm công",$S$3:S328,S328)&gt;1,"Trừ 1/2 ngày lương",50000))))</f>
        <v/>
      </c>
      <c r="AH328" s="12" t="str">
        <f>IF(AF328=0,"",IF(COUNTIFS($AF$3:AF328,"&gt;0",$S$3:S328,S328)&gt;3,"Trừ toàn bộ chuyên cần tháng",""))</f>
        <v/>
      </c>
      <c r="AI328" s="12"/>
    </row>
    <row r="329" spans="1:35" x14ac:dyDescent="0.25">
      <c r="A329" s="4" t="s">
        <v>501</v>
      </c>
      <c r="B329" s="1" t="s">
        <v>502</v>
      </c>
      <c r="C329" s="1" t="s">
        <v>20</v>
      </c>
      <c r="D329" s="1" t="s">
        <v>125</v>
      </c>
      <c r="E329" s="1" t="s">
        <v>22</v>
      </c>
      <c r="F329" s="1" t="s">
        <v>23</v>
      </c>
      <c r="G329" s="1" t="s">
        <v>29</v>
      </c>
      <c r="H329" s="1" t="s">
        <v>557</v>
      </c>
      <c r="I329" s="1" t="s">
        <v>558</v>
      </c>
      <c r="J329" s="1" t="s">
        <v>25</v>
      </c>
      <c r="K329" s="1" t="s">
        <v>559</v>
      </c>
      <c r="L329" s="1" t="s">
        <v>25</v>
      </c>
      <c r="M329" s="1" t="s">
        <v>26</v>
      </c>
      <c r="N329" s="1" t="s">
        <v>25</v>
      </c>
      <c r="O329" s="1" t="s">
        <v>560</v>
      </c>
      <c r="P329" s="1" t="s">
        <v>25</v>
      </c>
      <c r="Q329" s="1" t="s">
        <v>25</v>
      </c>
      <c r="R329" s="85" t="str">
        <f t="shared" si="20"/>
        <v>2445927</v>
      </c>
      <c r="S329" t="str">
        <f>VLOOKUP(A329,Data_NV!$A:$C,3,0)</f>
        <v xml:space="preserve"> Nguyễn Thiên Trang    </v>
      </c>
      <c r="T329" t="str">
        <f>VLOOKUP(A329,Data_NV!$A:$E,4,0)</f>
        <v>Vận Hành</v>
      </c>
      <c r="U329" s="82">
        <f>DATEVALUE(Table2[[#This Row],[Ngày]])</f>
        <v>45927</v>
      </c>
      <c r="V329" t="str">
        <f>VLOOKUP(A329,Data_NV!$A:$E,5,0)</f>
        <v>Đang làm việc</v>
      </c>
      <c r="W329" s="10">
        <f>VLOOKUP(A329,Data_NV!$A:$I,8,0)</f>
        <v>0.33333333333333331</v>
      </c>
      <c r="X329" s="10">
        <f>VLOOKUP(A329,Data_NV!$A:$I,9,0)</f>
        <v>0.70833333333333337</v>
      </c>
      <c r="Y329" s="10">
        <f>IFERROR(TIMEVALUE(Table2[[#This Row],[Vào]]),0)</f>
        <v>0.31236111111111109</v>
      </c>
      <c r="Z329" s="10">
        <f>IFERROR(TIMEVALUE(Table2[[#This Row],[Ra]]),0)</f>
        <v>0.73519675925925931</v>
      </c>
      <c r="AA329" t="str">
        <f t="shared" si="21"/>
        <v>x</v>
      </c>
      <c r="AB329" s="105">
        <f t="shared" si="22"/>
        <v>0</v>
      </c>
      <c r="AC329" s="12" t="str">
        <f>IF(VLOOKUP(A329,Data_NV!$A:$I,7,0)="Không","",IF(OR(AND(Y329=0,Z329=0),AND(Y329&lt;&gt;0,Z329&lt;&gt;0)),"","Quên chấm công"))</f>
        <v/>
      </c>
      <c r="AD329" s="12">
        <f>IF(VLOOKUP(A329,Data_NV!$A:$I,7,0)="Không",0,IF(AND(Y329=0,Z329=0),0,IF(X329&lt;=Z329,0,ROUNDDOWN((X329-Z329)*24*60,0))))</f>
        <v>0</v>
      </c>
      <c r="AE329" s="12">
        <f>IF(VLOOKUP(A329,Data_NV!$A:$I,6,0)="Không",0,IF(Z329&lt;=X329,0,ROUNDDOWN((Z329-X329)*24*60,0)))</f>
        <v>38</v>
      </c>
      <c r="AF329" s="26">
        <f t="shared" si="23"/>
        <v>0</v>
      </c>
      <c r="AG329" s="27" t="str">
        <f>IF(AC329="","",IF(COUNTIFS($AC$3:AC329,"Quên chấm công",$S$3:S329,S329)&gt;3,"Không chấm công do vi phạm quá 3 lần",IF(COUNTIFS($AC$3:AC329,"Quên chấm công",$S$3:S329,S329)&gt;2,"Trừ toàn bộ chuyên cần tháng do vi phạm lần 3",IF(COUNTIFS($AC$3:AC329,"Quên chấm công",$S$3:S329,S329)&gt;1,"Trừ 1/2 ngày lương",50000))))</f>
        <v/>
      </c>
      <c r="AH329" s="12" t="str">
        <f>IF(AF329=0,"",IF(COUNTIFS($AF$3:AF329,"&gt;0",$S$3:S329,S329)&gt;3,"Trừ toàn bộ chuyên cần tháng",""))</f>
        <v/>
      </c>
      <c r="AI329" s="12"/>
    </row>
    <row r="330" spans="1:35" x14ac:dyDescent="0.25">
      <c r="A330" s="4" t="s">
        <v>501</v>
      </c>
      <c r="B330" s="1" t="s">
        <v>502</v>
      </c>
      <c r="C330" s="1" t="s">
        <v>20</v>
      </c>
      <c r="D330" s="1" t="s">
        <v>130</v>
      </c>
      <c r="E330" s="1" t="s">
        <v>22</v>
      </c>
      <c r="F330" s="1" t="s">
        <v>23</v>
      </c>
      <c r="G330" s="1" t="s">
        <v>12</v>
      </c>
      <c r="H330" s="1" t="s">
        <v>24</v>
      </c>
      <c r="I330" s="1" t="s">
        <v>24</v>
      </c>
      <c r="J330" s="1" t="s">
        <v>25</v>
      </c>
      <c r="K330" s="1" t="s">
        <v>25</v>
      </c>
      <c r="L330" s="1" t="s">
        <v>26</v>
      </c>
      <c r="M330" s="1" t="s">
        <v>25</v>
      </c>
      <c r="N330" s="1" t="s">
        <v>25</v>
      </c>
      <c r="O330" s="1" t="s">
        <v>25</v>
      </c>
      <c r="P330" s="1" t="s">
        <v>25</v>
      </c>
      <c r="Q330" s="1" t="s">
        <v>25</v>
      </c>
      <c r="R330" s="85" t="str">
        <f t="shared" si="20"/>
        <v>2445928</v>
      </c>
      <c r="S330" t="str">
        <f>VLOOKUP(A330,Data_NV!$A:$C,3,0)</f>
        <v xml:space="preserve"> Nguyễn Thiên Trang    </v>
      </c>
      <c r="T330" t="str">
        <f>VLOOKUP(A330,Data_NV!$A:$E,4,0)</f>
        <v>Vận Hành</v>
      </c>
      <c r="U330" s="82">
        <f>DATEVALUE(Table2[[#This Row],[Ngày]])</f>
        <v>45928</v>
      </c>
      <c r="V330" t="str">
        <f>VLOOKUP(A330,Data_NV!$A:$E,5,0)</f>
        <v>Đang làm việc</v>
      </c>
      <c r="W330" s="10">
        <f>VLOOKUP(A330,Data_NV!$A:$I,8,0)</f>
        <v>0.33333333333333331</v>
      </c>
      <c r="X330" s="10">
        <f>VLOOKUP(A330,Data_NV!$A:$I,9,0)</f>
        <v>0.70833333333333337</v>
      </c>
      <c r="Y330" s="10">
        <f>IFERROR(TIMEVALUE(Table2[[#This Row],[Vào]]),0)</f>
        <v>0</v>
      </c>
      <c r="Z330" s="10">
        <f>IFERROR(TIMEVALUE(Table2[[#This Row],[Ra]]),0)</f>
        <v>0</v>
      </c>
      <c r="AA330" t="str">
        <f t="shared" si="21"/>
        <v>Chủ nhật</v>
      </c>
      <c r="AB330" s="105">
        <f t="shared" si="22"/>
        <v>0</v>
      </c>
      <c r="AC330" s="12" t="str">
        <f>IF(VLOOKUP(A330,Data_NV!$A:$I,7,0)="Không","",IF(OR(AND(Y330=0,Z330=0),AND(Y330&lt;&gt;0,Z330&lt;&gt;0)),"","Quên chấm công"))</f>
        <v/>
      </c>
      <c r="AD330" s="12">
        <f>IF(VLOOKUP(A330,Data_NV!$A:$I,7,0)="Không",0,IF(AND(Y330=0,Z330=0),0,IF(X330&lt;=Z330,0,ROUNDDOWN((X330-Z330)*24*60,0))))</f>
        <v>0</v>
      </c>
      <c r="AE330" s="12">
        <f>IF(VLOOKUP(A330,Data_NV!$A:$I,6,0)="Không",0,IF(Z330&lt;=X330,0,ROUNDDOWN((Z330-X330)*24*60,0)))</f>
        <v>0</v>
      </c>
      <c r="AF330" s="26">
        <f t="shared" si="23"/>
        <v>0</v>
      </c>
      <c r="AG330" s="27" t="str">
        <f>IF(AC330="","",IF(COUNTIFS($AC$3:AC330,"Quên chấm công",$S$3:S330,S330)&gt;3,"Không chấm công do vi phạm quá 3 lần",IF(COUNTIFS($AC$3:AC330,"Quên chấm công",$S$3:S330,S330)&gt;2,"Trừ toàn bộ chuyên cần tháng do vi phạm lần 3",IF(COUNTIFS($AC$3:AC330,"Quên chấm công",$S$3:S330,S330)&gt;1,"Trừ 1/2 ngày lương",50000))))</f>
        <v/>
      </c>
      <c r="AH330" s="12" t="str">
        <f>IF(AF330=0,"",IF(COUNTIFS($AF$3:AF330,"&gt;0",$S$3:S330,S330)&gt;3,"Trừ toàn bộ chuyên cần tháng",""))</f>
        <v/>
      </c>
      <c r="AI330" s="12"/>
    </row>
    <row r="331" spans="1:35" x14ac:dyDescent="0.25">
      <c r="A331" s="4" t="s">
        <v>501</v>
      </c>
      <c r="B331" s="1" t="s">
        <v>502</v>
      </c>
      <c r="C331" s="1" t="s">
        <v>20</v>
      </c>
      <c r="D331" s="1" t="s">
        <v>131</v>
      </c>
      <c r="E331" s="1" t="s">
        <v>22</v>
      </c>
      <c r="F331" s="1" t="s">
        <v>23</v>
      </c>
      <c r="G331" s="1" t="s">
        <v>29</v>
      </c>
      <c r="H331" s="1" t="s">
        <v>561</v>
      </c>
      <c r="I331" s="1" t="s">
        <v>562</v>
      </c>
      <c r="J331" s="1" t="s">
        <v>25</v>
      </c>
      <c r="K331" s="1" t="s">
        <v>563</v>
      </c>
      <c r="L331" s="1" t="s">
        <v>25</v>
      </c>
      <c r="M331" s="1" t="s">
        <v>26</v>
      </c>
      <c r="N331" s="1" t="s">
        <v>25</v>
      </c>
      <c r="O331" s="1" t="s">
        <v>33</v>
      </c>
      <c r="P331" s="1" t="s">
        <v>322</v>
      </c>
      <c r="Q331" s="1" t="s">
        <v>25</v>
      </c>
      <c r="R331" s="85" t="str">
        <f t="shared" si="20"/>
        <v>2445929</v>
      </c>
      <c r="S331" t="str">
        <f>VLOOKUP(A331,Data_NV!$A:$C,3,0)</f>
        <v xml:space="preserve"> Nguyễn Thiên Trang    </v>
      </c>
      <c r="T331" t="str">
        <f>VLOOKUP(A331,Data_NV!$A:$E,4,0)</f>
        <v>Vận Hành</v>
      </c>
      <c r="U331" s="82">
        <f>DATEVALUE(Table2[[#This Row],[Ngày]])</f>
        <v>45929</v>
      </c>
      <c r="V331" t="str">
        <f>VLOOKUP(A331,Data_NV!$A:$E,5,0)</f>
        <v>Đang làm việc</v>
      </c>
      <c r="W331" s="10">
        <f>VLOOKUP(A331,Data_NV!$A:$I,8,0)</f>
        <v>0.33333333333333331</v>
      </c>
      <c r="X331" s="10">
        <f>VLOOKUP(A331,Data_NV!$A:$I,9,0)</f>
        <v>0.70833333333333337</v>
      </c>
      <c r="Y331" s="10">
        <f>IFERROR(TIMEVALUE(Table2[[#This Row],[Vào]]),0)</f>
        <v>0.31472222222222224</v>
      </c>
      <c r="Z331" s="10">
        <f>IFERROR(TIMEVALUE(Table2[[#This Row],[Ra]]),0)</f>
        <v>0.80104166666666665</v>
      </c>
      <c r="AA331" t="str">
        <f t="shared" si="21"/>
        <v>x</v>
      </c>
      <c r="AB331" s="105">
        <f t="shared" si="22"/>
        <v>0</v>
      </c>
      <c r="AC331" s="12" t="str">
        <f>IF(VLOOKUP(A331,Data_NV!$A:$I,7,0)="Không","",IF(OR(AND(Y331=0,Z331=0),AND(Y331&lt;&gt;0,Z331&lt;&gt;0)),"","Quên chấm công"))</f>
        <v/>
      </c>
      <c r="AD331" s="12">
        <f>IF(VLOOKUP(A331,Data_NV!$A:$I,7,0)="Không",0,IF(AND(Y331=0,Z331=0),0,IF(X331&lt;=Z331,0,ROUNDDOWN((X331-Z331)*24*60,0))))</f>
        <v>0</v>
      </c>
      <c r="AE331" s="12">
        <f>IF(VLOOKUP(A331,Data_NV!$A:$I,6,0)="Không",0,IF(Z331&lt;=X331,0,ROUNDDOWN((Z331-X331)*24*60,0)))</f>
        <v>133</v>
      </c>
      <c r="AF331" s="26">
        <f t="shared" si="23"/>
        <v>0</v>
      </c>
      <c r="AG331" s="27" t="str">
        <f>IF(AC331="","",IF(COUNTIFS($AC$3:AC331,"Quên chấm công",$S$3:S331,S331)&gt;3,"Không chấm công do vi phạm quá 3 lần",IF(COUNTIFS($AC$3:AC331,"Quên chấm công",$S$3:S331,S331)&gt;2,"Trừ toàn bộ chuyên cần tháng do vi phạm lần 3",IF(COUNTIFS($AC$3:AC331,"Quên chấm công",$S$3:S331,S331)&gt;1,"Trừ 1/2 ngày lương",50000))))</f>
        <v/>
      </c>
      <c r="AH331" s="12" t="str">
        <f>IF(AF331=0,"",IF(COUNTIFS($AF$3:AF331,"&gt;0",$S$3:S331,S331)&gt;3,"Trừ toàn bộ chuyên cần tháng",""))</f>
        <v/>
      </c>
      <c r="AI331" s="12"/>
    </row>
    <row r="332" spans="1:35" x14ac:dyDescent="0.25">
      <c r="A332" s="4" t="s">
        <v>501</v>
      </c>
      <c r="B332" s="1" t="s">
        <v>502</v>
      </c>
      <c r="C332" s="1" t="s">
        <v>20</v>
      </c>
      <c r="D332" s="1" t="s">
        <v>136</v>
      </c>
      <c r="E332" s="1" t="s">
        <v>22</v>
      </c>
      <c r="F332" s="1" t="s">
        <v>23</v>
      </c>
      <c r="G332" s="1" t="s">
        <v>29</v>
      </c>
      <c r="H332" s="1" t="s">
        <v>550</v>
      </c>
      <c r="I332" s="1" t="s">
        <v>564</v>
      </c>
      <c r="J332" s="1" t="s">
        <v>25</v>
      </c>
      <c r="K332" s="1" t="s">
        <v>565</v>
      </c>
      <c r="L332" s="1" t="s">
        <v>25</v>
      </c>
      <c r="M332" s="1" t="s">
        <v>26</v>
      </c>
      <c r="N332" s="1" t="s">
        <v>25</v>
      </c>
      <c r="O332" s="1" t="s">
        <v>505</v>
      </c>
      <c r="P332" s="1" t="s">
        <v>25</v>
      </c>
      <c r="Q332" s="1" t="s">
        <v>25</v>
      </c>
      <c r="R332" s="85" t="str">
        <f t="shared" si="20"/>
        <v>2445930</v>
      </c>
      <c r="S332" t="str">
        <f>VLOOKUP(A332,Data_NV!$A:$C,3,0)</f>
        <v xml:space="preserve"> Nguyễn Thiên Trang    </v>
      </c>
      <c r="T332" t="str">
        <f>VLOOKUP(A332,Data_NV!$A:$E,4,0)</f>
        <v>Vận Hành</v>
      </c>
      <c r="U332" s="82">
        <f>DATEVALUE(Table2[[#This Row],[Ngày]])</f>
        <v>45930</v>
      </c>
      <c r="V332" t="str">
        <f>VLOOKUP(A332,Data_NV!$A:$E,5,0)</f>
        <v>Đang làm việc</v>
      </c>
      <c r="W332" s="10">
        <f>VLOOKUP(A332,Data_NV!$A:$I,8,0)</f>
        <v>0.33333333333333331</v>
      </c>
      <c r="X332" s="10">
        <f>VLOOKUP(A332,Data_NV!$A:$I,9,0)</f>
        <v>0.70833333333333337</v>
      </c>
      <c r="Y332" s="10">
        <f>IFERROR(TIMEVALUE(Table2[[#This Row],[Vào]]),0)</f>
        <v>0.31395833333333334</v>
      </c>
      <c r="Z332" s="10">
        <f>IFERROR(TIMEVALUE(Table2[[#This Row],[Ra]]),0)</f>
        <v>0.7702430555555555</v>
      </c>
      <c r="AA332" t="str">
        <f t="shared" si="21"/>
        <v>x</v>
      </c>
      <c r="AB332" s="105">
        <f t="shared" si="22"/>
        <v>0</v>
      </c>
      <c r="AC332" s="12" t="str">
        <f>IF(VLOOKUP(A332,Data_NV!$A:$I,7,0)="Không","",IF(OR(AND(Y332=0,Z332=0),AND(Y332&lt;&gt;0,Z332&lt;&gt;0)),"","Quên chấm công"))</f>
        <v/>
      </c>
      <c r="AD332" s="12">
        <f>IF(VLOOKUP(A332,Data_NV!$A:$I,7,0)="Không",0,IF(AND(Y332=0,Z332=0),0,IF(X332&lt;=Z332,0,ROUNDDOWN((X332-Z332)*24*60,0))))</f>
        <v>0</v>
      </c>
      <c r="AE332" s="12">
        <f>IF(VLOOKUP(A332,Data_NV!$A:$I,6,0)="Không",0,IF(Z332&lt;=X332,0,ROUNDDOWN((Z332-X332)*24*60,0)))</f>
        <v>89</v>
      </c>
      <c r="AF332" s="26">
        <f t="shared" si="23"/>
        <v>0</v>
      </c>
      <c r="AG332" s="27" t="str">
        <f>IF(AC332="","",IF(COUNTIFS($AC$3:AC332,"Quên chấm công",$S$3:S332,S332)&gt;3,"Không chấm công do vi phạm quá 3 lần",IF(COUNTIFS($AC$3:AC332,"Quên chấm công",$S$3:S332,S332)&gt;2,"Trừ toàn bộ chuyên cần tháng do vi phạm lần 3",IF(COUNTIFS($AC$3:AC332,"Quên chấm công",$S$3:S332,S332)&gt;1,"Trừ 1/2 ngày lương",50000))))</f>
        <v/>
      </c>
      <c r="AH332" s="12" t="str">
        <f>IF(AF332=0,"",IF(COUNTIFS($AF$3:AF332,"&gt;0",$S$3:S332,S332)&gt;3,"Trừ toàn bộ chuyên cần tháng",""))</f>
        <v/>
      </c>
      <c r="AI332" s="12"/>
    </row>
    <row r="333" spans="1:35" x14ac:dyDescent="0.25">
      <c r="A333" s="4" t="s">
        <v>566</v>
      </c>
      <c r="B333" s="1" t="s">
        <v>567</v>
      </c>
      <c r="C333" s="1" t="s">
        <v>20</v>
      </c>
      <c r="D333" s="1" t="s">
        <v>21</v>
      </c>
      <c r="E333" s="1" t="s">
        <v>22</v>
      </c>
      <c r="F333" s="1" t="s">
        <v>23</v>
      </c>
      <c r="G333" s="1" t="s">
        <v>12</v>
      </c>
      <c r="H333" s="1" t="s">
        <v>24</v>
      </c>
      <c r="I333" s="1" t="s">
        <v>24</v>
      </c>
      <c r="J333" s="1" t="s">
        <v>25</v>
      </c>
      <c r="K333" s="1" t="s">
        <v>25</v>
      </c>
      <c r="L333" s="1" t="s">
        <v>26</v>
      </c>
      <c r="M333" s="1" t="s">
        <v>25</v>
      </c>
      <c r="N333" s="1" t="s">
        <v>25</v>
      </c>
      <c r="O333" s="1" t="s">
        <v>25</v>
      </c>
      <c r="P333" s="1" t="s">
        <v>25</v>
      </c>
      <c r="Q333" s="1" t="s">
        <v>25</v>
      </c>
      <c r="R333" s="85" t="str">
        <f t="shared" si="20"/>
        <v>2545901</v>
      </c>
      <c r="S333" t="str">
        <f>VLOOKUP(A333,Data_NV!$A:$C,3,0)</f>
        <v xml:space="preserve"> Nguyễn Hoàng Thực    </v>
      </c>
      <c r="T333" t="str">
        <f>VLOOKUP(A333,Data_NV!$A:$E,4,0)</f>
        <v>Vận Hành</v>
      </c>
      <c r="U333" s="82">
        <f>DATEVALUE(Table2[[#This Row],[Ngày]])</f>
        <v>45901</v>
      </c>
      <c r="V333" t="str">
        <f>VLOOKUP(A333,Data_NV!$A:$E,5,0)</f>
        <v>Đang làm việc</v>
      </c>
      <c r="W333" s="10">
        <f>VLOOKUP(A333,Data_NV!$A:$I,8,0)</f>
        <v>0.3125</v>
      </c>
      <c r="X333" s="10">
        <f>VLOOKUP(A333,Data_NV!$A:$I,9,0)</f>
        <v>0.6875</v>
      </c>
      <c r="Y333" s="10">
        <f>IFERROR(TIMEVALUE(Table2[[#This Row],[Vào]]),0)</f>
        <v>0</v>
      </c>
      <c r="Z333" s="10">
        <f>IFERROR(TIMEVALUE(Table2[[#This Row],[Ra]]),0)</f>
        <v>0</v>
      </c>
      <c r="AA333" s="97" t="s">
        <v>1349</v>
      </c>
      <c r="AB333" s="105">
        <f t="shared" si="22"/>
        <v>0</v>
      </c>
      <c r="AC333" s="12" t="str">
        <f>IF(VLOOKUP(A333,Data_NV!$A:$I,7,0)="Không","",IF(OR(AND(Y333=0,Z333=0),AND(Y333&lt;&gt;0,Z333&lt;&gt;0)),"","Quên chấm công"))</f>
        <v/>
      </c>
      <c r="AD333" s="12">
        <f>IF(VLOOKUP(A333,Data_NV!$A:$I,7,0)="Không",0,IF(AND(Y333=0,Z333=0),0,IF(X333&lt;=Z333,0,ROUNDDOWN((X333-Z333)*24*60,0))))</f>
        <v>0</v>
      </c>
      <c r="AE333" s="12">
        <f>IF(VLOOKUP(A333,Data_NV!$A:$I,6,0)="Không",0,IF(Z333&lt;=X333,0,ROUNDDOWN((Z333-X333)*24*60,0)))</f>
        <v>0</v>
      </c>
      <c r="AF333" s="26">
        <f t="shared" si="23"/>
        <v>0</v>
      </c>
      <c r="AG333" s="27" t="str">
        <f>IF(AC333="","",IF(COUNTIFS($AC$3:AC333,"Quên chấm công",$S$3:S333,S333)&gt;3,"Không chấm công do vi phạm quá 3 lần",IF(COUNTIFS($AC$3:AC333,"Quên chấm công",$S$3:S333,S333)&gt;2,"Trừ toàn bộ chuyên cần tháng do vi phạm lần 3",IF(COUNTIFS($AC$3:AC333,"Quên chấm công",$S$3:S333,S333)&gt;1,"Trừ 1/2 ngày lương",50000))))</f>
        <v/>
      </c>
      <c r="AH333" s="12" t="str">
        <f>IF(AF333=0,"",IF(COUNTIFS($AF$3:AF333,"&gt;0",$S$3:S333,S333)&gt;3,"Trừ toàn bộ chuyên cần tháng",""))</f>
        <v/>
      </c>
      <c r="AI333" s="98" t="s">
        <v>1369</v>
      </c>
    </row>
    <row r="334" spans="1:35" x14ac:dyDescent="0.25">
      <c r="A334" s="4" t="s">
        <v>566</v>
      </c>
      <c r="B334" s="1" t="s">
        <v>567</v>
      </c>
      <c r="C334" s="1" t="s">
        <v>20</v>
      </c>
      <c r="D334" s="1" t="s">
        <v>27</v>
      </c>
      <c r="E334" s="1" t="s">
        <v>22</v>
      </c>
      <c r="F334" s="1" t="s">
        <v>23</v>
      </c>
      <c r="G334" s="1" t="s">
        <v>12</v>
      </c>
      <c r="H334" s="1" t="s">
        <v>24</v>
      </c>
      <c r="I334" s="1" t="s">
        <v>24</v>
      </c>
      <c r="J334" s="1" t="s">
        <v>25</v>
      </c>
      <c r="K334" s="1" t="s">
        <v>25</v>
      </c>
      <c r="L334" s="1" t="s">
        <v>26</v>
      </c>
      <c r="M334" s="1" t="s">
        <v>25</v>
      </c>
      <c r="N334" s="1" t="s">
        <v>25</v>
      </c>
      <c r="O334" s="1" t="s">
        <v>25</v>
      </c>
      <c r="P334" s="1" t="s">
        <v>25</v>
      </c>
      <c r="Q334" s="1" t="s">
        <v>25</v>
      </c>
      <c r="R334" s="85" t="str">
        <f t="shared" si="20"/>
        <v>2545902</v>
      </c>
      <c r="S334" t="str">
        <f>VLOOKUP(A334,Data_NV!$A:$C,3,0)</f>
        <v xml:space="preserve"> Nguyễn Hoàng Thực    </v>
      </c>
      <c r="T334" t="str">
        <f>VLOOKUP(A334,Data_NV!$A:$E,4,0)</f>
        <v>Vận Hành</v>
      </c>
      <c r="U334" s="82">
        <f>DATEVALUE(Table2[[#This Row],[Ngày]])</f>
        <v>45902</v>
      </c>
      <c r="V334" t="str">
        <f>VLOOKUP(A334,Data_NV!$A:$E,5,0)</f>
        <v>Đang làm việc</v>
      </c>
      <c r="W334" s="10">
        <f>VLOOKUP(A334,Data_NV!$A:$I,8,0)</f>
        <v>0.3125</v>
      </c>
      <c r="X334" s="10">
        <f>VLOOKUP(A334,Data_NV!$A:$I,9,0)</f>
        <v>0.6875</v>
      </c>
      <c r="Y334" s="10">
        <f>IFERROR(TIMEVALUE(Table2[[#This Row],[Vào]]),0)</f>
        <v>0</v>
      </c>
      <c r="Z334" s="10">
        <f>IFERROR(TIMEVALUE(Table2[[#This Row],[Ra]]),0)</f>
        <v>0</v>
      </c>
      <c r="AA334" s="97" t="s">
        <v>1349</v>
      </c>
      <c r="AB334" s="105">
        <f t="shared" si="22"/>
        <v>0</v>
      </c>
      <c r="AC334" s="12" t="str">
        <f>IF(VLOOKUP(A334,Data_NV!$A:$I,7,0)="Không","",IF(OR(AND(Y334=0,Z334=0),AND(Y334&lt;&gt;0,Z334&lt;&gt;0)),"","Quên chấm công"))</f>
        <v/>
      </c>
      <c r="AD334" s="12">
        <f>IF(VLOOKUP(A334,Data_NV!$A:$I,7,0)="Không",0,IF(AND(Y334=0,Z334=0),0,IF(X334&lt;=Z334,0,ROUNDDOWN((X334-Z334)*24*60,0))))</f>
        <v>0</v>
      </c>
      <c r="AE334" s="12">
        <f>IF(VLOOKUP(A334,Data_NV!$A:$I,6,0)="Không",0,IF(Z334&lt;=X334,0,ROUNDDOWN((Z334-X334)*24*60,0)))</f>
        <v>0</v>
      </c>
      <c r="AF334" s="26">
        <f t="shared" si="23"/>
        <v>0</v>
      </c>
      <c r="AG334" s="27" t="str">
        <f>IF(AC334="","",IF(COUNTIFS($AC$3:AC334,"Quên chấm công",$S$3:S334,S334)&gt;3,"Không chấm công do vi phạm quá 3 lần",IF(COUNTIFS($AC$3:AC334,"Quên chấm công",$S$3:S334,S334)&gt;2,"Trừ toàn bộ chuyên cần tháng do vi phạm lần 3",IF(COUNTIFS($AC$3:AC334,"Quên chấm công",$S$3:S334,S334)&gt;1,"Trừ 1/2 ngày lương",50000))))</f>
        <v/>
      </c>
      <c r="AH334" s="12" t="str">
        <f>IF(AF334=0,"",IF(COUNTIFS($AF$3:AF334,"&gt;0",$S$3:S334,S334)&gt;3,"Trừ toàn bộ chuyên cần tháng",""))</f>
        <v/>
      </c>
      <c r="AI334" s="98" t="s">
        <v>1369</v>
      </c>
    </row>
    <row r="335" spans="1:35" x14ac:dyDescent="0.25">
      <c r="A335" s="4" t="s">
        <v>566</v>
      </c>
      <c r="B335" s="1" t="s">
        <v>567</v>
      </c>
      <c r="C335" s="1" t="s">
        <v>20</v>
      </c>
      <c r="D335" s="1" t="s">
        <v>28</v>
      </c>
      <c r="E335" s="1" t="s">
        <v>22</v>
      </c>
      <c r="F335" s="1" t="s">
        <v>23</v>
      </c>
      <c r="G335" s="1" t="s">
        <v>12</v>
      </c>
      <c r="H335" s="1" t="s">
        <v>568</v>
      </c>
      <c r="I335" s="1" t="s">
        <v>24</v>
      </c>
      <c r="J335" s="1" t="s">
        <v>25</v>
      </c>
      <c r="K335" s="1" t="s">
        <v>25</v>
      </c>
      <c r="L335" s="1" t="s">
        <v>26</v>
      </c>
      <c r="M335" s="1" t="s">
        <v>25</v>
      </c>
      <c r="N335" s="1" t="s">
        <v>25</v>
      </c>
      <c r="O335" s="1" t="s">
        <v>25</v>
      </c>
      <c r="P335" s="1" t="s">
        <v>25</v>
      </c>
      <c r="Q335" s="1" t="s">
        <v>25</v>
      </c>
      <c r="R335" s="85" t="str">
        <f t="shared" si="20"/>
        <v>2545903</v>
      </c>
      <c r="S335" t="str">
        <f>VLOOKUP(A335,Data_NV!$A:$C,3,0)</f>
        <v xml:space="preserve"> Nguyễn Hoàng Thực    </v>
      </c>
      <c r="T335" t="str">
        <f>VLOOKUP(A335,Data_NV!$A:$E,4,0)</f>
        <v>Vận Hành</v>
      </c>
      <c r="U335" s="82">
        <f>DATEVALUE(Table2[[#This Row],[Ngày]])</f>
        <v>45903</v>
      </c>
      <c r="V335" t="str">
        <f>VLOOKUP(A335,Data_NV!$A:$E,5,0)</f>
        <v>Đang làm việc</v>
      </c>
      <c r="W335" s="10">
        <f>VLOOKUP(A335,Data_NV!$A:$I,8,0)</f>
        <v>0.3125</v>
      </c>
      <c r="X335" s="10">
        <f>VLOOKUP(A335,Data_NV!$A:$I,9,0)</f>
        <v>0.6875</v>
      </c>
      <c r="Y335" s="10">
        <f>IFERROR(TIMEVALUE(Table2[[#This Row],[Vào]]),0)</f>
        <v>0.3142361111111111</v>
      </c>
      <c r="Z335" s="10">
        <f>IFERROR(TIMEVALUE(Table2[[#This Row],[Ra]]),0)</f>
        <v>0</v>
      </c>
      <c r="AA335" t="str">
        <f t="shared" si="21"/>
        <v>x</v>
      </c>
      <c r="AB335" s="105">
        <f t="shared" si="22"/>
        <v>2.4999999999999911</v>
      </c>
      <c r="AC335" s="12" t="str">
        <f>IF(VLOOKUP(A335,Data_NV!$A:$I,7,0)="Không","",IF(OR(AND(Y335=0,Z335=0),AND(Y335&lt;&gt;0,Z335&lt;&gt;0)),"","Quên chấm công"))</f>
        <v/>
      </c>
      <c r="AD335" s="12">
        <f>IF(VLOOKUP(A335,Data_NV!$A:$I,7,0)="Không",0,IF(AND(Y335=0,Z335=0),0,IF(X335&lt;=Z335,0,ROUNDDOWN((X335-Z335)*24*60,0))))</f>
        <v>0</v>
      </c>
      <c r="AE335" s="12">
        <f>IF(VLOOKUP(A335,Data_NV!$A:$I,6,0)="Không",0,IF(Z335&lt;=X335,0,ROUNDDOWN((Z335-X335)*24*60,0)))</f>
        <v>0</v>
      </c>
      <c r="AF335" s="26">
        <f t="shared" si="23"/>
        <v>0</v>
      </c>
      <c r="AG335" s="27" t="str">
        <f>IF(AC335="","",IF(COUNTIFS($AC$3:AC335,"Quên chấm công",$S$3:S335,S335)&gt;3,"Không chấm công do vi phạm quá 3 lần",IF(COUNTIFS($AC$3:AC335,"Quên chấm công",$S$3:S335,S335)&gt;2,"Trừ toàn bộ chuyên cần tháng do vi phạm lần 3",IF(COUNTIFS($AC$3:AC335,"Quên chấm công",$S$3:S335,S335)&gt;1,"Trừ 1/2 ngày lương",50000))))</f>
        <v/>
      </c>
      <c r="AH335" s="12" t="str">
        <f>IF(AF335=0,"",IF(COUNTIFS($AF$3:AF335,"&gt;0",$S$3:S335,S335)&gt;3,"Trừ toàn bộ chuyên cần tháng",""))</f>
        <v/>
      </c>
      <c r="AI335" s="12"/>
    </row>
    <row r="336" spans="1:35" x14ac:dyDescent="0.25">
      <c r="A336" s="4" t="s">
        <v>566</v>
      </c>
      <c r="B336" s="1" t="s">
        <v>567</v>
      </c>
      <c r="C336" s="1" t="s">
        <v>20</v>
      </c>
      <c r="D336" s="1" t="s">
        <v>35</v>
      </c>
      <c r="E336" s="1" t="s">
        <v>22</v>
      </c>
      <c r="F336" s="1" t="s">
        <v>23</v>
      </c>
      <c r="G336" s="1" t="s">
        <v>12</v>
      </c>
      <c r="H336" s="1" t="s">
        <v>569</v>
      </c>
      <c r="I336" s="1" t="s">
        <v>24</v>
      </c>
      <c r="J336" s="1" t="s">
        <v>25</v>
      </c>
      <c r="K336" s="1" t="s">
        <v>25</v>
      </c>
      <c r="L336" s="1" t="s">
        <v>26</v>
      </c>
      <c r="M336" s="1" t="s">
        <v>25</v>
      </c>
      <c r="N336" s="1" t="s">
        <v>25</v>
      </c>
      <c r="O336" s="1" t="s">
        <v>25</v>
      </c>
      <c r="P336" s="1" t="s">
        <v>25</v>
      </c>
      <c r="Q336" s="1" t="s">
        <v>25</v>
      </c>
      <c r="R336" s="85" t="str">
        <f t="shared" si="20"/>
        <v>2545904</v>
      </c>
      <c r="S336" t="str">
        <f>VLOOKUP(A336,Data_NV!$A:$C,3,0)</f>
        <v xml:space="preserve"> Nguyễn Hoàng Thực    </v>
      </c>
      <c r="T336" t="str">
        <f>VLOOKUP(A336,Data_NV!$A:$E,4,0)</f>
        <v>Vận Hành</v>
      </c>
      <c r="U336" s="82">
        <f>DATEVALUE(Table2[[#This Row],[Ngày]])</f>
        <v>45904</v>
      </c>
      <c r="V336" t="str">
        <f>VLOOKUP(A336,Data_NV!$A:$E,5,0)</f>
        <v>Đang làm việc</v>
      </c>
      <c r="W336" s="10">
        <f>VLOOKUP(A336,Data_NV!$A:$I,8,0)</f>
        <v>0.3125</v>
      </c>
      <c r="X336" s="10">
        <f>VLOOKUP(A336,Data_NV!$A:$I,9,0)</f>
        <v>0.6875</v>
      </c>
      <c r="Y336" s="10">
        <f>IFERROR(TIMEVALUE(Table2[[#This Row],[Vào]]),0)</f>
        <v>0.31253472222222223</v>
      </c>
      <c r="Z336" s="10">
        <f>IFERROR(TIMEVALUE(Table2[[#This Row],[Ra]]),0)</f>
        <v>0</v>
      </c>
      <c r="AA336" t="str">
        <f t="shared" si="21"/>
        <v>x</v>
      </c>
      <c r="AB336" s="105">
        <f t="shared" si="22"/>
        <v>5.0000000000007816E-2</v>
      </c>
      <c r="AC336" s="12" t="str">
        <f>IF(VLOOKUP(A336,Data_NV!$A:$I,7,0)="Không","",IF(OR(AND(Y336=0,Z336=0),AND(Y336&lt;&gt;0,Z336&lt;&gt;0)),"","Quên chấm công"))</f>
        <v/>
      </c>
      <c r="AD336" s="12">
        <f>IF(VLOOKUP(A336,Data_NV!$A:$I,7,0)="Không",0,IF(AND(Y336=0,Z336=0),0,IF(X336&lt;=Z336,0,ROUNDDOWN((X336-Z336)*24*60,0))))</f>
        <v>0</v>
      </c>
      <c r="AE336" s="12">
        <f>IF(VLOOKUP(A336,Data_NV!$A:$I,6,0)="Không",0,IF(Z336&lt;=X336,0,ROUNDDOWN((Z336-X336)*24*60,0)))</f>
        <v>0</v>
      </c>
      <c r="AF336" s="26">
        <f t="shared" si="23"/>
        <v>0</v>
      </c>
      <c r="AG336" s="27" t="str">
        <f>IF(AC336="","",IF(COUNTIFS($AC$3:AC336,"Quên chấm công",$S$3:S336,S336)&gt;3,"Không chấm công do vi phạm quá 3 lần",IF(COUNTIFS($AC$3:AC336,"Quên chấm công",$S$3:S336,S336)&gt;2,"Trừ toàn bộ chuyên cần tháng do vi phạm lần 3",IF(COUNTIFS($AC$3:AC336,"Quên chấm công",$S$3:S336,S336)&gt;1,"Trừ 1/2 ngày lương",50000))))</f>
        <v/>
      </c>
      <c r="AH336" s="12" t="str">
        <f>IF(AF336=0,"",IF(COUNTIFS($AF$3:AF336,"&gt;0",$S$3:S336,S336)&gt;3,"Trừ toàn bộ chuyên cần tháng",""))</f>
        <v/>
      </c>
      <c r="AI336" s="12"/>
    </row>
    <row r="337" spans="1:35" x14ac:dyDescent="0.25">
      <c r="A337" s="4" t="s">
        <v>566</v>
      </c>
      <c r="B337" s="1" t="s">
        <v>567</v>
      </c>
      <c r="C337" s="1" t="s">
        <v>20</v>
      </c>
      <c r="D337" s="1" t="s">
        <v>37</v>
      </c>
      <c r="E337" s="1" t="s">
        <v>22</v>
      </c>
      <c r="F337" s="1" t="s">
        <v>23</v>
      </c>
      <c r="G337" s="1" t="s">
        <v>12</v>
      </c>
      <c r="H337" s="1" t="s">
        <v>570</v>
      </c>
      <c r="I337" s="1" t="s">
        <v>24</v>
      </c>
      <c r="J337" s="1" t="s">
        <v>25</v>
      </c>
      <c r="K337" s="1" t="s">
        <v>25</v>
      </c>
      <c r="L337" s="1" t="s">
        <v>26</v>
      </c>
      <c r="M337" s="1" t="s">
        <v>25</v>
      </c>
      <c r="N337" s="1" t="s">
        <v>25</v>
      </c>
      <c r="O337" s="1" t="s">
        <v>25</v>
      </c>
      <c r="P337" s="1" t="s">
        <v>25</v>
      </c>
      <c r="Q337" s="1" t="s">
        <v>25</v>
      </c>
      <c r="R337" s="85" t="str">
        <f t="shared" si="20"/>
        <v>2545905</v>
      </c>
      <c r="S337" t="str">
        <f>VLOOKUP(A337,Data_NV!$A:$C,3,0)</f>
        <v xml:space="preserve"> Nguyễn Hoàng Thực    </v>
      </c>
      <c r="T337" t="str">
        <f>VLOOKUP(A337,Data_NV!$A:$E,4,0)</f>
        <v>Vận Hành</v>
      </c>
      <c r="U337" s="82">
        <f>DATEVALUE(Table2[[#This Row],[Ngày]])</f>
        <v>45905</v>
      </c>
      <c r="V337" t="str">
        <f>VLOOKUP(A337,Data_NV!$A:$E,5,0)</f>
        <v>Đang làm việc</v>
      </c>
      <c r="W337" s="10">
        <f>VLOOKUP(A337,Data_NV!$A:$I,8,0)</f>
        <v>0.3125</v>
      </c>
      <c r="X337" s="10">
        <f>VLOOKUP(A337,Data_NV!$A:$I,9,0)</f>
        <v>0.6875</v>
      </c>
      <c r="Y337" s="10">
        <f>IFERROR(TIMEVALUE(Table2[[#This Row],[Vào]]),0)</f>
        <v>0.31339120370370371</v>
      </c>
      <c r="Z337" s="10">
        <f>IFERROR(TIMEVALUE(Table2[[#This Row],[Ra]]),0)</f>
        <v>0</v>
      </c>
      <c r="AA337" t="str">
        <f t="shared" si="21"/>
        <v>x</v>
      </c>
      <c r="AB337" s="105">
        <f t="shared" si="22"/>
        <v>1.2833333333333474</v>
      </c>
      <c r="AC337" s="12" t="str">
        <f>IF(VLOOKUP(A337,Data_NV!$A:$I,7,0)="Không","",IF(OR(AND(Y337=0,Z337=0),AND(Y337&lt;&gt;0,Z337&lt;&gt;0)),"","Quên chấm công"))</f>
        <v/>
      </c>
      <c r="AD337" s="12">
        <f>IF(VLOOKUP(A337,Data_NV!$A:$I,7,0)="Không",0,IF(AND(Y337=0,Z337=0),0,IF(X337&lt;=Z337,0,ROUNDDOWN((X337-Z337)*24*60,0))))</f>
        <v>0</v>
      </c>
      <c r="AE337" s="12">
        <f>IF(VLOOKUP(A337,Data_NV!$A:$I,6,0)="Không",0,IF(Z337&lt;=X337,0,ROUNDDOWN((Z337-X337)*24*60,0)))</f>
        <v>0</v>
      </c>
      <c r="AF337" s="26">
        <f t="shared" si="23"/>
        <v>0</v>
      </c>
      <c r="AG337" s="27" t="str">
        <f>IF(AC337="","",IF(COUNTIFS($AC$3:AC337,"Quên chấm công",$S$3:S337,S337)&gt;3,"Không chấm công do vi phạm quá 3 lần",IF(COUNTIFS($AC$3:AC337,"Quên chấm công",$S$3:S337,S337)&gt;2,"Trừ toàn bộ chuyên cần tháng do vi phạm lần 3",IF(COUNTIFS($AC$3:AC337,"Quên chấm công",$S$3:S337,S337)&gt;1,"Trừ 1/2 ngày lương",50000))))</f>
        <v/>
      </c>
      <c r="AH337" s="12" t="str">
        <f>IF(AF337=0,"",IF(COUNTIFS($AF$3:AF337,"&gt;0",$S$3:S337,S337)&gt;3,"Trừ toàn bộ chuyên cần tháng",""))</f>
        <v/>
      </c>
      <c r="AI337" s="12"/>
    </row>
    <row r="338" spans="1:35" x14ac:dyDescent="0.25">
      <c r="A338" s="4" t="s">
        <v>566</v>
      </c>
      <c r="B338" s="1" t="s">
        <v>567</v>
      </c>
      <c r="C338" s="1" t="s">
        <v>20</v>
      </c>
      <c r="D338" s="1" t="s">
        <v>42</v>
      </c>
      <c r="E338" s="1" t="s">
        <v>22</v>
      </c>
      <c r="F338" s="1" t="s">
        <v>23</v>
      </c>
      <c r="G338" s="1" t="s">
        <v>12</v>
      </c>
      <c r="H338" s="1" t="s">
        <v>571</v>
      </c>
      <c r="I338" s="1" t="s">
        <v>24</v>
      </c>
      <c r="J338" s="1" t="s">
        <v>25</v>
      </c>
      <c r="K338" s="1" t="s">
        <v>25</v>
      </c>
      <c r="L338" s="1" t="s">
        <v>26</v>
      </c>
      <c r="M338" s="1" t="s">
        <v>25</v>
      </c>
      <c r="N338" s="1" t="s">
        <v>25</v>
      </c>
      <c r="O338" s="1" t="s">
        <v>25</v>
      </c>
      <c r="P338" s="1" t="s">
        <v>25</v>
      </c>
      <c r="Q338" s="1" t="s">
        <v>25</v>
      </c>
      <c r="R338" s="85" t="str">
        <f t="shared" si="20"/>
        <v>2545906</v>
      </c>
      <c r="S338" t="str">
        <f>VLOOKUP(A338,Data_NV!$A:$C,3,0)</f>
        <v xml:space="preserve"> Nguyễn Hoàng Thực    </v>
      </c>
      <c r="T338" t="str">
        <f>VLOOKUP(A338,Data_NV!$A:$E,4,0)</f>
        <v>Vận Hành</v>
      </c>
      <c r="U338" s="82">
        <f>DATEVALUE(Table2[[#This Row],[Ngày]])</f>
        <v>45906</v>
      </c>
      <c r="V338" t="str">
        <f>VLOOKUP(A338,Data_NV!$A:$E,5,0)</f>
        <v>Đang làm việc</v>
      </c>
      <c r="W338" s="10">
        <f>VLOOKUP(A338,Data_NV!$A:$I,8,0)</f>
        <v>0.3125</v>
      </c>
      <c r="X338" s="10">
        <f>VLOOKUP(A338,Data_NV!$A:$I,9,0)</f>
        <v>0.6875</v>
      </c>
      <c r="Y338" s="10">
        <f>IFERROR(TIMEVALUE(Table2[[#This Row],[Vào]]),0)</f>
        <v>0.31221064814814814</v>
      </c>
      <c r="Z338" s="10">
        <f>IFERROR(TIMEVALUE(Table2[[#This Row],[Ra]]),0)</f>
        <v>0</v>
      </c>
      <c r="AA338" t="str">
        <f t="shared" si="21"/>
        <v>x</v>
      </c>
      <c r="AB338" s="105">
        <f t="shared" si="22"/>
        <v>0</v>
      </c>
      <c r="AC338" s="12" t="str">
        <f>IF(VLOOKUP(A338,Data_NV!$A:$I,7,0)="Không","",IF(OR(AND(Y338=0,Z338=0),AND(Y338&lt;&gt;0,Z338&lt;&gt;0)),"","Quên chấm công"))</f>
        <v/>
      </c>
      <c r="AD338" s="12">
        <f>IF(VLOOKUP(A338,Data_NV!$A:$I,7,0)="Không",0,IF(AND(Y338=0,Z338=0),0,IF(X338&lt;=Z338,0,ROUNDDOWN((X338-Z338)*24*60,0))))</f>
        <v>0</v>
      </c>
      <c r="AE338" s="12">
        <f>IF(VLOOKUP(A338,Data_NV!$A:$I,6,0)="Không",0,IF(Z338&lt;=X338,0,ROUNDDOWN((Z338-X338)*24*60,0)))</f>
        <v>0</v>
      </c>
      <c r="AF338" s="26">
        <f t="shared" si="23"/>
        <v>0</v>
      </c>
      <c r="AG338" s="27" t="str">
        <f>IF(AC338="","",IF(COUNTIFS($AC$3:AC338,"Quên chấm công",$S$3:S338,S338)&gt;3,"Không chấm công do vi phạm quá 3 lần",IF(COUNTIFS($AC$3:AC338,"Quên chấm công",$S$3:S338,S338)&gt;2,"Trừ toàn bộ chuyên cần tháng do vi phạm lần 3",IF(COUNTIFS($AC$3:AC338,"Quên chấm công",$S$3:S338,S338)&gt;1,"Trừ 1/2 ngày lương",50000))))</f>
        <v/>
      </c>
      <c r="AH338" s="12" t="str">
        <f>IF(AF338=0,"",IF(COUNTIFS($AF$3:AF338,"&gt;0",$S$3:S338,S338)&gt;3,"Trừ toàn bộ chuyên cần tháng",""))</f>
        <v/>
      </c>
      <c r="AI338" s="12"/>
    </row>
    <row r="339" spans="1:35" x14ac:dyDescent="0.25">
      <c r="A339" s="4" t="s">
        <v>566</v>
      </c>
      <c r="B339" s="1" t="s">
        <v>567</v>
      </c>
      <c r="C339" s="1" t="s">
        <v>20</v>
      </c>
      <c r="D339" s="1" t="s">
        <v>47</v>
      </c>
      <c r="E339" s="1" t="s">
        <v>22</v>
      </c>
      <c r="F339" s="1" t="s">
        <v>23</v>
      </c>
      <c r="G339" s="1" t="s">
        <v>12</v>
      </c>
      <c r="H339" s="1" t="s">
        <v>24</v>
      </c>
      <c r="I339" s="1" t="s">
        <v>24</v>
      </c>
      <c r="J339" s="1" t="s">
        <v>25</v>
      </c>
      <c r="K339" s="1" t="s">
        <v>25</v>
      </c>
      <c r="L339" s="1" t="s">
        <v>26</v>
      </c>
      <c r="M339" s="1" t="s">
        <v>25</v>
      </c>
      <c r="N339" s="1" t="s">
        <v>25</v>
      </c>
      <c r="O339" s="1" t="s">
        <v>25</v>
      </c>
      <c r="P339" s="1" t="s">
        <v>25</v>
      </c>
      <c r="Q339" s="1" t="s">
        <v>25</v>
      </c>
      <c r="R339" s="85" t="str">
        <f t="shared" si="20"/>
        <v>2545907</v>
      </c>
      <c r="S339" t="str">
        <f>VLOOKUP(A339,Data_NV!$A:$C,3,0)</f>
        <v xml:space="preserve"> Nguyễn Hoàng Thực    </v>
      </c>
      <c r="T339" t="str">
        <f>VLOOKUP(A339,Data_NV!$A:$E,4,0)</f>
        <v>Vận Hành</v>
      </c>
      <c r="U339" s="82">
        <f>DATEVALUE(Table2[[#This Row],[Ngày]])</f>
        <v>45907</v>
      </c>
      <c r="V339" t="str">
        <f>VLOOKUP(A339,Data_NV!$A:$E,5,0)</f>
        <v>Đang làm việc</v>
      </c>
      <c r="W339" s="10">
        <f>VLOOKUP(A339,Data_NV!$A:$I,8,0)</f>
        <v>0.3125</v>
      </c>
      <c r="X339" s="10">
        <f>VLOOKUP(A339,Data_NV!$A:$I,9,0)</f>
        <v>0.6875</v>
      </c>
      <c r="Y339" s="10">
        <f>IFERROR(TIMEVALUE(Table2[[#This Row],[Vào]]),0)</f>
        <v>0</v>
      </c>
      <c r="Z339" s="10">
        <f>IFERROR(TIMEVALUE(Table2[[#This Row],[Ra]]),0)</f>
        <v>0</v>
      </c>
      <c r="AA339" t="str">
        <f t="shared" si="21"/>
        <v>Chủ nhật</v>
      </c>
      <c r="AB339" s="105">
        <f t="shared" si="22"/>
        <v>0</v>
      </c>
      <c r="AC339" s="12" t="str">
        <f>IF(VLOOKUP(A339,Data_NV!$A:$I,7,0)="Không","",IF(OR(AND(Y339=0,Z339=0),AND(Y339&lt;&gt;0,Z339&lt;&gt;0)),"","Quên chấm công"))</f>
        <v/>
      </c>
      <c r="AD339" s="12">
        <f>IF(VLOOKUP(A339,Data_NV!$A:$I,7,0)="Không",0,IF(AND(Y339=0,Z339=0),0,IF(X339&lt;=Z339,0,ROUNDDOWN((X339-Z339)*24*60,0))))</f>
        <v>0</v>
      </c>
      <c r="AE339" s="12">
        <f>IF(VLOOKUP(A339,Data_NV!$A:$I,6,0)="Không",0,IF(Z339&lt;=X339,0,ROUNDDOWN((Z339-X339)*24*60,0)))</f>
        <v>0</v>
      </c>
      <c r="AF339" s="26">
        <f t="shared" si="23"/>
        <v>0</v>
      </c>
      <c r="AG339" s="27" t="str">
        <f>IF(AC339="","",IF(COUNTIFS($AC$3:AC339,"Quên chấm công",$S$3:S339,S339)&gt;3,"Không chấm công do vi phạm quá 3 lần",IF(COUNTIFS($AC$3:AC339,"Quên chấm công",$S$3:S339,S339)&gt;2,"Trừ toàn bộ chuyên cần tháng do vi phạm lần 3",IF(COUNTIFS($AC$3:AC339,"Quên chấm công",$S$3:S339,S339)&gt;1,"Trừ 1/2 ngày lương",50000))))</f>
        <v/>
      </c>
      <c r="AH339" s="12" t="str">
        <f>IF(AF339=0,"",IF(COUNTIFS($AF$3:AF339,"&gt;0",$S$3:S339,S339)&gt;3,"Trừ toàn bộ chuyên cần tháng",""))</f>
        <v/>
      </c>
      <c r="AI339" s="12"/>
    </row>
    <row r="340" spans="1:35" x14ac:dyDescent="0.25">
      <c r="A340" s="4" t="s">
        <v>566</v>
      </c>
      <c r="B340" s="1" t="s">
        <v>567</v>
      </c>
      <c r="C340" s="1" t="s">
        <v>20</v>
      </c>
      <c r="D340" s="1" t="s">
        <v>48</v>
      </c>
      <c r="E340" s="1" t="s">
        <v>22</v>
      </c>
      <c r="F340" s="1" t="s">
        <v>23</v>
      </c>
      <c r="G340" s="1" t="s">
        <v>12</v>
      </c>
      <c r="H340" s="1" t="s">
        <v>572</v>
      </c>
      <c r="I340" s="1" t="s">
        <v>24</v>
      </c>
      <c r="J340" s="1" t="s">
        <v>25</v>
      </c>
      <c r="K340" s="1" t="s">
        <v>25</v>
      </c>
      <c r="L340" s="1" t="s">
        <v>26</v>
      </c>
      <c r="M340" s="1" t="s">
        <v>25</v>
      </c>
      <c r="N340" s="1" t="s">
        <v>25</v>
      </c>
      <c r="O340" s="1" t="s">
        <v>25</v>
      </c>
      <c r="P340" s="1" t="s">
        <v>25</v>
      </c>
      <c r="Q340" s="1" t="s">
        <v>25</v>
      </c>
      <c r="R340" s="85" t="str">
        <f t="shared" si="20"/>
        <v>2545908</v>
      </c>
      <c r="S340" t="str">
        <f>VLOOKUP(A340,Data_NV!$A:$C,3,0)</f>
        <v xml:space="preserve"> Nguyễn Hoàng Thực    </v>
      </c>
      <c r="T340" t="str">
        <f>VLOOKUP(A340,Data_NV!$A:$E,4,0)</f>
        <v>Vận Hành</v>
      </c>
      <c r="U340" s="82">
        <f>DATEVALUE(Table2[[#This Row],[Ngày]])</f>
        <v>45908</v>
      </c>
      <c r="V340" t="str">
        <f>VLOOKUP(A340,Data_NV!$A:$E,5,0)</f>
        <v>Đang làm việc</v>
      </c>
      <c r="W340" s="10">
        <f>VLOOKUP(A340,Data_NV!$A:$I,8,0)</f>
        <v>0.3125</v>
      </c>
      <c r="X340" s="10">
        <f>VLOOKUP(A340,Data_NV!$A:$I,9,0)</f>
        <v>0.6875</v>
      </c>
      <c r="Y340" s="10">
        <f>IFERROR(TIMEVALUE(Table2[[#This Row],[Vào]]),0)</f>
        <v>0.31320601851851854</v>
      </c>
      <c r="Z340" s="10">
        <f>IFERROR(TIMEVALUE(Table2[[#This Row],[Ra]]),0)</f>
        <v>0</v>
      </c>
      <c r="AA340" t="str">
        <f t="shared" si="21"/>
        <v>x</v>
      </c>
      <c r="AB340" s="105">
        <f t="shared" si="22"/>
        <v>1.0166666666666924</v>
      </c>
      <c r="AC340" s="12" t="str">
        <f>IF(VLOOKUP(A340,Data_NV!$A:$I,7,0)="Không","",IF(OR(AND(Y340=0,Z340=0),AND(Y340&lt;&gt;0,Z340&lt;&gt;0)),"","Quên chấm công"))</f>
        <v/>
      </c>
      <c r="AD340" s="12">
        <f>IF(VLOOKUP(A340,Data_NV!$A:$I,7,0)="Không",0,IF(AND(Y340=0,Z340=0),0,IF(X340&lt;=Z340,0,ROUNDDOWN((X340-Z340)*24*60,0))))</f>
        <v>0</v>
      </c>
      <c r="AE340" s="12">
        <f>IF(VLOOKUP(A340,Data_NV!$A:$I,6,0)="Không",0,IF(Z340&lt;=X340,0,ROUNDDOWN((Z340-X340)*24*60,0)))</f>
        <v>0</v>
      </c>
      <c r="AF340" s="26">
        <f t="shared" si="23"/>
        <v>0</v>
      </c>
      <c r="AG340" s="27" t="str">
        <f>IF(AC340="","",IF(COUNTIFS($AC$3:AC340,"Quên chấm công",$S$3:S340,S340)&gt;3,"Không chấm công do vi phạm quá 3 lần",IF(COUNTIFS($AC$3:AC340,"Quên chấm công",$S$3:S340,S340)&gt;2,"Trừ toàn bộ chuyên cần tháng do vi phạm lần 3",IF(COUNTIFS($AC$3:AC340,"Quên chấm công",$S$3:S340,S340)&gt;1,"Trừ 1/2 ngày lương",50000))))</f>
        <v/>
      </c>
      <c r="AH340" s="12" t="str">
        <f>IF(AF340=0,"",IF(COUNTIFS($AF$3:AF340,"&gt;0",$S$3:S340,S340)&gt;3,"Trừ toàn bộ chuyên cần tháng",""))</f>
        <v/>
      </c>
      <c r="AI340" s="12"/>
    </row>
    <row r="341" spans="1:35" x14ac:dyDescent="0.25">
      <c r="A341" s="4" t="s">
        <v>566</v>
      </c>
      <c r="B341" s="1" t="s">
        <v>567</v>
      </c>
      <c r="C341" s="1" t="s">
        <v>20</v>
      </c>
      <c r="D341" s="1" t="s">
        <v>53</v>
      </c>
      <c r="E341" s="1" t="s">
        <v>22</v>
      </c>
      <c r="F341" s="1" t="s">
        <v>23</v>
      </c>
      <c r="G341" s="1" t="s">
        <v>12</v>
      </c>
      <c r="H341" s="1" t="s">
        <v>573</v>
      </c>
      <c r="I341" s="1" t="s">
        <v>24</v>
      </c>
      <c r="J341" s="1" t="s">
        <v>25</v>
      </c>
      <c r="K341" s="1" t="s">
        <v>25</v>
      </c>
      <c r="L341" s="1" t="s">
        <v>26</v>
      </c>
      <c r="M341" s="1" t="s">
        <v>25</v>
      </c>
      <c r="N341" s="1" t="s">
        <v>25</v>
      </c>
      <c r="O341" s="1" t="s">
        <v>25</v>
      </c>
      <c r="P341" s="1" t="s">
        <v>25</v>
      </c>
      <c r="Q341" s="1" t="s">
        <v>25</v>
      </c>
      <c r="R341" s="85" t="str">
        <f t="shared" si="20"/>
        <v>2545909</v>
      </c>
      <c r="S341" t="str">
        <f>VLOOKUP(A341,Data_NV!$A:$C,3,0)</f>
        <v xml:space="preserve"> Nguyễn Hoàng Thực    </v>
      </c>
      <c r="T341" t="str">
        <f>VLOOKUP(A341,Data_NV!$A:$E,4,0)</f>
        <v>Vận Hành</v>
      </c>
      <c r="U341" s="82">
        <f>DATEVALUE(Table2[[#This Row],[Ngày]])</f>
        <v>45909</v>
      </c>
      <c r="V341" t="str">
        <f>VLOOKUP(A341,Data_NV!$A:$E,5,0)</f>
        <v>Đang làm việc</v>
      </c>
      <c r="W341" s="10">
        <f>VLOOKUP(A341,Data_NV!$A:$I,8,0)</f>
        <v>0.3125</v>
      </c>
      <c r="X341" s="10">
        <f>VLOOKUP(A341,Data_NV!$A:$I,9,0)</f>
        <v>0.6875</v>
      </c>
      <c r="Y341" s="10">
        <f>IFERROR(TIMEVALUE(Table2[[#This Row],[Vào]]),0)</f>
        <v>0.31491898148148151</v>
      </c>
      <c r="Z341" s="10">
        <f>IFERROR(TIMEVALUE(Table2[[#This Row],[Ra]]),0)</f>
        <v>0</v>
      </c>
      <c r="AA341" t="str">
        <f t="shared" si="21"/>
        <v>x</v>
      </c>
      <c r="AB341" s="105">
        <f t="shared" si="22"/>
        <v>3.4833333333333716</v>
      </c>
      <c r="AC341" s="12" t="str">
        <f>IF(VLOOKUP(A341,Data_NV!$A:$I,7,0)="Không","",IF(OR(AND(Y341=0,Z341=0),AND(Y341&lt;&gt;0,Z341&lt;&gt;0)),"","Quên chấm công"))</f>
        <v/>
      </c>
      <c r="AD341" s="12">
        <f>IF(VLOOKUP(A341,Data_NV!$A:$I,7,0)="Không",0,IF(AND(Y341=0,Z341=0),0,IF(X341&lt;=Z341,0,ROUNDDOWN((X341-Z341)*24*60,0))))</f>
        <v>0</v>
      </c>
      <c r="AE341" s="12">
        <f>IF(VLOOKUP(A341,Data_NV!$A:$I,6,0)="Không",0,IF(Z341&lt;=X341,0,ROUNDDOWN((Z341-X341)*24*60,0)))</f>
        <v>0</v>
      </c>
      <c r="AF341" s="26">
        <f t="shared" si="23"/>
        <v>0</v>
      </c>
      <c r="AG341" s="27" t="str">
        <f>IF(AC341="","",IF(COUNTIFS($AC$3:AC341,"Quên chấm công",$S$3:S341,S341)&gt;3,"Không chấm công do vi phạm quá 3 lần",IF(COUNTIFS($AC$3:AC341,"Quên chấm công",$S$3:S341,S341)&gt;2,"Trừ toàn bộ chuyên cần tháng do vi phạm lần 3",IF(COUNTIFS($AC$3:AC341,"Quên chấm công",$S$3:S341,S341)&gt;1,"Trừ 1/2 ngày lương",50000))))</f>
        <v/>
      </c>
      <c r="AH341" s="12" t="str">
        <f>IF(AF341=0,"",IF(COUNTIFS($AF$3:AF341,"&gt;0",$S$3:S341,S341)&gt;3,"Trừ toàn bộ chuyên cần tháng",""))</f>
        <v/>
      </c>
      <c r="AI341" s="12"/>
    </row>
    <row r="342" spans="1:35" x14ac:dyDescent="0.25">
      <c r="A342" s="4" t="s">
        <v>566</v>
      </c>
      <c r="B342" s="1" t="s">
        <v>567</v>
      </c>
      <c r="C342" s="1" t="s">
        <v>20</v>
      </c>
      <c r="D342" s="1" t="s">
        <v>58</v>
      </c>
      <c r="E342" s="1" t="s">
        <v>22</v>
      </c>
      <c r="F342" s="1" t="s">
        <v>23</v>
      </c>
      <c r="G342" s="1" t="s">
        <v>12</v>
      </c>
      <c r="H342" s="1" t="s">
        <v>574</v>
      </c>
      <c r="I342" s="1" t="s">
        <v>24</v>
      </c>
      <c r="J342" s="1" t="s">
        <v>25</v>
      </c>
      <c r="K342" s="1" t="s">
        <v>25</v>
      </c>
      <c r="L342" s="1" t="s">
        <v>26</v>
      </c>
      <c r="M342" s="1" t="s">
        <v>25</v>
      </c>
      <c r="N342" s="1" t="s">
        <v>25</v>
      </c>
      <c r="O342" s="1" t="s">
        <v>25</v>
      </c>
      <c r="P342" s="1" t="s">
        <v>25</v>
      </c>
      <c r="Q342" s="1" t="s">
        <v>25</v>
      </c>
      <c r="R342" s="85" t="str">
        <f t="shared" si="20"/>
        <v>2545910</v>
      </c>
      <c r="S342" t="str">
        <f>VLOOKUP(A342,Data_NV!$A:$C,3,0)</f>
        <v xml:space="preserve"> Nguyễn Hoàng Thực    </v>
      </c>
      <c r="T342" t="str">
        <f>VLOOKUP(A342,Data_NV!$A:$E,4,0)</f>
        <v>Vận Hành</v>
      </c>
      <c r="U342" s="82">
        <f>DATEVALUE(Table2[[#This Row],[Ngày]])</f>
        <v>45910</v>
      </c>
      <c r="V342" t="str">
        <f>VLOOKUP(A342,Data_NV!$A:$E,5,0)</f>
        <v>Đang làm việc</v>
      </c>
      <c r="W342" s="10">
        <f>VLOOKUP(A342,Data_NV!$A:$I,8,0)</f>
        <v>0.3125</v>
      </c>
      <c r="X342" s="10">
        <f>VLOOKUP(A342,Data_NV!$A:$I,9,0)</f>
        <v>0.6875</v>
      </c>
      <c r="Y342" s="10">
        <f>IFERROR(TIMEVALUE(Table2[[#This Row],[Vào]]),0)</f>
        <v>0.31701388888888887</v>
      </c>
      <c r="Z342" s="10">
        <f>IFERROR(TIMEVALUE(Table2[[#This Row],[Ra]]),0)</f>
        <v>0</v>
      </c>
      <c r="AA342" t="str">
        <f t="shared" si="21"/>
        <v>x</v>
      </c>
      <c r="AB342" s="105">
        <f t="shared" si="22"/>
        <v>6.4999999999999769</v>
      </c>
      <c r="AC342" s="12" t="str">
        <f>IF(VLOOKUP(A342,Data_NV!$A:$I,7,0)="Không","",IF(OR(AND(Y342=0,Z342=0),AND(Y342&lt;&gt;0,Z342&lt;&gt;0)),"","Quên chấm công"))</f>
        <v/>
      </c>
      <c r="AD342" s="12">
        <f>IF(VLOOKUP(A342,Data_NV!$A:$I,7,0)="Không",0,IF(AND(Y342=0,Z342=0),0,IF(X342&lt;=Z342,0,ROUNDDOWN((X342-Z342)*24*60,0))))</f>
        <v>0</v>
      </c>
      <c r="AE342" s="12">
        <f>IF(VLOOKUP(A342,Data_NV!$A:$I,6,0)="Không",0,IF(Z342&lt;=X342,0,ROUNDDOWN((Z342-X342)*24*60,0)))</f>
        <v>0</v>
      </c>
      <c r="AF342" s="26">
        <f t="shared" si="23"/>
        <v>30000</v>
      </c>
      <c r="AG342" s="27" t="str">
        <f>IF(AC342="","",IF(COUNTIFS($AC$3:AC342,"Quên chấm công",$S$3:S342,S342)&gt;3,"Không chấm công do vi phạm quá 3 lần",IF(COUNTIFS($AC$3:AC342,"Quên chấm công",$S$3:S342,S342)&gt;2,"Trừ toàn bộ chuyên cần tháng do vi phạm lần 3",IF(COUNTIFS($AC$3:AC342,"Quên chấm công",$S$3:S342,S342)&gt;1,"Trừ 1/2 ngày lương",50000))))</f>
        <v/>
      </c>
      <c r="AH342" s="12" t="str">
        <f>IF(AF342=0,"",IF(COUNTIFS($AF$3:AF342,"&gt;0",$S$3:S342,S342)&gt;3,"Trừ toàn bộ chuyên cần tháng",""))</f>
        <v/>
      </c>
      <c r="AI342" s="12"/>
    </row>
    <row r="343" spans="1:35" x14ac:dyDescent="0.25">
      <c r="A343" s="4" t="s">
        <v>566</v>
      </c>
      <c r="B343" s="1" t="s">
        <v>567</v>
      </c>
      <c r="C343" s="1" t="s">
        <v>20</v>
      </c>
      <c r="D343" s="1" t="s">
        <v>63</v>
      </c>
      <c r="E343" s="1" t="s">
        <v>22</v>
      </c>
      <c r="F343" s="1" t="s">
        <v>23</v>
      </c>
      <c r="G343" s="1" t="s">
        <v>12</v>
      </c>
      <c r="H343" s="1" t="s">
        <v>575</v>
      </c>
      <c r="I343" s="1" t="s">
        <v>24</v>
      </c>
      <c r="J343" s="1" t="s">
        <v>25</v>
      </c>
      <c r="K343" s="1" t="s">
        <v>25</v>
      </c>
      <c r="L343" s="1" t="s">
        <v>26</v>
      </c>
      <c r="M343" s="1" t="s">
        <v>25</v>
      </c>
      <c r="N343" s="1" t="s">
        <v>25</v>
      </c>
      <c r="O343" s="1" t="s">
        <v>25</v>
      </c>
      <c r="P343" s="1" t="s">
        <v>25</v>
      </c>
      <c r="Q343" s="1" t="s">
        <v>25</v>
      </c>
      <c r="R343" s="85" t="str">
        <f t="shared" si="20"/>
        <v>2545911</v>
      </c>
      <c r="S343" t="str">
        <f>VLOOKUP(A343,Data_NV!$A:$C,3,0)</f>
        <v xml:space="preserve"> Nguyễn Hoàng Thực    </v>
      </c>
      <c r="T343" t="str">
        <f>VLOOKUP(A343,Data_NV!$A:$E,4,0)</f>
        <v>Vận Hành</v>
      </c>
      <c r="U343" s="82">
        <f>DATEVALUE(Table2[[#This Row],[Ngày]])</f>
        <v>45911</v>
      </c>
      <c r="V343" t="str">
        <f>VLOOKUP(A343,Data_NV!$A:$E,5,0)</f>
        <v>Đang làm việc</v>
      </c>
      <c r="W343" s="10">
        <f>VLOOKUP(A343,Data_NV!$A:$I,8,0)</f>
        <v>0.3125</v>
      </c>
      <c r="X343" s="10">
        <f>VLOOKUP(A343,Data_NV!$A:$I,9,0)</f>
        <v>0.6875</v>
      </c>
      <c r="Y343" s="10">
        <f>IFERROR(TIMEVALUE(Table2[[#This Row],[Vào]]),0)</f>
        <v>0.30780092592592595</v>
      </c>
      <c r="Z343" s="10">
        <f>IFERROR(TIMEVALUE(Table2[[#This Row],[Ra]]),0)</f>
        <v>0</v>
      </c>
      <c r="AA343" t="str">
        <f t="shared" si="21"/>
        <v>x</v>
      </c>
      <c r="AB343" s="105">
        <f t="shared" si="22"/>
        <v>0</v>
      </c>
      <c r="AC343" s="12" t="str">
        <f>IF(VLOOKUP(A343,Data_NV!$A:$I,7,0)="Không","",IF(OR(AND(Y343=0,Z343=0),AND(Y343&lt;&gt;0,Z343&lt;&gt;0)),"","Quên chấm công"))</f>
        <v/>
      </c>
      <c r="AD343" s="12">
        <f>IF(VLOOKUP(A343,Data_NV!$A:$I,7,0)="Không",0,IF(AND(Y343=0,Z343=0),0,IF(X343&lt;=Z343,0,ROUNDDOWN((X343-Z343)*24*60,0))))</f>
        <v>0</v>
      </c>
      <c r="AE343" s="12">
        <f>IF(VLOOKUP(A343,Data_NV!$A:$I,6,0)="Không",0,IF(Z343&lt;=X343,0,ROUNDDOWN((Z343-X343)*24*60,0)))</f>
        <v>0</v>
      </c>
      <c r="AF343" s="26">
        <f t="shared" si="23"/>
        <v>0</v>
      </c>
      <c r="AG343" s="27" t="str">
        <f>IF(AC343="","",IF(COUNTIFS($AC$3:AC343,"Quên chấm công",$S$3:S343,S343)&gt;3,"Không chấm công do vi phạm quá 3 lần",IF(COUNTIFS($AC$3:AC343,"Quên chấm công",$S$3:S343,S343)&gt;2,"Trừ toàn bộ chuyên cần tháng do vi phạm lần 3",IF(COUNTIFS($AC$3:AC343,"Quên chấm công",$S$3:S343,S343)&gt;1,"Trừ 1/2 ngày lương",50000))))</f>
        <v/>
      </c>
      <c r="AH343" s="12" t="str">
        <f>IF(AF343=0,"",IF(COUNTIFS($AF$3:AF343,"&gt;0",$S$3:S343,S343)&gt;3,"Trừ toàn bộ chuyên cần tháng",""))</f>
        <v/>
      </c>
      <c r="AI343" s="12"/>
    </row>
    <row r="344" spans="1:35" x14ac:dyDescent="0.25">
      <c r="A344" s="4" t="s">
        <v>566</v>
      </c>
      <c r="B344" s="1" t="s">
        <v>567</v>
      </c>
      <c r="C344" s="1" t="s">
        <v>20</v>
      </c>
      <c r="D344" s="1" t="s">
        <v>67</v>
      </c>
      <c r="E344" s="1" t="s">
        <v>22</v>
      </c>
      <c r="F344" s="1" t="s">
        <v>23</v>
      </c>
      <c r="G344" s="1" t="s">
        <v>12</v>
      </c>
      <c r="H344" s="1" t="s">
        <v>576</v>
      </c>
      <c r="I344" s="1" t="s">
        <v>24</v>
      </c>
      <c r="J344" s="1" t="s">
        <v>25</v>
      </c>
      <c r="K344" s="1" t="s">
        <v>25</v>
      </c>
      <c r="L344" s="1" t="s">
        <v>26</v>
      </c>
      <c r="M344" s="1" t="s">
        <v>25</v>
      </c>
      <c r="N344" s="1" t="s">
        <v>25</v>
      </c>
      <c r="O344" s="1" t="s">
        <v>25</v>
      </c>
      <c r="P344" s="1" t="s">
        <v>25</v>
      </c>
      <c r="Q344" s="1" t="s">
        <v>25</v>
      </c>
      <c r="R344" s="85" t="str">
        <f t="shared" si="20"/>
        <v>2545912</v>
      </c>
      <c r="S344" t="str">
        <f>VLOOKUP(A344,Data_NV!$A:$C,3,0)</f>
        <v xml:space="preserve"> Nguyễn Hoàng Thực    </v>
      </c>
      <c r="T344" t="str">
        <f>VLOOKUP(A344,Data_NV!$A:$E,4,0)</f>
        <v>Vận Hành</v>
      </c>
      <c r="U344" s="82">
        <f>DATEVALUE(Table2[[#This Row],[Ngày]])</f>
        <v>45912</v>
      </c>
      <c r="V344" t="str">
        <f>VLOOKUP(A344,Data_NV!$A:$E,5,0)</f>
        <v>Đang làm việc</v>
      </c>
      <c r="W344" s="10">
        <f>VLOOKUP(A344,Data_NV!$A:$I,8,0)</f>
        <v>0.3125</v>
      </c>
      <c r="X344" s="10">
        <f>VLOOKUP(A344,Data_NV!$A:$I,9,0)</f>
        <v>0.6875</v>
      </c>
      <c r="Y344" s="10">
        <f>IFERROR(TIMEVALUE(Table2[[#This Row],[Vào]]),0)</f>
        <v>0.3185648148148148</v>
      </c>
      <c r="Z344" s="10">
        <f>IFERROR(TIMEVALUE(Table2[[#This Row],[Ra]]),0)</f>
        <v>0</v>
      </c>
      <c r="AA344" t="str">
        <f t="shared" si="21"/>
        <v>x</v>
      </c>
      <c r="AB344" s="105">
        <f t="shared" si="22"/>
        <v>8.733333333333313</v>
      </c>
      <c r="AC344" s="12" t="str">
        <f>IF(VLOOKUP(A344,Data_NV!$A:$I,7,0)="Không","",IF(OR(AND(Y344=0,Z344=0),AND(Y344&lt;&gt;0,Z344&lt;&gt;0)),"","Quên chấm công"))</f>
        <v/>
      </c>
      <c r="AD344" s="12">
        <f>IF(VLOOKUP(A344,Data_NV!$A:$I,7,0)="Không",0,IF(AND(Y344=0,Z344=0),0,IF(X344&lt;=Z344,0,ROUNDDOWN((X344-Z344)*24*60,0))))</f>
        <v>0</v>
      </c>
      <c r="AE344" s="12">
        <f>IF(VLOOKUP(A344,Data_NV!$A:$I,6,0)="Không",0,IF(Z344&lt;=X344,0,ROUNDDOWN((Z344-X344)*24*60,0)))</f>
        <v>0</v>
      </c>
      <c r="AF344" s="26">
        <f t="shared" si="23"/>
        <v>30000</v>
      </c>
      <c r="AG344" s="27" t="str">
        <f>IF(AC344="","",IF(COUNTIFS($AC$3:AC344,"Quên chấm công",$S$3:S344,S344)&gt;3,"Không chấm công do vi phạm quá 3 lần",IF(COUNTIFS($AC$3:AC344,"Quên chấm công",$S$3:S344,S344)&gt;2,"Trừ toàn bộ chuyên cần tháng do vi phạm lần 3",IF(COUNTIFS($AC$3:AC344,"Quên chấm công",$S$3:S344,S344)&gt;1,"Trừ 1/2 ngày lương",50000))))</f>
        <v/>
      </c>
      <c r="AH344" s="12" t="str">
        <f>IF(AF344=0,"",IF(COUNTIFS($AF$3:AF344,"&gt;0",$S$3:S344,S344)&gt;3,"Trừ toàn bộ chuyên cần tháng",""))</f>
        <v/>
      </c>
      <c r="AI344" s="12"/>
    </row>
    <row r="345" spans="1:35" x14ac:dyDescent="0.25">
      <c r="A345" s="4" t="s">
        <v>566</v>
      </c>
      <c r="B345" s="1" t="s">
        <v>567</v>
      </c>
      <c r="C345" s="1" t="s">
        <v>20</v>
      </c>
      <c r="D345" s="1" t="s">
        <v>69</v>
      </c>
      <c r="E345" s="1" t="s">
        <v>22</v>
      </c>
      <c r="F345" s="1" t="s">
        <v>23</v>
      </c>
      <c r="G345" s="1" t="s">
        <v>12</v>
      </c>
      <c r="H345" s="1" t="s">
        <v>577</v>
      </c>
      <c r="I345" s="1" t="s">
        <v>24</v>
      </c>
      <c r="J345" s="1" t="s">
        <v>25</v>
      </c>
      <c r="K345" s="1" t="s">
        <v>25</v>
      </c>
      <c r="L345" s="1" t="s">
        <v>26</v>
      </c>
      <c r="M345" s="1" t="s">
        <v>25</v>
      </c>
      <c r="N345" s="1" t="s">
        <v>25</v>
      </c>
      <c r="O345" s="1" t="s">
        <v>25</v>
      </c>
      <c r="P345" s="1" t="s">
        <v>25</v>
      </c>
      <c r="Q345" s="1" t="s">
        <v>25</v>
      </c>
      <c r="R345" s="85" t="str">
        <f t="shared" si="20"/>
        <v>2545913</v>
      </c>
      <c r="S345" t="str">
        <f>VLOOKUP(A345,Data_NV!$A:$C,3,0)</f>
        <v xml:space="preserve"> Nguyễn Hoàng Thực    </v>
      </c>
      <c r="T345" t="str">
        <f>VLOOKUP(A345,Data_NV!$A:$E,4,0)</f>
        <v>Vận Hành</v>
      </c>
      <c r="U345" s="82">
        <f>DATEVALUE(Table2[[#This Row],[Ngày]])</f>
        <v>45913</v>
      </c>
      <c r="V345" t="str">
        <f>VLOOKUP(A345,Data_NV!$A:$E,5,0)</f>
        <v>Đang làm việc</v>
      </c>
      <c r="W345" s="10">
        <f>VLOOKUP(A345,Data_NV!$A:$I,8,0)</f>
        <v>0.3125</v>
      </c>
      <c r="X345" s="10">
        <f>VLOOKUP(A345,Data_NV!$A:$I,9,0)</f>
        <v>0.6875</v>
      </c>
      <c r="Y345" s="10">
        <f>IFERROR(TIMEVALUE(Table2[[#This Row],[Vào]]),0)</f>
        <v>0.31030092592592595</v>
      </c>
      <c r="Z345" s="10">
        <f>IFERROR(TIMEVALUE(Table2[[#This Row],[Ra]]),0)</f>
        <v>0</v>
      </c>
      <c r="AA345" t="str">
        <f t="shared" si="21"/>
        <v>x</v>
      </c>
      <c r="AB345" s="105">
        <f t="shared" si="22"/>
        <v>0</v>
      </c>
      <c r="AC345" s="12" t="str">
        <f>IF(VLOOKUP(A345,Data_NV!$A:$I,7,0)="Không","",IF(OR(AND(Y345=0,Z345=0),AND(Y345&lt;&gt;0,Z345&lt;&gt;0)),"","Quên chấm công"))</f>
        <v/>
      </c>
      <c r="AD345" s="12">
        <f>IF(VLOOKUP(A345,Data_NV!$A:$I,7,0)="Không",0,IF(AND(Y345=0,Z345=0),0,IF(X345&lt;=Z345,0,ROUNDDOWN((X345-Z345)*24*60,0))))</f>
        <v>0</v>
      </c>
      <c r="AE345" s="12">
        <f>IF(VLOOKUP(A345,Data_NV!$A:$I,6,0)="Không",0,IF(Z345&lt;=X345,0,ROUNDDOWN((Z345-X345)*24*60,0)))</f>
        <v>0</v>
      </c>
      <c r="AF345" s="26">
        <f t="shared" si="23"/>
        <v>0</v>
      </c>
      <c r="AG345" s="27" t="str">
        <f>IF(AC345="","",IF(COUNTIFS($AC$3:AC345,"Quên chấm công",$S$3:S345,S345)&gt;3,"Không chấm công do vi phạm quá 3 lần",IF(COUNTIFS($AC$3:AC345,"Quên chấm công",$S$3:S345,S345)&gt;2,"Trừ toàn bộ chuyên cần tháng do vi phạm lần 3",IF(COUNTIFS($AC$3:AC345,"Quên chấm công",$S$3:S345,S345)&gt;1,"Trừ 1/2 ngày lương",50000))))</f>
        <v/>
      </c>
      <c r="AH345" s="12" t="str">
        <f>IF(AF345=0,"",IF(COUNTIFS($AF$3:AF345,"&gt;0",$S$3:S345,S345)&gt;3,"Trừ toàn bộ chuyên cần tháng",""))</f>
        <v/>
      </c>
      <c r="AI345" s="12"/>
    </row>
    <row r="346" spans="1:35" x14ac:dyDescent="0.25">
      <c r="A346" s="4" t="s">
        <v>566</v>
      </c>
      <c r="B346" s="1" t="s">
        <v>567</v>
      </c>
      <c r="C346" s="1" t="s">
        <v>20</v>
      </c>
      <c r="D346" s="1" t="s">
        <v>74</v>
      </c>
      <c r="E346" s="1" t="s">
        <v>22</v>
      </c>
      <c r="F346" s="1" t="s">
        <v>23</v>
      </c>
      <c r="G346" s="1" t="s">
        <v>12</v>
      </c>
      <c r="H346" s="1" t="s">
        <v>24</v>
      </c>
      <c r="I346" s="1" t="s">
        <v>24</v>
      </c>
      <c r="J346" s="1" t="s">
        <v>25</v>
      </c>
      <c r="K346" s="1" t="s">
        <v>25</v>
      </c>
      <c r="L346" s="1" t="s">
        <v>26</v>
      </c>
      <c r="M346" s="1" t="s">
        <v>25</v>
      </c>
      <c r="N346" s="1" t="s">
        <v>25</v>
      </c>
      <c r="O346" s="1" t="s">
        <v>25</v>
      </c>
      <c r="P346" s="1" t="s">
        <v>25</v>
      </c>
      <c r="Q346" s="1" t="s">
        <v>25</v>
      </c>
      <c r="R346" s="85" t="str">
        <f t="shared" si="20"/>
        <v>2545914</v>
      </c>
      <c r="S346" t="str">
        <f>VLOOKUP(A346,Data_NV!$A:$C,3,0)</f>
        <v xml:space="preserve"> Nguyễn Hoàng Thực    </v>
      </c>
      <c r="T346" t="str">
        <f>VLOOKUP(A346,Data_NV!$A:$E,4,0)</f>
        <v>Vận Hành</v>
      </c>
      <c r="U346" s="82">
        <f>DATEVALUE(Table2[[#This Row],[Ngày]])</f>
        <v>45914</v>
      </c>
      <c r="V346" t="str">
        <f>VLOOKUP(A346,Data_NV!$A:$E,5,0)</f>
        <v>Đang làm việc</v>
      </c>
      <c r="W346" s="10">
        <f>VLOOKUP(A346,Data_NV!$A:$I,8,0)</f>
        <v>0.3125</v>
      </c>
      <c r="X346" s="10">
        <f>VLOOKUP(A346,Data_NV!$A:$I,9,0)</f>
        <v>0.6875</v>
      </c>
      <c r="Y346" s="10">
        <f>IFERROR(TIMEVALUE(Table2[[#This Row],[Vào]]),0)</f>
        <v>0</v>
      </c>
      <c r="Z346" s="10">
        <f>IFERROR(TIMEVALUE(Table2[[#This Row],[Ra]]),0)</f>
        <v>0</v>
      </c>
      <c r="AA346" t="str">
        <f t="shared" si="21"/>
        <v>Chủ nhật</v>
      </c>
      <c r="AB346" s="105">
        <f t="shared" si="22"/>
        <v>0</v>
      </c>
      <c r="AC346" s="12" t="str">
        <f>IF(VLOOKUP(A346,Data_NV!$A:$I,7,0)="Không","",IF(OR(AND(Y346=0,Z346=0),AND(Y346&lt;&gt;0,Z346&lt;&gt;0)),"","Quên chấm công"))</f>
        <v/>
      </c>
      <c r="AD346" s="12">
        <f>IF(VLOOKUP(A346,Data_NV!$A:$I,7,0)="Không",0,IF(AND(Y346=0,Z346=0),0,IF(X346&lt;=Z346,0,ROUNDDOWN((X346-Z346)*24*60,0))))</f>
        <v>0</v>
      </c>
      <c r="AE346" s="12">
        <f>IF(VLOOKUP(A346,Data_NV!$A:$I,6,0)="Không",0,IF(Z346&lt;=X346,0,ROUNDDOWN((Z346-X346)*24*60,0)))</f>
        <v>0</v>
      </c>
      <c r="AF346" s="26">
        <f t="shared" si="23"/>
        <v>0</v>
      </c>
      <c r="AG346" s="27" t="str">
        <f>IF(AC346="","",IF(COUNTIFS($AC$3:AC346,"Quên chấm công",$S$3:S346,S346)&gt;3,"Không chấm công do vi phạm quá 3 lần",IF(COUNTIFS($AC$3:AC346,"Quên chấm công",$S$3:S346,S346)&gt;2,"Trừ toàn bộ chuyên cần tháng do vi phạm lần 3",IF(COUNTIFS($AC$3:AC346,"Quên chấm công",$S$3:S346,S346)&gt;1,"Trừ 1/2 ngày lương",50000))))</f>
        <v/>
      </c>
      <c r="AH346" s="12" t="str">
        <f>IF(AF346=0,"",IF(COUNTIFS($AF$3:AF346,"&gt;0",$S$3:S346,S346)&gt;3,"Trừ toàn bộ chuyên cần tháng",""))</f>
        <v/>
      </c>
      <c r="AI346" s="12"/>
    </row>
    <row r="347" spans="1:35" x14ac:dyDescent="0.25">
      <c r="A347" s="4" t="s">
        <v>566</v>
      </c>
      <c r="B347" s="1" t="s">
        <v>567</v>
      </c>
      <c r="C347" s="1" t="s">
        <v>20</v>
      </c>
      <c r="D347" s="1" t="s">
        <v>75</v>
      </c>
      <c r="E347" s="1" t="s">
        <v>22</v>
      </c>
      <c r="F347" s="1" t="s">
        <v>23</v>
      </c>
      <c r="G347" s="1" t="s">
        <v>12</v>
      </c>
      <c r="H347" s="1" t="s">
        <v>578</v>
      </c>
      <c r="I347" s="1" t="s">
        <v>24</v>
      </c>
      <c r="J347" s="1" t="s">
        <v>25</v>
      </c>
      <c r="K347" s="1" t="s">
        <v>25</v>
      </c>
      <c r="L347" s="1" t="s">
        <v>26</v>
      </c>
      <c r="M347" s="1" t="s">
        <v>25</v>
      </c>
      <c r="N347" s="1" t="s">
        <v>25</v>
      </c>
      <c r="O347" s="1" t="s">
        <v>25</v>
      </c>
      <c r="P347" s="1" t="s">
        <v>25</v>
      </c>
      <c r="Q347" s="1" t="s">
        <v>25</v>
      </c>
      <c r="R347" s="85" t="str">
        <f t="shared" si="20"/>
        <v>2545915</v>
      </c>
      <c r="S347" t="str">
        <f>VLOOKUP(A347,Data_NV!$A:$C,3,0)</f>
        <v xml:space="preserve"> Nguyễn Hoàng Thực    </v>
      </c>
      <c r="T347" t="str">
        <f>VLOOKUP(A347,Data_NV!$A:$E,4,0)</f>
        <v>Vận Hành</v>
      </c>
      <c r="U347" s="82">
        <f>DATEVALUE(Table2[[#This Row],[Ngày]])</f>
        <v>45915</v>
      </c>
      <c r="V347" t="str">
        <f>VLOOKUP(A347,Data_NV!$A:$E,5,0)</f>
        <v>Đang làm việc</v>
      </c>
      <c r="W347" s="10">
        <f>VLOOKUP(A347,Data_NV!$A:$I,8,0)</f>
        <v>0.3125</v>
      </c>
      <c r="X347" s="10">
        <f>VLOOKUP(A347,Data_NV!$A:$I,9,0)</f>
        <v>0.6875</v>
      </c>
      <c r="Y347" s="10">
        <f>IFERROR(TIMEVALUE(Table2[[#This Row],[Vào]]),0)</f>
        <v>0.30853009259259262</v>
      </c>
      <c r="Z347" s="10">
        <f>IFERROR(TIMEVALUE(Table2[[#This Row],[Ra]]),0)</f>
        <v>0</v>
      </c>
      <c r="AA347" t="str">
        <f t="shared" si="21"/>
        <v>x</v>
      </c>
      <c r="AB347" s="105">
        <f t="shared" si="22"/>
        <v>0</v>
      </c>
      <c r="AC347" s="12" t="str">
        <f>IF(VLOOKUP(A347,Data_NV!$A:$I,7,0)="Không","",IF(OR(AND(Y347=0,Z347=0),AND(Y347&lt;&gt;0,Z347&lt;&gt;0)),"","Quên chấm công"))</f>
        <v/>
      </c>
      <c r="AD347" s="12">
        <f>IF(VLOOKUP(A347,Data_NV!$A:$I,7,0)="Không",0,IF(AND(Y347=0,Z347=0),0,IF(X347&lt;=Z347,0,ROUNDDOWN((X347-Z347)*24*60,0))))</f>
        <v>0</v>
      </c>
      <c r="AE347" s="12">
        <f>IF(VLOOKUP(A347,Data_NV!$A:$I,6,0)="Không",0,IF(Z347&lt;=X347,0,ROUNDDOWN((Z347-X347)*24*60,0)))</f>
        <v>0</v>
      </c>
      <c r="AF347" s="26">
        <f t="shared" si="23"/>
        <v>0</v>
      </c>
      <c r="AG347" s="27" t="str">
        <f>IF(AC347="","",IF(COUNTIFS($AC$3:AC347,"Quên chấm công",$S$3:S347,S347)&gt;3,"Không chấm công do vi phạm quá 3 lần",IF(COUNTIFS($AC$3:AC347,"Quên chấm công",$S$3:S347,S347)&gt;2,"Trừ toàn bộ chuyên cần tháng do vi phạm lần 3",IF(COUNTIFS($AC$3:AC347,"Quên chấm công",$S$3:S347,S347)&gt;1,"Trừ 1/2 ngày lương",50000))))</f>
        <v/>
      </c>
      <c r="AH347" s="12" t="str">
        <f>IF(AF347=0,"",IF(COUNTIFS($AF$3:AF347,"&gt;0",$S$3:S347,S347)&gt;3,"Trừ toàn bộ chuyên cần tháng",""))</f>
        <v/>
      </c>
      <c r="AI347" s="12"/>
    </row>
    <row r="348" spans="1:35" x14ac:dyDescent="0.25">
      <c r="A348" s="4" t="s">
        <v>566</v>
      </c>
      <c r="B348" s="1" t="s">
        <v>567</v>
      </c>
      <c r="C348" s="1" t="s">
        <v>20</v>
      </c>
      <c r="D348" s="1" t="s">
        <v>80</v>
      </c>
      <c r="E348" s="1" t="s">
        <v>22</v>
      </c>
      <c r="F348" s="1" t="s">
        <v>23</v>
      </c>
      <c r="G348" s="1" t="s">
        <v>12</v>
      </c>
      <c r="H348" s="1" t="s">
        <v>579</v>
      </c>
      <c r="I348" s="1" t="s">
        <v>24</v>
      </c>
      <c r="J348" s="1" t="s">
        <v>25</v>
      </c>
      <c r="K348" s="1" t="s">
        <v>25</v>
      </c>
      <c r="L348" s="1" t="s">
        <v>26</v>
      </c>
      <c r="M348" s="1" t="s">
        <v>25</v>
      </c>
      <c r="N348" s="1" t="s">
        <v>25</v>
      </c>
      <c r="O348" s="1" t="s">
        <v>25</v>
      </c>
      <c r="P348" s="1" t="s">
        <v>25</v>
      </c>
      <c r="Q348" s="1" t="s">
        <v>25</v>
      </c>
      <c r="R348" s="85" t="str">
        <f t="shared" si="20"/>
        <v>2545916</v>
      </c>
      <c r="S348" t="str">
        <f>VLOOKUP(A348,Data_NV!$A:$C,3,0)</f>
        <v xml:space="preserve"> Nguyễn Hoàng Thực    </v>
      </c>
      <c r="T348" t="str">
        <f>VLOOKUP(A348,Data_NV!$A:$E,4,0)</f>
        <v>Vận Hành</v>
      </c>
      <c r="U348" s="82">
        <f>DATEVALUE(Table2[[#This Row],[Ngày]])</f>
        <v>45916</v>
      </c>
      <c r="V348" t="str">
        <f>VLOOKUP(A348,Data_NV!$A:$E,5,0)</f>
        <v>Đang làm việc</v>
      </c>
      <c r="W348" s="10">
        <f>VLOOKUP(A348,Data_NV!$A:$I,8,0)</f>
        <v>0.3125</v>
      </c>
      <c r="X348" s="10">
        <f>VLOOKUP(A348,Data_NV!$A:$I,9,0)</f>
        <v>0.6875</v>
      </c>
      <c r="Y348" s="10">
        <f>IFERROR(TIMEVALUE(Table2[[#This Row],[Vào]]),0)</f>
        <v>0.31116898148148148</v>
      </c>
      <c r="Z348" s="10">
        <f>IFERROR(TIMEVALUE(Table2[[#This Row],[Ra]]),0)</f>
        <v>0</v>
      </c>
      <c r="AA348" t="str">
        <f t="shared" si="21"/>
        <v>x</v>
      </c>
      <c r="AB348" s="105">
        <f t="shared" si="22"/>
        <v>0</v>
      </c>
      <c r="AC348" s="12" t="str">
        <f>IF(VLOOKUP(A348,Data_NV!$A:$I,7,0)="Không","",IF(OR(AND(Y348=0,Z348=0),AND(Y348&lt;&gt;0,Z348&lt;&gt;0)),"","Quên chấm công"))</f>
        <v/>
      </c>
      <c r="AD348" s="12">
        <f>IF(VLOOKUP(A348,Data_NV!$A:$I,7,0)="Không",0,IF(AND(Y348=0,Z348=0),0,IF(X348&lt;=Z348,0,ROUNDDOWN((X348-Z348)*24*60,0))))</f>
        <v>0</v>
      </c>
      <c r="AE348" s="12">
        <f>IF(VLOOKUP(A348,Data_NV!$A:$I,6,0)="Không",0,IF(Z348&lt;=X348,0,ROUNDDOWN((Z348-X348)*24*60,0)))</f>
        <v>0</v>
      </c>
      <c r="AF348" s="26">
        <f t="shared" si="23"/>
        <v>0</v>
      </c>
      <c r="AG348" s="27" t="str">
        <f>IF(AC348="","",IF(COUNTIFS($AC$3:AC348,"Quên chấm công",$S$3:S348,S348)&gt;3,"Không chấm công do vi phạm quá 3 lần",IF(COUNTIFS($AC$3:AC348,"Quên chấm công",$S$3:S348,S348)&gt;2,"Trừ toàn bộ chuyên cần tháng do vi phạm lần 3",IF(COUNTIFS($AC$3:AC348,"Quên chấm công",$S$3:S348,S348)&gt;1,"Trừ 1/2 ngày lương",50000))))</f>
        <v/>
      </c>
      <c r="AH348" s="12" t="str">
        <f>IF(AF348=0,"",IF(COUNTIFS($AF$3:AF348,"&gt;0",$S$3:S348,S348)&gt;3,"Trừ toàn bộ chuyên cần tháng",""))</f>
        <v/>
      </c>
      <c r="AI348" s="12"/>
    </row>
    <row r="349" spans="1:35" x14ac:dyDescent="0.25">
      <c r="A349" s="4" t="s">
        <v>566</v>
      </c>
      <c r="B349" s="1" t="s">
        <v>567</v>
      </c>
      <c r="C349" s="1" t="s">
        <v>20</v>
      </c>
      <c r="D349" s="1" t="s">
        <v>85</v>
      </c>
      <c r="E349" s="1" t="s">
        <v>22</v>
      </c>
      <c r="F349" s="1" t="s">
        <v>23</v>
      </c>
      <c r="G349" s="1" t="s">
        <v>12</v>
      </c>
      <c r="H349" s="1" t="s">
        <v>580</v>
      </c>
      <c r="I349" s="1" t="s">
        <v>24</v>
      </c>
      <c r="J349" s="1" t="s">
        <v>25</v>
      </c>
      <c r="K349" s="1" t="s">
        <v>25</v>
      </c>
      <c r="L349" s="1" t="s">
        <v>26</v>
      </c>
      <c r="M349" s="1" t="s">
        <v>25</v>
      </c>
      <c r="N349" s="1" t="s">
        <v>25</v>
      </c>
      <c r="O349" s="1" t="s">
        <v>25</v>
      </c>
      <c r="P349" s="1" t="s">
        <v>25</v>
      </c>
      <c r="Q349" s="1" t="s">
        <v>25</v>
      </c>
      <c r="R349" s="85" t="str">
        <f t="shared" si="20"/>
        <v>2545917</v>
      </c>
      <c r="S349" t="str">
        <f>VLOOKUP(A349,Data_NV!$A:$C,3,0)</f>
        <v xml:space="preserve"> Nguyễn Hoàng Thực    </v>
      </c>
      <c r="T349" t="str">
        <f>VLOOKUP(A349,Data_NV!$A:$E,4,0)</f>
        <v>Vận Hành</v>
      </c>
      <c r="U349" s="82">
        <f>DATEVALUE(Table2[[#This Row],[Ngày]])</f>
        <v>45917</v>
      </c>
      <c r="V349" t="str">
        <f>VLOOKUP(A349,Data_NV!$A:$E,5,0)</f>
        <v>Đang làm việc</v>
      </c>
      <c r="W349" s="10">
        <f>VLOOKUP(A349,Data_NV!$A:$I,8,0)</f>
        <v>0.3125</v>
      </c>
      <c r="X349" s="10">
        <f>VLOOKUP(A349,Data_NV!$A:$I,9,0)</f>
        <v>0.6875</v>
      </c>
      <c r="Y349" s="10">
        <f>IFERROR(TIMEVALUE(Table2[[#This Row],[Vào]]),0)</f>
        <v>0.30723379629629627</v>
      </c>
      <c r="Z349" s="10">
        <f>IFERROR(TIMEVALUE(Table2[[#This Row],[Ra]]),0)</f>
        <v>0</v>
      </c>
      <c r="AA349" t="str">
        <f t="shared" si="21"/>
        <v>x</v>
      </c>
      <c r="AB349" s="105">
        <f t="shared" si="22"/>
        <v>0</v>
      </c>
      <c r="AC349" s="12" t="str">
        <f>IF(VLOOKUP(A349,Data_NV!$A:$I,7,0)="Không","",IF(OR(AND(Y349=0,Z349=0),AND(Y349&lt;&gt;0,Z349&lt;&gt;0)),"","Quên chấm công"))</f>
        <v/>
      </c>
      <c r="AD349" s="12">
        <f>IF(VLOOKUP(A349,Data_NV!$A:$I,7,0)="Không",0,IF(AND(Y349=0,Z349=0),0,IF(X349&lt;=Z349,0,ROUNDDOWN((X349-Z349)*24*60,0))))</f>
        <v>0</v>
      </c>
      <c r="AE349" s="12">
        <f>IF(VLOOKUP(A349,Data_NV!$A:$I,6,0)="Không",0,IF(Z349&lt;=X349,0,ROUNDDOWN((Z349-X349)*24*60,0)))</f>
        <v>0</v>
      </c>
      <c r="AF349" s="26">
        <f t="shared" si="23"/>
        <v>0</v>
      </c>
      <c r="AG349" s="27" t="str">
        <f>IF(AC349="","",IF(COUNTIFS($AC$3:AC349,"Quên chấm công",$S$3:S349,S349)&gt;3,"Không chấm công do vi phạm quá 3 lần",IF(COUNTIFS($AC$3:AC349,"Quên chấm công",$S$3:S349,S349)&gt;2,"Trừ toàn bộ chuyên cần tháng do vi phạm lần 3",IF(COUNTIFS($AC$3:AC349,"Quên chấm công",$S$3:S349,S349)&gt;1,"Trừ 1/2 ngày lương",50000))))</f>
        <v/>
      </c>
      <c r="AH349" s="12" t="str">
        <f>IF(AF349=0,"",IF(COUNTIFS($AF$3:AF349,"&gt;0",$S$3:S349,S349)&gt;3,"Trừ toàn bộ chuyên cần tháng",""))</f>
        <v/>
      </c>
      <c r="AI349" s="12"/>
    </row>
    <row r="350" spans="1:35" x14ac:dyDescent="0.25">
      <c r="A350" s="4" t="s">
        <v>566</v>
      </c>
      <c r="B350" s="1" t="s">
        <v>567</v>
      </c>
      <c r="C350" s="1" t="s">
        <v>20</v>
      </c>
      <c r="D350" s="1" t="s">
        <v>90</v>
      </c>
      <c r="E350" s="1" t="s">
        <v>22</v>
      </c>
      <c r="F350" s="1" t="s">
        <v>23</v>
      </c>
      <c r="G350" s="1" t="s">
        <v>12</v>
      </c>
      <c r="H350" s="1" t="s">
        <v>581</v>
      </c>
      <c r="I350" s="1" t="s">
        <v>24</v>
      </c>
      <c r="J350" s="1" t="s">
        <v>25</v>
      </c>
      <c r="K350" s="1" t="s">
        <v>25</v>
      </c>
      <c r="L350" s="1" t="s">
        <v>26</v>
      </c>
      <c r="M350" s="1" t="s">
        <v>25</v>
      </c>
      <c r="N350" s="1" t="s">
        <v>25</v>
      </c>
      <c r="O350" s="1" t="s">
        <v>25</v>
      </c>
      <c r="P350" s="1" t="s">
        <v>25</v>
      </c>
      <c r="Q350" s="1" t="s">
        <v>25</v>
      </c>
      <c r="R350" s="85" t="str">
        <f t="shared" si="20"/>
        <v>2545918</v>
      </c>
      <c r="S350" t="str">
        <f>VLOOKUP(A350,Data_NV!$A:$C,3,0)</f>
        <v xml:space="preserve"> Nguyễn Hoàng Thực    </v>
      </c>
      <c r="T350" t="str">
        <f>VLOOKUP(A350,Data_NV!$A:$E,4,0)</f>
        <v>Vận Hành</v>
      </c>
      <c r="U350" s="82">
        <f>DATEVALUE(Table2[[#This Row],[Ngày]])</f>
        <v>45918</v>
      </c>
      <c r="V350" t="str">
        <f>VLOOKUP(A350,Data_NV!$A:$E,5,0)</f>
        <v>Đang làm việc</v>
      </c>
      <c r="W350" s="10">
        <f>VLOOKUP(A350,Data_NV!$A:$I,8,0)</f>
        <v>0.3125</v>
      </c>
      <c r="X350" s="10">
        <f>VLOOKUP(A350,Data_NV!$A:$I,9,0)</f>
        <v>0.6875</v>
      </c>
      <c r="Y350" s="10">
        <f>IFERROR(TIMEVALUE(Table2[[#This Row],[Vào]]),0)</f>
        <v>0.31391203703703702</v>
      </c>
      <c r="Z350" s="10">
        <f>IFERROR(TIMEVALUE(Table2[[#This Row],[Ra]]),0)</f>
        <v>0</v>
      </c>
      <c r="AA350" t="str">
        <f t="shared" si="21"/>
        <v>x</v>
      </c>
      <c r="AB350" s="105">
        <f t="shared" si="22"/>
        <v>2.0333333333333048</v>
      </c>
      <c r="AC350" s="12" t="str">
        <f>IF(VLOOKUP(A350,Data_NV!$A:$I,7,0)="Không","",IF(OR(AND(Y350=0,Z350=0),AND(Y350&lt;&gt;0,Z350&lt;&gt;0)),"","Quên chấm công"))</f>
        <v/>
      </c>
      <c r="AD350" s="12">
        <f>IF(VLOOKUP(A350,Data_NV!$A:$I,7,0)="Không",0,IF(AND(Y350=0,Z350=0),0,IF(X350&lt;=Z350,0,ROUNDDOWN((X350-Z350)*24*60,0))))</f>
        <v>0</v>
      </c>
      <c r="AE350" s="12">
        <f>IF(VLOOKUP(A350,Data_NV!$A:$I,6,0)="Không",0,IF(Z350&lt;=X350,0,ROUNDDOWN((Z350-X350)*24*60,0)))</f>
        <v>0</v>
      </c>
      <c r="AF350" s="26">
        <f t="shared" si="23"/>
        <v>0</v>
      </c>
      <c r="AG350" s="27" t="str">
        <f>IF(AC350="","",IF(COUNTIFS($AC$3:AC350,"Quên chấm công",$S$3:S350,S350)&gt;3,"Không chấm công do vi phạm quá 3 lần",IF(COUNTIFS($AC$3:AC350,"Quên chấm công",$S$3:S350,S350)&gt;2,"Trừ toàn bộ chuyên cần tháng do vi phạm lần 3",IF(COUNTIFS($AC$3:AC350,"Quên chấm công",$S$3:S350,S350)&gt;1,"Trừ 1/2 ngày lương",50000))))</f>
        <v/>
      </c>
      <c r="AH350" s="12" t="str">
        <f>IF(AF350=0,"",IF(COUNTIFS($AF$3:AF350,"&gt;0",$S$3:S350,S350)&gt;3,"Trừ toàn bộ chuyên cần tháng",""))</f>
        <v/>
      </c>
      <c r="AI350" s="12"/>
    </row>
    <row r="351" spans="1:35" x14ac:dyDescent="0.25">
      <c r="A351" s="4" t="s">
        <v>566</v>
      </c>
      <c r="B351" s="1" t="s">
        <v>567</v>
      </c>
      <c r="C351" s="1" t="s">
        <v>20</v>
      </c>
      <c r="D351" s="1" t="s">
        <v>95</v>
      </c>
      <c r="E351" s="1" t="s">
        <v>22</v>
      </c>
      <c r="F351" s="1" t="s">
        <v>23</v>
      </c>
      <c r="G351" s="1" t="s">
        <v>12</v>
      </c>
      <c r="H351" s="1" t="s">
        <v>582</v>
      </c>
      <c r="I351" s="1" t="s">
        <v>24</v>
      </c>
      <c r="J351" s="1" t="s">
        <v>25</v>
      </c>
      <c r="K351" s="1" t="s">
        <v>25</v>
      </c>
      <c r="L351" s="1" t="s">
        <v>26</v>
      </c>
      <c r="M351" s="1" t="s">
        <v>25</v>
      </c>
      <c r="N351" s="1" t="s">
        <v>25</v>
      </c>
      <c r="O351" s="1" t="s">
        <v>25</v>
      </c>
      <c r="P351" s="1" t="s">
        <v>25</v>
      </c>
      <c r="Q351" s="1" t="s">
        <v>25</v>
      </c>
      <c r="R351" s="85" t="str">
        <f t="shared" si="20"/>
        <v>2545919</v>
      </c>
      <c r="S351" t="str">
        <f>VLOOKUP(A351,Data_NV!$A:$C,3,0)</f>
        <v xml:space="preserve"> Nguyễn Hoàng Thực    </v>
      </c>
      <c r="T351" t="str">
        <f>VLOOKUP(A351,Data_NV!$A:$E,4,0)</f>
        <v>Vận Hành</v>
      </c>
      <c r="U351" s="82">
        <f>DATEVALUE(Table2[[#This Row],[Ngày]])</f>
        <v>45919</v>
      </c>
      <c r="V351" t="str">
        <f>VLOOKUP(A351,Data_NV!$A:$E,5,0)</f>
        <v>Đang làm việc</v>
      </c>
      <c r="W351" s="10">
        <f>VLOOKUP(A351,Data_NV!$A:$I,8,0)</f>
        <v>0.3125</v>
      </c>
      <c r="X351" s="10">
        <f>VLOOKUP(A351,Data_NV!$A:$I,9,0)</f>
        <v>0.6875</v>
      </c>
      <c r="Y351" s="10">
        <f>IFERROR(TIMEVALUE(Table2[[#This Row],[Vào]]),0)</f>
        <v>0.31199074074074074</v>
      </c>
      <c r="Z351" s="10">
        <f>IFERROR(TIMEVALUE(Table2[[#This Row],[Ra]]),0)</f>
        <v>0</v>
      </c>
      <c r="AA351" t="str">
        <f t="shared" si="21"/>
        <v>x</v>
      </c>
      <c r="AB351" s="105">
        <f t="shared" si="22"/>
        <v>0</v>
      </c>
      <c r="AC351" s="12" t="str">
        <f>IF(VLOOKUP(A351,Data_NV!$A:$I,7,0)="Không","",IF(OR(AND(Y351=0,Z351=0),AND(Y351&lt;&gt;0,Z351&lt;&gt;0)),"","Quên chấm công"))</f>
        <v/>
      </c>
      <c r="AD351" s="12">
        <f>IF(VLOOKUP(A351,Data_NV!$A:$I,7,0)="Không",0,IF(AND(Y351=0,Z351=0),0,IF(X351&lt;=Z351,0,ROUNDDOWN((X351-Z351)*24*60,0))))</f>
        <v>0</v>
      </c>
      <c r="AE351" s="12">
        <f>IF(VLOOKUP(A351,Data_NV!$A:$I,6,0)="Không",0,IF(Z351&lt;=X351,0,ROUNDDOWN((Z351-X351)*24*60,0)))</f>
        <v>0</v>
      </c>
      <c r="AF351" s="26">
        <f t="shared" si="23"/>
        <v>0</v>
      </c>
      <c r="AG351" s="27" t="str">
        <f>IF(AC351="","",IF(COUNTIFS($AC$3:AC351,"Quên chấm công",$S$3:S351,S351)&gt;3,"Không chấm công do vi phạm quá 3 lần",IF(COUNTIFS($AC$3:AC351,"Quên chấm công",$S$3:S351,S351)&gt;2,"Trừ toàn bộ chuyên cần tháng do vi phạm lần 3",IF(COUNTIFS($AC$3:AC351,"Quên chấm công",$S$3:S351,S351)&gt;1,"Trừ 1/2 ngày lương",50000))))</f>
        <v/>
      </c>
      <c r="AH351" s="12" t="str">
        <f>IF(AF351=0,"",IF(COUNTIFS($AF$3:AF351,"&gt;0",$S$3:S351,S351)&gt;3,"Trừ toàn bộ chuyên cần tháng",""))</f>
        <v/>
      </c>
      <c r="AI351" s="12"/>
    </row>
    <row r="352" spans="1:35" x14ac:dyDescent="0.25">
      <c r="A352" s="4" t="s">
        <v>566</v>
      </c>
      <c r="B352" s="1" t="s">
        <v>567</v>
      </c>
      <c r="C352" s="1" t="s">
        <v>20</v>
      </c>
      <c r="D352" s="1" t="s">
        <v>100</v>
      </c>
      <c r="E352" s="1" t="s">
        <v>22</v>
      </c>
      <c r="F352" s="1" t="s">
        <v>23</v>
      </c>
      <c r="G352" s="1" t="s">
        <v>12</v>
      </c>
      <c r="H352" s="1" t="s">
        <v>583</v>
      </c>
      <c r="I352" s="1" t="s">
        <v>24</v>
      </c>
      <c r="J352" s="1" t="s">
        <v>25</v>
      </c>
      <c r="K352" s="1" t="s">
        <v>25</v>
      </c>
      <c r="L352" s="1" t="s">
        <v>26</v>
      </c>
      <c r="M352" s="1" t="s">
        <v>25</v>
      </c>
      <c r="N352" s="1" t="s">
        <v>25</v>
      </c>
      <c r="O352" s="1" t="s">
        <v>25</v>
      </c>
      <c r="P352" s="1" t="s">
        <v>25</v>
      </c>
      <c r="Q352" s="1" t="s">
        <v>25</v>
      </c>
      <c r="R352" s="85" t="str">
        <f t="shared" si="20"/>
        <v>2545920</v>
      </c>
      <c r="S352" t="str">
        <f>VLOOKUP(A352,Data_NV!$A:$C,3,0)</f>
        <v xml:space="preserve"> Nguyễn Hoàng Thực    </v>
      </c>
      <c r="T352" t="str">
        <f>VLOOKUP(A352,Data_NV!$A:$E,4,0)</f>
        <v>Vận Hành</v>
      </c>
      <c r="U352" s="82">
        <f>DATEVALUE(Table2[[#This Row],[Ngày]])</f>
        <v>45920</v>
      </c>
      <c r="V352" t="str">
        <f>VLOOKUP(A352,Data_NV!$A:$E,5,0)</f>
        <v>Đang làm việc</v>
      </c>
      <c r="W352" s="10">
        <f>VLOOKUP(A352,Data_NV!$A:$I,8,0)</f>
        <v>0.3125</v>
      </c>
      <c r="X352" s="10">
        <f>VLOOKUP(A352,Data_NV!$A:$I,9,0)</f>
        <v>0.6875</v>
      </c>
      <c r="Y352" s="10">
        <f>IFERROR(TIMEVALUE(Table2[[#This Row],[Vào]]),0)</f>
        <v>0.31082175925925926</v>
      </c>
      <c r="Z352" s="10">
        <f>IFERROR(TIMEVALUE(Table2[[#This Row],[Ra]]),0)</f>
        <v>0</v>
      </c>
      <c r="AA352" t="str">
        <f t="shared" si="21"/>
        <v>x</v>
      </c>
      <c r="AB352" s="105">
        <f t="shared" si="22"/>
        <v>0</v>
      </c>
      <c r="AC352" s="12" t="str">
        <f>IF(VLOOKUP(A352,Data_NV!$A:$I,7,0)="Không","",IF(OR(AND(Y352=0,Z352=0),AND(Y352&lt;&gt;0,Z352&lt;&gt;0)),"","Quên chấm công"))</f>
        <v/>
      </c>
      <c r="AD352" s="12">
        <f>IF(VLOOKUP(A352,Data_NV!$A:$I,7,0)="Không",0,IF(AND(Y352=0,Z352=0),0,IF(X352&lt;=Z352,0,ROUNDDOWN((X352-Z352)*24*60,0))))</f>
        <v>0</v>
      </c>
      <c r="AE352" s="12">
        <f>IF(VLOOKUP(A352,Data_NV!$A:$I,6,0)="Không",0,IF(Z352&lt;=X352,0,ROUNDDOWN((Z352-X352)*24*60,0)))</f>
        <v>0</v>
      </c>
      <c r="AF352" s="26">
        <f t="shared" si="23"/>
        <v>0</v>
      </c>
      <c r="AG352" s="27" t="str">
        <f>IF(AC352="","",IF(COUNTIFS($AC$3:AC352,"Quên chấm công",$S$3:S352,S352)&gt;3,"Không chấm công do vi phạm quá 3 lần",IF(COUNTIFS($AC$3:AC352,"Quên chấm công",$S$3:S352,S352)&gt;2,"Trừ toàn bộ chuyên cần tháng do vi phạm lần 3",IF(COUNTIFS($AC$3:AC352,"Quên chấm công",$S$3:S352,S352)&gt;1,"Trừ 1/2 ngày lương",50000))))</f>
        <v/>
      </c>
      <c r="AH352" s="12" t="str">
        <f>IF(AF352=0,"",IF(COUNTIFS($AF$3:AF352,"&gt;0",$S$3:S352,S352)&gt;3,"Trừ toàn bộ chuyên cần tháng",""))</f>
        <v/>
      </c>
      <c r="AI352" s="12"/>
    </row>
    <row r="353" spans="1:35" x14ac:dyDescent="0.25">
      <c r="A353" s="4" t="s">
        <v>566</v>
      </c>
      <c r="B353" s="1" t="s">
        <v>567</v>
      </c>
      <c r="C353" s="1" t="s">
        <v>20</v>
      </c>
      <c r="D353" s="1" t="s">
        <v>105</v>
      </c>
      <c r="E353" s="1" t="s">
        <v>22</v>
      </c>
      <c r="F353" s="1" t="s">
        <v>23</v>
      </c>
      <c r="G353" s="1" t="s">
        <v>12</v>
      </c>
      <c r="H353" s="1" t="s">
        <v>24</v>
      </c>
      <c r="I353" s="1" t="s">
        <v>24</v>
      </c>
      <c r="J353" s="1" t="s">
        <v>25</v>
      </c>
      <c r="K353" s="1" t="s">
        <v>25</v>
      </c>
      <c r="L353" s="1" t="s">
        <v>26</v>
      </c>
      <c r="M353" s="1" t="s">
        <v>25</v>
      </c>
      <c r="N353" s="1" t="s">
        <v>25</v>
      </c>
      <c r="O353" s="1" t="s">
        <v>25</v>
      </c>
      <c r="P353" s="1" t="s">
        <v>25</v>
      </c>
      <c r="Q353" s="1" t="s">
        <v>25</v>
      </c>
      <c r="R353" s="85" t="str">
        <f t="shared" si="20"/>
        <v>2545921</v>
      </c>
      <c r="S353" t="str">
        <f>VLOOKUP(A353,Data_NV!$A:$C,3,0)</f>
        <v xml:space="preserve"> Nguyễn Hoàng Thực    </v>
      </c>
      <c r="T353" t="str">
        <f>VLOOKUP(A353,Data_NV!$A:$E,4,0)</f>
        <v>Vận Hành</v>
      </c>
      <c r="U353" s="82">
        <f>DATEVALUE(Table2[[#This Row],[Ngày]])</f>
        <v>45921</v>
      </c>
      <c r="V353" t="str">
        <f>VLOOKUP(A353,Data_NV!$A:$E,5,0)</f>
        <v>Đang làm việc</v>
      </c>
      <c r="W353" s="10">
        <f>VLOOKUP(A353,Data_NV!$A:$I,8,0)</f>
        <v>0.3125</v>
      </c>
      <c r="X353" s="10">
        <f>VLOOKUP(A353,Data_NV!$A:$I,9,0)</f>
        <v>0.6875</v>
      </c>
      <c r="Y353" s="10">
        <f>IFERROR(TIMEVALUE(Table2[[#This Row],[Vào]]),0)</f>
        <v>0</v>
      </c>
      <c r="Z353" s="10">
        <f>IFERROR(TIMEVALUE(Table2[[#This Row],[Ra]]),0)</f>
        <v>0</v>
      </c>
      <c r="AA353" t="str">
        <f t="shared" si="21"/>
        <v>Chủ nhật</v>
      </c>
      <c r="AB353" s="105">
        <f t="shared" si="22"/>
        <v>0</v>
      </c>
      <c r="AC353" s="12" t="str">
        <f>IF(VLOOKUP(A353,Data_NV!$A:$I,7,0)="Không","",IF(OR(AND(Y353=0,Z353=0),AND(Y353&lt;&gt;0,Z353&lt;&gt;0)),"","Quên chấm công"))</f>
        <v/>
      </c>
      <c r="AD353" s="12">
        <f>IF(VLOOKUP(A353,Data_NV!$A:$I,7,0)="Không",0,IF(AND(Y353=0,Z353=0),0,IF(X353&lt;=Z353,0,ROUNDDOWN((X353-Z353)*24*60,0))))</f>
        <v>0</v>
      </c>
      <c r="AE353" s="12">
        <f>IF(VLOOKUP(A353,Data_NV!$A:$I,6,0)="Không",0,IF(Z353&lt;=X353,0,ROUNDDOWN((Z353-X353)*24*60,0)))</f>
        <v>0</v>
      </c>
      <c r="AF353" s="26">
        <f t="shared" si="23"/>
        <v>0</v>
      </c>
      <c r="AG353" s="27" t="str">
        <f>IF(AC353="","",IF(COUNTIFS($AC$3:AC353,"Quên chấm công",$S$3:S353,S353)&gt;3,"Không chấm công do vi phạm quá 3 lần",IF(COUNTIFS($AC$3:AC353,"Quên chấm công",$S$3:S353,S353)&gt;2,"Trừ toàn bộ chuyên cần tháng do vi phạm lần 3",IF(COUNTIFS($AC$3:AC353,"Quên chấm công",$S$3:S353,S353)&gt;1,"Trừ 1/2 ngày lương",50000))))</f>
        <v/>
      </c>
      <c r="AH353" s="12" t="str">
        <f>IF(AF353=0,"",IF(COUNTIFS($AF$3:AF353,"&gt;0",$S$3:S353,S353)&gt;3,"Trừ toàn bộ chuyên cần tháng",""))</f>
        <v/>
      </c>
      <c r="AI353" s="12"/>
    </row>
    <row r="354" spans="1:35" x14ac:dyDescent="0.25">
      <c r="A354" s="4" t="s">
        <v>566</v>
      </c>
      <c r="B354" s="1" t="s">
        <v>567</v>
      </c>
      <c r="C354" s="1" t="s">
        <v>20</v>
      </c>
      <c r="D354" s="1" t="s">
        <v>106</v>
      </c>
      <c r="E354" s="1" t="s">
        <v>22</v>
      </c>
      <c r="F354" s="1" t="s">
        <v>23</v>
      </c>
      <c r="G354" s="1" t="s">
        <v>12</v>
      </c>
      <c r="H354" s="1" t="s">
        <v>584</v>
      </c>
      <c r="I354" s="1" t="s">
        <v>24</v>
      </c>
      <c r="J354" s="1" t="s">
        <v>25</v>
      </c>
      <c r="K354" s="1" t="s">
        <v>25</v>
      </c>
      <c r="L354" s="1" t="s">
        <v>26</v>
      </c>
      <c r="M354" s="1" t="s">
        <v>25</v>
      </c>
      <c r="N354" s="1" t="s">
        <v>25</v>
      </c>
      <c r="O354" s="1" t="s">
        <v>25</v>
      </c>
      <c r="P354" s="1" t="s">
        <v>25</v>
      </c>
      <c r="Q354" s="1" t="s">
        <v>25</v>
      </c>
      <c r="R354" s="85" t="str">
        <f t="shared" si="20"/>
        <v>2545922</v>
      </c>
      <c r="S354" t="str">
        <f>VLOOKUP(A354,Data_NV!$A:$C,3,0)</f>
        <v xml:space="preserve"> Nguyễn Hoàng Thực    </v>
      </c>
      <c r="T354" t="str">
        <f>VLOOKUP(A354,Data_NV!$A:$E,4,0)</f>
        <v>Vận Hành</v>
      </c>
      <c r="U354" s="82">
        <f>DATEVALUE(Table2[[#This Row],[Ngày]])</f>
        <v>45922</v>
      </c>
      <c r="V354" t="str">
        <f>VLOOKUP(A354,Data_NV!$A:$E,5,0)</f>
        <v>Đang làm việc</v>
      </c>
      <c r="W354" s="10">
        <f>VLOOKUP(A354,Data_NV!$A:$I,8,0)</f>
        <v>0.3125</v>
      </c>
      <c r="X354" s="10">
        <f>VLOOKUP(A354,Data_NV!$A:$I,9,0)</f>
        <v>0.6875</v>
      </c>
      <c r="Y354" s="10">
        <f>IFERROR(TIMEVALUE(Table2[[#This Row],[Vào]]),0)</f>
        <v>0.31006944444444445</v>
      </c>
      <c r="Z354" s="10">
        <f>IFERROR(TIMEVALUE(Table2[[#This Row],[Ra]]),0)</f>
        <v>0</v>
      </c>
      <c r="AA354" t="str">
        <f t="shared" si="21"/>
        <v>x</v>
      </c>
      <c r="AB354" s="105">
        <f t="shared" si="22"/>
        <v>0</v>
      </c>
      <c r="AC354" s="12" t="str">
        <f>IF(VLOOKUP(A354,Data_NV!$A:$I,7,0)="Không","",IF(OR(AND(Y354=0,Z354=0),AND(Y354&lt;&gt;0,Z354&lt;&gt;0)),"","Quên chấm công"))</f>
        <v/>
      </c>
      <c r="AD354" s="12">
        <f>IF(VLOOKUP(A354,Data_NV!$A:$I,7,0)="Không",0,IF(AND(Y354=0,Z354=0),0,IF(X354&lt;=Z354,0,ROUNDDOWN((X354-Z354)*24*60,0))))</f>
        <v>0</v>
      </c>
      <c r="AE354" s="12">
        <f>IF(VLOOKUP(A354,Data_NV!$A:$I,6,0)="Không",0,IF(Z354&lt;=X354,0,ROUNDDOWN((Z354-X354)*24*60,0)))</f>
        <v>0</v>
      </c>
      <c r="AF354" s="26">
        <f t="shared" si="23"/>
        <v>0</v>
      </c>
      <c r="AG354" s="27" t="str">
        <f>IF(AC354="","",IF(COUNTIFS($AC$3:AC354,"Quên chấm công",$S$3:S354,S354)&gt;3,"Không chấm công do vi phạm quá 3 lần",IF(COUNTIFS($AC$3:AC354,"Quên chấm công",$S$3:S354,S354)&gt;2,"Trừ toàn bộ chuyên cần tháng do vi phạm lần 3",IF(COUNTIFS($AC$3:AC354,"Quên chấm công",$S$3:S354,S354)&gt;1,"Trừ 1/2 ngày lương",50000))))</f>
        <v/>
      </c>
      <c r="AH354" s="12" t="str">
        <f>IF(AF354=0,"",IF(COUNTIFS($AF$3:AF354,"&gt;0",$S$3:S354,S354)&gt;3,"Trừ toàn bộ chuyên cần tháng",""))</f>
        <v/>
      </c>
      <c r="AI354" s="12"/>
    </row>
    <row r="355" spans="1:35" x14ac:dyDescent="0.25">
      <c r="A355" s="4" t="s">
        <v>566</v>
      </c>
      <c r="B355" s="1" t="s">
        <v>567</v>
      </c>
      <c r="C355" s="1" t="s">
        <v>20</v>
      </c>
      <c r="D355" s="1" t="s">
        <v>111</v>
      </c>
      <c r="E355" s="1" t="s">
        <v>22</v>
      </c>
      <c r="F355" s="1" t="s">
        <v>23</v>
      </c>
      <c r="G355" s="1" t="s">
        <v>12</v>
      </c>
      <c r="H355" s="1" t="s">
        <v>86</v>
      </c>
      <c r="I355" s="1" t="s">
        <v>24</v>
      </c>
      <c r="J355" s="1" t="s">
        <v>25</v>
      </c>
      <c r="K355" s="1" t="s">
        <v>25</v>
      </c>
      <c r="L355" s="1" t="s">
        <v>26</v>
      </c>
      <c r="M355" s="1" t="s">
        <v>25</v>
      </c>
      <c r="N355" s="1" t="s">
        <v>25</v>
      </c>
      <c r="O355" s="1" t="s">
        <v>25</v>
      </c>
      <c r="P355" s="1" t="s">
        <v>25</v>
      </c>
      <c r="Q355" s="1" t="s">
        <v>25</v>
      </c>
      <c r="R355" s="85" t="str">
        <f t="shared" si="20"/>
        <v>2545923</v>
      </c>
      <c r="S355" t="str">
        <f>VLOOKUP(A355,Data_NV!$A:$C,3,0)</f>
        <v xml:space="preserve"> Nguyễn Hoàng Thực    </v>
      </c>
      <c r="T355" t="str">
        <f>VLOOKUP(A355,Data_NV!$A:$E,4,0)</f>
        <v>Vận Hành</v>
      </c>
      <c r="U355" s="82">
        <f>DATEVALUE(Table2[[#This Row],[Ngày]])</f>
        <v>45923</v>
      </c>
      <c r="V355" t="str">
        <f>VLOOKUP(A355,Data_NV!$A:$E,5,0)</f>
        <v>Đang làm việc</v>
      </c>
      <c r="W355" s="10">
        <f>VLOOKUP(A355,Data_NV!$A:$I,8,0)</f>
        <v>0.3125</v>
      </c>
      <c r="X355" s="10">
        <f>VLOOKUP(A355,Data_NV!$A:$I,9,0)</f>
        <v>0.6875</v>
      </c>
      <c r="Y355" s="10">
        <f>IFERROR(TIMEVALUE(Table2[[#This Row],[Vào]]),0)</f>
        <v>0.30554398148148149</v>
      </c>
      <c r="Z355" s="10">
        <f>IFERROR(TIMEVALUE(Table2[[#This Row],[Ra]]),0)</f>
        <v>0</v>
      </c>
      <c r="AA355" t="str">
        <f t="shared" si="21"/>
        <v>x</v>
      </c>
      <c r="AB355" s="105">
        <f t="shared" si="22"/>
        <v>0</v>
      </c>
      <c r="AC355" s="12" t="str">
        <f>IF(VLOOKUP(A355,Data_NV!$A:$I,7,0)="Không","",IF(OR(AND(Y355=0,Z355=0),AND(Y355&lt;&gt;0,Z355&lt;&gt;0)),"","Quên chấm công"))</f>
        <v/>
      </c>
      <c r="AD355" s="12">
        <f>IF(VLOOKUP(A355,Data_NV!$A:$I,7,0)="Không",0,IF(AND(Y355=0,Z355=0),0,IF(X355&lt;=Z355,0,ROUNDDOWN((X355-Z355)*24*60,0))))</f>
        <v>0</v>
      </c>
      <c r="AE355" s="12">
        <f>IF(VLOOKUP(A355,Data_NV!$A:$I,6,0)="Không",0,IF(Z355&lt;=X355,0,ROUNDDOWN((Z355-X355)*24*60,0)))</f>
        <v>0</v>
      </c>
      <c r="AF355" s="26">
        <f t="shared" si="23"/>
        <v>0</v>
      </c>
      <c r="AG355" s="27" t="str">
        <f>IF(AC355="","",IF(COUNTIFS($AC$3:AC355,"Quên chấm công",$S$3:S355,S355)&gt;3,"Không chấm công do vi phạm quá 3 lần",IF(COUNTIFS($AC$3:AC355,"Quên chấm công",$S$3:S355,S355)&gt;2,"Trừ toàn bộ chuyên cần tháng do vi phạm lần 3",IF(COUNTIFS($AC$3:AC355,"Quên chấm công",$S$3:S355,S355)&gt;1,"Trừ 1/2 ngày lương",50000))))</f>
        <v/>
      </c>
      <c r="AH355" s="12" t="str">
        <f>IF(AF355=0,"",IF(COUNTIFS($AF$3:AF355,"&gt;0",$S$3:S355,S355)&gt;3,"Trừ toàn bộ chuyên cần tháng",""))</f>
        <v/>
      </c>
      <c r="AI355" s="12"/>
    </row>
    <row r="356" spans="1:35" x14ac:dyDescent="0.25">
      <c r="A356" s="4" t="s">
        <v>566</v>
      </c>
      <c r="B356" s="1" t="s">
        <v>567</v>
      </c>
      <c r="C356" s="1" t="s">
        <v>20</v>
      </c>
      <c r="D356" s="1" t="s">
        <v>116</v>
      </c>
      <c r="E356" s="1" t="s">
        <v>22</v>
      </c>
      <c r="F356" s="1" t="s">
        <v>23</v>
      </c>
      <c r="G356" s="1" t="s">
        <v>12</v>
      </c>
      <c r="H356" s="1" t="s">
        <v>585</v>
      </c>
      <c r="I356" s="1" t="s">
        <v>24</v>
      </c>
      <c r="J356" s="1" t="s">
        <v>25</v>
      </c>
      <c r="K356" s="1" t="s">
        <v>25</v>
      </c>
      <c r="L356" s="1" t="s">
        <v>26</v>
      </c>
      <c r="M356" s="1" t="s">
        <v>25</v>
      </c>
      <c r="N356" s="1" t="s">
        <v>25</v>
      </c>
      <c r="O356" s="1" t="s">
        <v>25</v>
      </c>
      <c r="P356" s="1" t="s">
        <v>25</v>
      </c>
      <c r="Q356" s="1" t="s">
        <v>25</v>
      </c>
      <c r="R356" s="85" t="str">
        <f t="shared" si="20"/>
        <v>2545924</v>
      </c>
      <c r="S356" t="str">
        <f>VLOOKUP(A356,Data_NV!$A:$C,3,0)</f>
        <v xml:space="preserve"> Nguyễn Hoàng Thực    </v>
      </c>
      <c r="T356" t="str">
        <f>VLOOKUP(A356,Data_NV!$A:$E,4,0)</f>
        <v>Vận Hành</v>
      </c>
      <c r="U356" s="82">
        <f>DATEVALUE(Table2[[#This Row],[Ngày]])</f>
        <v>45924</v>
      </c>
      <c r="V356" t="str">
        <f>VLOOKUP(A356,Data_NV!$A:$E,5,0)</f>
        <v>Đang làm việc</v>
      </c>
      <c r="W356" s="10">
        <f>VLOOKUP(A356,Data_NV!$A:$I,8,0)</f>
        <v>0.3125</v>
      </c>
      <c r="X356" s="10">
        <f>VLOOKUP(A356,Data_NV!$A:$I,9,0)</f>
        <v>0.6875</v>
      </c>
      <c r="Y356" s="10">
        <f>IFERROR(TIMEVALUE(Table2[[#This Row],[Vào]]),0)</f>
        <v>0.30917824074074074</v>
      </c>
      <c r="Z356" s="10">
        <f>IFERROR(TIMEVALUE(Table2[[#This Row],[Ra]]),0)</f>
        <v>0</v>
      </c>
      <c r="AA356" t="str">
        <f t="shared" si="21"/>
        <v>x</v>
      </c>
      <c r="AB356" s="105">
        <f t="shared" si="22"/>
        <v>0</v>
      </c>
      <c r="AC356" s="12" t="str">
        <f>IF(VLOOKUP(A356,Data_NV!$A:$I,7,0)="Không","",IF(OR(AND(Y356=0,Z356=0),AND(Y356&lt;&gt;0,Z356&lt;&gt;0)),"","Quên chấm công"))</f>
        <v/>
      </c>
      <c r="AD356" s="12">
        <f>IF(VLOOKUP(A356,Data_NV!$A:$I,7,0)="Không",0,IF(AND(Y356=0,Z356=0),0,IF(X356&lt;=Z356,0,ROUNDDOWN((X356-Z356)*24*60,0))))</f>
        <v>0</v>
      </c>
      <c r="AE356" s="12">
        <f>IF(VLOOKUP(A356,Data_NV!$A:$I,6,0)="Không",0,IF(Z356&lt;=X356,0,ROUNDDOWN((Z356-X356)*24*60,0)))</f>
        <v>0</v>
      </c>
      <c r="AF356" s="26">
        <f t="shared" si="23"/>
        <v>0</v>
      </c>
      <c r="AG356" s="27" t="str">
        <f>IF(AC356="","",IF(COUNTIFS($AC$3:AC356,"Quên chấm công",$S$3:S356,S356)&gt;3,"Không chấm công do vi phạm quá 3 lần",IF(COUNTIFS($AC$3:AC356,"Quên chấm công",$S$3:S356,S356)&gt;2,"Trừ toàn bộ chuyên cần tháng do vi phạm lần 3",IF(COUNTIFS($AC$3:AC356,"Quên chấm công",$S$3:S356,S356)&gt;1,"Trừ 1/2 ngày lương",50000))))</f>
        <v/>
      </c>
      <c r="AH356" s="12" t="str">
        <f>IF(AF356=0,"",IF(COUNTIFS($AF$3:AF356,"&gt;0",$S$3:S356,S356)&gt;3,"Trừ toàn bộ chuyên cần tháng",""))</f>
        <v/>
      </c>
      <c r="AI356" s="12"/>
    </row>
    <row r="357" spans="1:35" x14ac:dyDescent="0.25">
      <c r="A357" s="4" t="s">
        <v>566</v>
      </c>
      <c r="B357" s="1" t="s">
        <v>567</v>
      </c>
      <c r="C357" s="1" t="s">
        <v>20</v>
      </c>
      <c r="D357" s="1" t="s">
        <v>121</v>
      </c>
      <c r="E357" s="1" t="s">
        <v>22</v>
      </c>
      <c r="F357" s="1" t="s">
        <v>23</v>
      </c>
      <c r="G357" s="1" t="s">
        <v>12</v>
      </c>
      <c r="H357" s="1" t="s">
        <v>586</v>
      </c>
      <c r="I357" s="1" t="s">
        <v>24</v>
      </c>
      <c r="J357" s="1" t="s">
        <v>25</v>
      </c>
      <c r="K357" s="1" t="s">
        <v>25</v>
      </c>
      <c r="L357" s="1" t="s">
        <v>26</v>
      </c>
      <c r="M357" s="1" t="s">
        <v>25</v>
      </c>
      <c r="N357" s="1" t="s">
        <v>25</v>
      </c>
      <c r="O357" s="1" t="s">
        <v>25</v>
      </c>
      <c r="P357" s="1" t="s">
        <v>25</v>
      </c>
      <c r="Q357" s="1" t="s">
        <v>25</v>
      </c>
      <c r="R357" s="85" t="str">
        <f t="shared" si="20"/>
        <v>2545925</v>
      </c>
      <c r="S357" t="str">
        <f>VLOOKUP(A357,Data_NV!$A:$C,3,0)</f>
        <v xml:space="preserve"> Nguyễn Hoàng Thực    </v>
      </c>
      <c r="T357" t="str">
        <f>VLOOKUP(A357,Data_NV!$A:$E,4,0)</f>
        <v>Vận Hành</v>
      </c>
      <c r="U357" s="82">
        <f>DATEVALUE(Table2[[#This Row],[Ngày]])</f>
        <v>45925</v>
      </c>
      <c r="V357" t="str">
        <f>VLOOKUP(A357,Data_NV!$A:$E,5,0)</f>
        <v>Đang làm việc</v>
      </c>
      <c r="W357" s="10">
        <f>VLOOKUP(A357,Data_NV!$A:$I,8,0)</f>
        <v>0.3125</v>
      </c>
      <c r="X357" s="10">
        <f>VLOOKUP(A357,Data_NV!$A:$I,9,0)</f>
        <v>0.6875</v>
      </c>
      <c r="Y357" s="10">
        <f>IFERROR(TIMEVALUE(Table2[[#This Row],[Vào]]),0)</f>
        <v>0.30547453703703703</v>
      </c>
      <c r="Z357" s="10">
        <f>IFERROR(TIMEVALUE(Table2[[#This Row],[Ra]]),0)</f>
        <v>0</v>
      </c>
      <c r="AA357" t="str">
        <f t="shared" si="21"/>
        <v>x</v>
      </c>
      <c r="AB357" s="105">
        <f t="shared" si="22"/>
        <v>0</v>
      </c>
      <c r="AC357" s="12" t="str">
        <f>IF(VLOOKUP(A357,Data_NV!$A:$I,7,0)="Không","",IF(OR(AND(Y357=0,Z357=0),AND(Y357&lt;&gt;0,Z357&lt;&gt;0)),"","Quên chấm công"))</f>
        <v/>
      </c>
      <c r="AD357" s="12">
        <f>IF(VLOOKUP(A357,Data_NV!$A:$I,7,0)="Không",0,IF(AND(Y357=0,Z357=0),0,IF(X357&lt;=Z357,0,ROUNDDOWN((X357-Z357)*24*60,0))))</f>
        <v>0</v>
      </c>
      <c r="AE357" s="12">
        <f>IF(VLOOKUP(A357,Data_NV!$A:$I,6,0)="Không",0,IF(Z357&lt;=X357,0,ROUNDDOWN((Z357-X357)*24*60,0)))</f>
        <v>0</v>
      </c>
      <c r="AF357" s="26">
        <f t="shared" si="23"/>
        <v>0</v>
      </c>
      <c r="AG357" s="27" t="str">
        <f>IF(AC357="","",IF(COUNTIFS($AC$3:AC357,"Quên chấm công",$S$3:S357,S357)&gt;3,"Không chấm công do vi phạm quá 3 lần",IF(COUNTIFS($AC$3:AC357,"Quên chấm công",$S$3:S357,S357)&gt;2,"Trừ toàn bộ chuyên cần tháng do vi phạm lần 3",IF(COUNTIFS($AC$3:AC357,"Quên chấm công",$S$3:S357,S357)&gt;1,"Trừ 1/2 ngày lương",50000))))</f>
        <v/>
      </c>
      <c r="AH357" s="12" t="str">
        <f>IF(AF357=0,"",IF(COUNTIFS($AF$3:AF357,"&gt;0",$S$3:S357,S357)&gt;3,"Trừ toàn bộ chuyên cần tháng",""))</f>
        <v/>
      </c>
      <c r="AI357" s="12"/>
    </row>
    <row r="358" spans="1:35" x14ac:dyDescent="0.25">
      <c r="A358" s="4" t="s">
        <v>566</v>
      </c>
      <c r="B358" s="1" t="s">
        <v>567</v>
      </c>
      <c r="C358" s="1" t="s">
        <v>20</v>
      </c>
      <c r="D358" s="1" t="s">
        <v>123</v>
      </c>
      <c r="E358" s="1" t="s">
        <v>22</v>
      </c>
      <c r="F358" s="1" t="s">
        <v>23</v>
      </c>
      <c r="G358" s="1" t="s">
        <v>12</v>
      </c>
      <c r="H358" s="1" t="s">
        <v>587</v>
      </c>
      <c r="I358" s="1" t="s">
        <v>24</v>
      </c>
      <c r="J358" s="1" t="s">
        <v>25</v>
      </c>
      <c r="K358" s="1" t="s">
        <v>25</v>
      </c>
      <c r="L358" s="1" t="s">
        <v>26</v>
      </c>
      <c r="M358" s="1" t="s">
        <v>25</v>
      </c>
      <c r="N358" s="1" t="s">
        <v>25</v>
      </c>
      <c r="O358" s="1" t="s">
        <v>25</v>
      </c>
      <c r="P358" s="1" t="s">
        <v>25</v>
      </c>
      <c r="Q358" s="1" t="s">
        <v>25</v>
      </c>
      <c r="R358" s="85" t="str">
        <f t="shared" si="20"/>
        <v>2545926</v>
      </c>
      <c r="S358" t="str">
        <f>VLOOKUP(A358,Data_NV!$A:$C,3,0)</f>
        <v xml:space="preserve"> Nguyễn Hoàng Thực    </v>
      </c>
      <c r="T358" t="str">
        <f>VLOOKUP(A358,Data_NV!$A:$E,4,0)</f>
        <v>Vận Hành</v>
      </c>
      <c r="U358" s="82">
        <f>DATEVALUE(Table2[[#This Row],[Ngày]])</f>
        <v>45926</v>
      </c>
      <c r="V358" t="str">
        <f>VLOOKUP(A358,Data_NV!$A:$E,5,0)</f>
        <v>Đang làm việc</v>
      </c>
      <c r="W358" s="10">
        <f>VLOOKUP(A358,Data_NV!$A:$I,8,0)</f>
        <v>0.3125</v>
      </c>
      <c r="X358" s="10">
        <f>VLOOKUP(A358,Data_NV!$A:$I,9,0)</f>
        <v>0.6875</v>
      </c>
      <c r="Y358" s="10">
        <f>IFERROR(TIMEVALUE(Table2[[#This Row],[Vào]]),0)</f>
        <v>0.30989583333333331</v>
      </c>
      <c r="Z358" s="10">
        <f>IFERROR(TIMEVALUE(Table2[[#This Row],[Ra]]),0)</f>
        <v>0</v>
      </c>
      <c r="AA358" t="str">
        <f t="shared" si="21"/>
        <v>x</v>
      </c>
      <c r="AB358" s="105">
        <f t="shared" si="22"/>
        <v>0</v>
      </c>
      <c r="AC358" s="12" t="str">
        <f>IF(VLOOKUP(A358,Data_NV!$A:$I,7,0)="Không","",IF(OR(AND(Y358=0,Z358=0),AND(Y358&lt;&gt;0,Z358&lt;&gt;0)),"","Quên chấm công"))</f>
        <v/>
      </c>
      <c r="AD358" s="12">
        <f>IF(VLOOKUP(A358,Data_NV!$A:$I,7,0)="Không",0,IF(AND(Y358=0,Z358=0),0,IF(X358&lt;=Z358,0,ROUNDDOWN((X358-Z358)*24*60,0))))</f>
        <v>0</v>
      </c>
      <c r="AE358" s="12">
        <f>IF(VLOOKUP(A358,Data_NV!$A:$I,6,0)="Không",0,IF(Z358&lt;=X358,0,ROUNDDOWN((Z358-X358)*24*60,0)))</f>
        <v>0</v>
      </c>
      <c r="AF358" s="26">
        <f t="shared" si="23"/>
        <v>0</v>
      </c>
      <c r="AG358" s="27" t="str">
        <f>IF(AC358="","",IF(COUNTIFS($AC$3:AC358,"Quên chấm công",$S$3:S358,S358)&gt;3,"Không chấm công do vi phạm quá 3 lần",IF(COUNTIFS($AC$3:AC358,"Quên chấm công",$S$3:S358,S358)&gt;2,"Trừ toàn bộ chuyên cần tháng do vi phạm lần 3",IF(COUNTIFS($AC$3:AC358,"Quên chấm công",$S$3:S358,S358)&gt;1,"Trừ 1/2 ngày lương",50000))))</f>
        <v/>
      </c>
      <c r="AH358" s="12" t="str">
        <f>IF(AF358=0,"",IF(COUNTIFS($AF$3:AF358,"&gt;0",$S$3:S358,S358)&gt;3,"Trừ toàn bộ chuyên cần tháng",""))</f>
        <v/>
      </c>
      <c r="AI358" s="12"/>
    </row>
    <row r="359" spans="1:35" x14ac:dyDescent="0.25">
      <c r="A359" s="4" t="s">
        <v>566</v>
      </c>
      <c r="B359" s="1" t="s">
        <v>567</v>
      </c>
      <c r="C359" s="1" t="s">
        <v>20</v>
      </c>
      <c r="D359" s="1" t="s">
        <v>125</v>
      </c>
      <c r="E359" s="1" t="s">
        <v>22</v>
      </c>
      <c r="F359" s="1" t="s">
        <v>23</v>
      </c>
      <c r="G359" s="1" t="s">
        <v>12</v>
      </c>
      <c r="H359" s="1" t="s">
        <v>588</v>
      </c>
      <c r="I359" s="1" t="s">
        <v>24</v>
      </c>
      <c r="J359" s="1" t="s">
        <v>25</v>
      </c>
      <c r="K359" s="1" t="s">
        <v>25</v>
      </c>
      <c r="L359" s="1" t="s">
        <v>26</v>
      </c>
      <c r="M359" s="1" t="s">
        <v>25</v>
      </c>
      <c r="N359" s="1" t="s">
        <v>25</v>
      </c>
      <c r="O359" s="1" t="s">
        <v>25</v>
      </c>
      <c r="P359" s="1" t="s">
        <v>25</v>
      </c>
      <c r="Q359" s="1" t="s">
        <v>25</v>
      </c>
      <c r="R359" s="85" t="str">
        <f t="shared" si="20"/>
        <v>2545927</v>
      </c>
      <c r="S359" t="str">
        <f>VLOOKUP(A359,Data_NV!$A:$C,3,0)</f>
        <v xml:space="preserve"> Nguyễn Hoàng Thực    </v>
      </c>
      <c r="T359" t="str">
        <f>VLOOKUP(A359,Data_NV!$A:$E,4,0)</f>
        <v>Vận Hành</v>
      </c>
      <c r="U359" s="82">
        <f>DATEVALUE(Table2[[#This Row],[Ngày]])</f>
        <v>45927</v>
      </c>
      <c r="V359" t="str">
        <f>VLOOKUP(A359,Data_NV!$A:$E,5,0)</f>
        <v>Đang làm việc</v>
      </c>
      <c r="W359" s="10">
        <f>VLOOKUP(A359,Data_NV!$A:$I,8,0)</f>
        <v>0.3125</v>
      </c>
      <c r="X359" s="10">
        <f>VLOOKUP(A359,Data_NV!$A:$I,9,0)</f>
        <v>0.6875</v>
      </c>
      <c r="Y359" s="10">
        <f>IFERROR(TIMEVALUE(Table2[[#This Row],[Vào]]),0)</f>
        <v>0.31266203703703704</v>
      </c>
      <c r="Z359" s="10">
        <f>IFERROR(TIMEVALUE(Table2[[#This Row],[Ra]]),0)</f>
        <v>0</v>
      </c>
      <c r="AA359" t="str">
        <f t="shared" si="21"/>
        <v>x</v>
      </c>
      <c r="AB359" s="105">
        <f t="shared" si="22"/>
        <v>0.23333333333334316</v>
      </c>
      <c r="AC359" s="12" t="str">
        <f>IF(VLOOKUP(A359,Data_NV!$A:$I,7,0)="Không","",IF(OR(AND(Y359=0,Z359=0),AND(Y359&lt;&gt;0,Z359&lt;&gt;0)),"","Quên chấm công"))</f>
        <v/>
      </c>
      <c r="AD359" s="12">
        <f>IF(VLOOKUP(A359,Data_NV!$A:$I,7,0)="Không",0,IF(AND(Y359=0,Z359=0),0,IF(X359&lt;=Z359,0,ROUNDDOWN((X359-Z359)*24*60,0))))</f>
        <v>0</v>
      </c>
      <c r="AE359" s="12">
        <f>IF(VLOOKUP(A359,Data_NV!$A:$I,6,0)="Không",0,IF(Z359&lt;=X359,0,ROUNDDOWN((Z359-X359)*24*60,0)))</f>
        <v>0</v>
      </c>
      <c r="AF359" s="26">
        <f t="shared" si="23"/>
        <v>0</v>
      </c>
      <c r="AG359" s="27" t="str">
        <f>IF(AC359="","",IF(COUNTIFS($AC$3:AC359,"Quên chấm công",$S$3:S359,S359)&gt;3,"Không chấm công do vi phạm quá 3 lần",IF(COUNTIFS($AC$3:AC359,"Quên chấm công",$S$3:S359,S359)&gt;2,"Trừ toàn bộ chuyên cần tháng do vi phạm lần 3",IF(COUNTIFS($AC$3:AC359,"Quên chấm công",$S$3:S359,S359)&gt;1,"Trừ 1/2 ngày lương",50000))))</f>
        <v/>
      </c>
      <c r="AH359" s="12" t="str">
        <f>IF(AF359=0,"",IF(COUNTIFS($AF$3:AF359,"&gt;0",$S$3:S359,S359)&gt;3,"Trừ toàn bộ chuyên cần tháng",""))</f>
        <v/>
      </c>
      <c r="AI359" s="12"/>
    </row>
    <row r="360" spans="1:35" x14ac:dyDescent="0.25">
      <c r="A360" s="4" t="s">
        <v>566</v>
      </c>
      <c r="B360" s="1" t="s">
        <v>567</v>
      </c>
      <c r="C360" s="1" t="s">
        <v>20</v>
      </c>
      <c r="D360" s="1" t="s">
        <v>130</v>
      </c>
      <c r="E360" s="1" t="s">
        <v>22</v>
      </c>
      <c r="F360" s="1" t="s">
        <v>23</v>
      </c>
      <c r="G360" s="1" t="s">
        <v>12</v>
      </c>
      <c r="H360" s="1" t="s">
        <v>24</v>
      </c>
      <c r="I360" s="1" t="s">
        <v>24</v>
      </c>
      <c r="J360" s="1" t="s">
        <v>25</v>
      </c>
      <c r="K360" s="1" t="s">
        <v>25</v>
      </c>
      <c r="L360" s="1" t="s">
        <v>26</v>
      </c>
      <c r="M360" s="1" t="s">
        <v>25</v>
      </c>
      <c r="N360" s="1" t="s">
        <v>25</v>
      </c>
      <c r="O360" s="1" t="s">
        <v>25</v>
      </c>
      <c r="P360" s="1" t="s">
        <v>25</v>
      </c>
      <c r="Q360" s="1" t="s">
        <v>25</v>
      </c>
      <c r="R360" s="85" t="str">
        <f t="shared" si="20"/>
        <v>2545928</v>
      </c>
      <c r="S360" t="str">
        <f>VLOOKUP(A360,Data_NV!$A:$C,3,0)</f>
        <v xml:space="preserve"> Nguyễn Hoàng Thực    </v>
      </c>
      <c r="T360" t="str">
        <f>VLOOKUP(A360,Data_NV!$A:$E,4,0)</f>
        <v>Vận Hành</v>
      </c>
      <c r="U360" s="82">
        <f>DATEVALUE(Table2[[#This Row],[Ngày]])</f>
        <v>45928</v>
      </c>
      <c r="V360" t="str">
        <f>VLOOKUP(A360,Data_NV!$A:$E,5,0)</f>
        <v>Đang làm việc</v>
      </c>
      <c r="W360" s="10">
        <f>VLOOKUP(A360,Data_NV!$A:$I,8,0)</f>
        <v>0.3125</v>
      </c>
      <c r="X360" s="10">
        <f>VLOOKUP(A360,Data_NV!$A:$I,9,0)</f>
        <v>0.6875</v>
      </c>
      <c r="Y360" s="10">
        <f>IFERROR(TIMEVALUE(Table2[[#This Row],[Vào]]),0)</f>
        <v>0</v>
      </c>
      <c r="Z360" s="10">
        <f>IFERROR(TIMEVALUE(Table2[[#This Row],[Ra]]),0)</f>
        <v>0</v>
      </c>
      <c r="AA360" t="str">
        <f t="shared" si="21"/>
        <v>Chủ nhật</v>
      </c>
      <c r="AB360" s="105">
        <f t="shared" si="22"/>
        <v>0</v>
      </c>
      <c r="AC360" s="12" t="str">
        <f>IF(VLOOKUP(A360,Data_NV!$A:$I,7,0)="Không","",IF(OR(AND(Y360=0,Z360=0),AND(Y360&lt;&gt;0,Z360&lt;&gt;0)),"","Quên chấm công"))</f>
        <v/>
      </c>
      <c r="AD360" s="12">
        <f>IF(VLOOKUP(A360,Data_NV!$A:$I,7,0)="Không",0,IF(AND(Y360=0,Z360=0),0,IF(X360&lt;=Z360,0,ROUNDDOWN((X360-Z360)*24*60,0))))</f>
        <v>0</v>
      </c>
      <c r="AE360" s="12">
        <f>IF(VLOOKUP(A360,Data_NV!$A:$I,6,0)="Không",0,IF(Z360&lt;=X360,0,ROUNDDOWN((Z360-X360)*24*60,0)))</f>
        <v>0</v>
      </c>
      <c r="AF360" s="26">
        <f t="shared" si="23"/>
        <v>0</v>
      </c>
      <c r="AG360" s="27" t="str">
        <f>IF(AC360="","",IF(COUNTIFS($AC$3:AC360,"Quên chấm công",$S$3:S360,S360)&gt;3,"Không chấm công do vi phạm quá 3 lần",IF(COUNTIFS($AC$3:AC360,"Quên chấm công",$S$3:S360,S360)&gt;2,"Trừ toàn bộ chuyên cần tháng do vi phạm lần 3",IF(COUNTIFS($AC$3:AC360,"Quên chấm công",$S$3:S360,S360)&gt;1,"Trừ 1/2 ngày lương",50000))))</f>
        <v/>
      </c>
      <c r="AH360" s="12" t="str">
        <f>IF(AF360=0,"",IF(COUNTIFS($AF$3:AF360,"&gt;0",$S$3:S360,S360)&gt;3,"Trừ toàn bộ chuyên cần tháng",""))</f>
        <v/>
      </c>
      <c r="AI360" s="12"/>
    </row>
    <row r="361" spans="1:35" x14ac:dyDescent="0.25">
      <c r="A361" s="4" t="s">
        <v>566</v>
      </c>
      <c r="B361" s="1" t="s">
        <v>567</v>
      </c>
      <c r="C361" s="1" t="s">
        <v>20</v>
      </c>
      <c r="D361" s="1" t="s">
        <v>131</v>
      </c>
      <c r="E361" s="1" t="s">
        <v>22</v>
      </c>
      <c r="F361" s="1" t="s">
        <v>23</v>
      </c>
      <c r="G361" s="1" t="s">
        <v>12</v>
      </c>
      <c r="H361" s="1" t="s">
        <v>589</v>
      </c>
      <c r="I361" s="1" t="s">
        <v>24</v>
      </c>
      <c r="J361" s="1" t="s">
        <v>25</v>
      </c>
      <c r="K361" s="1" t="s">
        <v>25</v>
      </c>
      <c r="L361" s="1" t="s">
        <v>26</v>
      </c>
      <c r="M361" s="1" t="s">
        <v>25</v>
      </c>
      <c r="N361" s="1" t="s">
        <v>25</v>
      </c>
      <c r="O361" s="1" t="s">
        <v>25</v>
      </c>
      <c r="P361" s="1" t="s">
        <v>25</v>
      </c>
      <c r="Q361" s="1" t="s">
        <v>25</v>
      </c>
      <c r="R361" s="85" t="str">
        <f t="shared" si="20"/>
        <v>2545929</v>
      </c>
      <c r="S361" t="str">
        <f>VLOOKUP(A361,Data_NV!$A:$C,3,0)</f>
        <v xml:space="preserve"> Nguyễn Hoàng Thực    </v>
      </c>
      <c r="T361" t="str">
        <f>VLOOKUP(A361,Data_NV!$A:$E,4,0)</f>
        <v>Vận Hành</v>
      </c>
      <c r="U361" s="82">
        <f>DATEVALUE(Table2[[#This Row],[Ngày]])</f>
        <v>45929</v>
      </c>
      <c r="V361" t="str">
        <f>VLOOKUP(A361,Data_NV!$A:$E,5,0)</f>
        <v>Đang làm việc</v>
      </c>
      <c r="W361" s="10">
        <f>VLOOKUP(A361,Data_NV!$A:$I,8,0)</f>
        <v>0.3125</v>
      </c>
      <c r="X361" s="10">
        <f>VLOOKUP(A361,Data_NV!$A:$I,9,0)</f>
        <v>0.6875</v>
      </c>
      <c r="Y361" s="10">
        <f>IFERROR(TIMEVALUE(Table2[[#This Row],[Vào]]),0)</f>
        <v>0.30978009259259259</v>
      </c>
      <c r="Z361" s="10">
        <f>IFERROR(TIMEVALUE(Table2[[#This Row],[Ra]]),0)</f>
        <v>0</v>
      </c>
      <c r="AA361" t="str">
        <f t="shared" si="21"/>
        <v>x</v>
      </c>
      <c r="AB361" s="105">
        <f t="shared" si="22"/>
        <v>0</v>
      </c>
      <c r="AC361" s="12" t="str">
        <f>IF(VLOOKUP(A361,Data_NV!$A:$I,7,0)="Không","",IF(OR(AND(Y361=0,Z361=0),AND(Y361&lt;&gt;0,Z361&lt;&gt;0)),"","Quên chấm công"))</f>
        <v/>
      </c>
      <c r="AD361" s="12">
        <f>IF(VLOOKUP(A361,Data_NV!$A:$I,7,0)="Không",0,IF(AND(Y361=0,Z361=0),0,IF(X361&lt;=Z361,0,ROUNDDOWN((X361-Z361)*24*60,0))))</f>
        <v>0</v>
      </c>
      <c r="AE361" s="12">
        <f>IF(VLOOKUP(A361,Data_NV!$A:$I,6,0)="Không",0,IF(Z361&lt;=X361,0,ROUNDDOWN((Z361-X361)*24*60,0)))</f>
        <v>0</v>
      </c>
      <c r="AF361" s="26">
        <f t="shared" si="23"/>
        <v>0</v>
      </c>
      <c r="AG361" s="27" t="str">
        <f>IF(AC361="","",IF(COUNTIFS($AC$3:AC361,"Quên chấm công",$S$3:S361,S361)&gt;3,"Không chấm công do vi phạm quá 3 lần",IF(COUNTIFS($AC$3:AC361,"Quên chấm công",$S$3:S361,S361)&gt;2,"Trừ toàn bộ chuyên cần tháng do vi phạm lần 3",IF(COUNTIFS($AC$3:AC361,"Quên chấm công",$S$3:S361,S361)&gt;1,"Trừ 1/2 ngày lương",50000))))</f>
        <v/>
      </c>
      <c r="AH361" s="12" t="str">
        <f>IF(AF361=0,"",IF(COUNTIFS($AF$3:AF361,"&gt;0",$S$3:S361,S361)&gt;3,"Trừ toàn bộ chuyên cần tháng",""))</f>
        <v/>
      </c>
      <c r="AI361" s="12"/>
    </row>
    <row r="362" spans="1:35" x14ac:dyDescent="0.25">
      <c r="A362" s="4" t="s">
        <v>566</v>
      </c>
      <c r="B362" s="1" t="s">
        <v>567</v>
      </c>
      <c r="C362" s="1" t="s">
        <v>20</v>
      </c>
      <c r="D362" s="1" t="s">
        <v>136</v>
      </c>
      <c r="E362" s="1" t="s">
        <v>22</v>
      </c>
      <c r="F362" s="1" t="s">
        <v>23</v>
      </c>
      <c r="G362" s="1" t="s">
        <v>12</v>
      </c>
      <c r="H362" s="1" t="s">
        <v>590</v>
      </c>
      <c r="I362" s="1" t="s">
        <v>24</v>
      </c>
      <c r="J362" s="1" t="s">
        <v>25</v>
      </c>
      <c r="K362" s="1" t="s">
        <v>25</v>
      </c>
      <c r="L362" s="1" t="s">
        <v>26</v>
      </c>
      <c r="M362" s="1" t="s">
        <v>25</v>
      </c>
      <c r="N362" s="1" t="s">
        <v>25</v>
      </c>
      <c r="O362" s="1" t="s">
        <v>25</v>
      </c>
      <c r="P362" s="1" t="s">
        <v>25</v>
      </c>
      <c r="Q362" s="1" t="s">
        <v>25</v>
      </c>
      <c r="R362" s="85" t="str">
        <f t="shared" si="20"/>
        <v>2545930</v>
      </c>
      <c r="S362" t="str">
        <f>VLOOKUP(A362,Data_NV!$A:$C,3,0)</f>
        <v xml:space="preserve"> Nguyễn Hoàng Thực    </v>
      </c>
      <c r="T362" t="str">
        <f>VLOOKUP(A362,Data_NV!$A:$E,4,0)</f>
        <v>Vận Hành</v>
      </c>
      <c r="U362" s="82">
        <f>DATEVALUE(Table2[[#This Row],[Ngày]])</f>
        <v>45930</v>
      </c>
      <c r="V362" t="str">
        <f>VLOOKUP(A362,Data_NV!$A:$E,5,0)</f>
        <v>Đang làm việc</v>
      </c>
      <c r="W362" s="10">
        <f>VLOOKUP(A362,Data_NV!$A:$I,8,0)</f>
        <v>0.3125</v>
      </c>
      <c r="X362" s="10">
        <f>VLOOKUP(A362,Data_NV!$A:$I,9,0)</f>
        <v>0.6875</v>
      </c>
      <c r="Y362" s="10">
        <f>IFERROR(TIMEVALUE(Table2[[#This Row],[Vào]]),0)</f>
        <v>0.31165509259259261</v>
      </c>
      <c r="Z362" s="10">
        <f>IFERROR(TIMEVALUE(Table2[[#This Row],[Ra]]),0)</f>
        <v>0</v>
      </c>
      <c r="AA362" t="str">
        <f t="shared" si="21"/>
        <v>x</v>
      </c>
      <c r="AB362" s="105">
        <f t="shared" si="22"/>
        <v>0</v>
      </c>
      <c r="AC362" s="12" t="str">
        <f>IF(VLOOKUP(A362,Data_NV!$A:$I,7,0)="Không","",IF(OR(AND(Y362=0,Z362=0),AND(Y362&lt;&gt;0,Z362&lt;&gt;0)),"","Quên chấm công"))</f>
        <v/>
      </c>
      <c r="AD362" s="12">
        <f>IF(VLOOKUP(A362,Data_NV!$A:$I,7,0)="Không",0,IF(AND(Y362=0,Z362=0),0,IF(X362&lt;=Z362,0,ROUNDDOWN((X362-Z362)*24*60,0))))</f>
        <v>0</v>
      </c>
      <c r="AE362" s="12">
        <f>IF(VLOOKUP(A362,Data_NV!$A:$I,6,0)="Không",0,IF(Z362&lt;=X362,0,ROUNDDOWN((Z362-X362)*24*60,0)))</f>
        <v>0</v>
      </c>
      <c r="AF362" s="26">
        <f t="shared" si="23"/>
        <v>0</v>
      </c>
      <c r="AG362" s="27" t="str">
        <f>IF(AC362="","",IF(COUNTIFS($AC$3:AC362,"Quên chấm công",$S$3:S362,S362)&gt;3,"Không chấm công do vi phạm quá 3 lần",IF(COUNTIFS($AC$3:AC362,"Quên chấm công",$S$3:S362,S362)&gt;2,"Trừ toàn bộ chuyên cần tháng do vi phạm lần 3",IF(COUNTIFS($AC$3:AC362,"Quên chấm công",$S$3:S362,S362)&gt;1,"Trừ 1/2 ngày lương",50000))))</f>
        <v/>
      </c>
      <c r="AH362" s="12" t="str">
        <f>IF(AF362=0,"",IF(COUNTIFS($AF$3:AF362,"&gt;0",$S$3:S362,S362)&gt;3,"Trừ toàn bộ chuyên cần tháng",""))</f>
        <v/>
      </c>
      <c r="AI362" s="12"/>
    </row>
    <row r="363" spans="1:35" x14ac:dyDescent="0.25">
      <c r="A363" s="4" t="s">
        <v>605</v>
      </c>
      <c r="B363" s="1" t="s">
        <v>230</v>
      </c>
      <c r="C363" s="1" t="s">
        <v>20</v>
      </c>
      <c r="D363" s="1" t="s">
        <v>21</v>
      </c>
      <c r="E363" s="1" t="s">
        <v>22</v>
      </c>
      <c r="F363" s="1" t="s">
        <v>23</v>
      </c>
      <c r="G363" s="1" t="s">
        <v>12</v>
      </c>
      <c r="H363" s="1" t="s">
        <v>24</v>
      </c>
      <c r="I363" s="1" t="s">
        <v>24</v>
      </c>
      <c r="J363" s="1" t="s">
        <v>25</v>
      </c>
      <c r="K363" s="1" t="s">
        <v>25</v>
      </c>
      <c r="L363" s="1" t="s">
        <v>26</v>
      </c>
      <c r="M363" s="1" t="s">
        <v>25</v>
      </c>
      <c r="N363" s="1" t="s">
        <v>25</v>
      </c>
      <c r="O363" s="1" t="s">
        <v>25</v>
      </c>
      <c r="P363" s="1" t="s">
        <v>25</v>
      </c>
      <c r="Q363" s="1" t="s">
        <v>25</v>
      </c>
      <c r="R363" s="85" t="str">
        <f t="shared" si="20"/>
        <v>3245901</v>
      </c>
      <c r="S363" t="str">
        <f>VLOOKUP(A363,Data_NV!$A:$C,3,0)</f>
        <v xml:space="preserve"> Huỳnh Thanh Phong  </v>
      </c>
      <c r="T363" t="str">
        <f>VLOOKUP(A363,Data_NV!$A:$E,4,0)</f>
        <v>Vận Hành</v>
      </c>
      <c r="U363" s="82">
        <f>DATEVALUE(Table2[[#This Row],[Ngày]])</f>
        <v>45901</v>
      </c>
      <c r="V363" t="str">
        <f>VLOOKUP(A363,Data_NV!$A:$E,5,0)</f>
        <v>Đang làm việc</v>
      </c>
      <c r="W363" s="10">
        <f>VLOOKUP(A363,Data_NV!$A:$I,8,0)</f>
        <v>0.3125</v>
      </c>
      <c r="X363" s="10">
        <f>VLOOKUP(A363,Data_NV!$A:$I,9,0)</f>
        <v>0.6875</v>
      </c>
      <c r="Y363" s="10">
        <f>IFERROR(TIMEVALUE(Table2[[#This Row],[Vào]]),0)</f>
        <v>0</v>
      </c>
      <c r="Z363" s="10">
        <f>IFERROR(TIMEVALUE(Table2[[#This Row],[Ra]]),0)</f>
        <v>0</v>
      </c>
      <c r="AA363" s="97" t="s">
        <v>1349</v>
      </c>
      <c r="AB363" s="105">
        <f t="shared" si="22"/>
        <v>0</v>
      </c>
      <c r="AC363" s="12" t="str">
        <f>IF(VLOOKUP(A363,Data_NV!$A:$I,7,0)="Không","",IF(OR(AND(Y363=0,Z363=0),AND(Y363&lt;&gt;0,Z363&lt;&gt;0)),"","Quên chấm công"))</f>
        <v/>
      </c>
      <c r="AD363" s="12">
        <f>IF(VLOOKUP(A363,Data_NV!$A:$I,7,0)="Không",0,IF(AND(Y363=0,Z363=0),0,IF(X363&lt;=Z363,0,ROUNDDOWN((X363-Z363)*24*60,0))))</f>
        <v>0</v>
      </c>
      <c r="AE363" s="12">
        <f>IF(VLOOKUP(A363,Data_NV!$A:$I,6,0)="Không",0,IF(Z363&lt;=X363,0,ROUNDDOWN((Z363-X363)*24*60,0)))</f>
        <v>0</v>
      </c>
      <c r="AF363" s="26">
        <f t="shared" si="23"/>
        <v>0</v>
      </c>
      <c r="AG363" s="27" t="str">
        <f>IF(AC363="","",IF(COUNTIFS($AC$3:AC363,"Quên chấm công",$S$3:S363,S363)&gt;3,"Không chấm công do vi phạm quá 3 lần",IF(COUNTIFS($AC$3:AC363,"Quên chấm công",$S$3:S363,S363)&gt;2,"Trừ toàn bộ chuyên cần tháng do vi phạm lần 3",IF(COUNTIFS($AC$3:AC363,"Quên chấm công",$S$3:S363,S363)&gt;1,"Trừ 1/2 ngày lương",50000))))</f>
        <v/>
      </c>
      <c r="AH363" s="12" t="str">
        <f>IF(AF363=0,"",IF(COUNTIFS($AF$3:AF363,"&gt;0",$S$3:S363,S363)&gt;3,"Trừ toàn bộ chuyên cần tháng",""))</f>
        <v/>
      </c>
      <c r="AI363" s="98" t="s">
        <v>1369</v>
      </c>
    </row>
    <row r="364" spans="1:35" x14ac:dyDescent="0.25">
      <c r="A364" s="4" t="s">
        <v>605</v>
      </c>
      <c r="B364" s="1" t="s">
        <v>230</v>
      </c>
      <c r="C364" s="1" t="s">
        <v>20</v>
      </c>
      <c r="D364" s="1" t="s">
        <v>27</v>
      </c>
      <c r="E364" s="1" t="s">
        <v>22</v>
      </c>
      <c r="F364" s="1" t="s">
        <v>23</v>
      </c>
      <c r="G364" s="1" t="s">
        <v>12</v>
      </c>
      <c r="H364" s="1" t="s">
        <v>24</v>
      </c>
      <c r="I364" s="1" t="s">
        <v>24</v>
      </c>
      <c r="J364" s="1" t="s">
        <v>25</v>
      </c>
      <c r="K364" s="1" t="s">
        <v>25</v>
      </c>
      <c r="L364" s="1" t="s">
        <v>26</v>
      </c>
      <c r="M364" s="1" t="s">
        <v>25</v>
      </c>
      <c r="N364" s="1" t="s">
        <v>25</v>
      </c>
      <c r="O364" s="1" t="s">
        <v>25</v>
      </c>
      <c r="P364" s="1" t="s">
        <v>25</v>
      </c>
      <c r="Q364" s="1" t="s">
        <v>25</v>
      </c>
      <c r="R364" s="85" t="str">
        <f t="shared" si="20"/>
        <v>3245902</v>
      </c>
      <c r="S364" t="str">
        <f>VLOOKUP(A364,Data_NV!$A:$C,3,0)</f>
        <v xml:space="preserve"> Huỳnh Thanh Phong  </v>
      </c>
      <c r="T364" t="str">
        <f>VLOOKUP(A364,Data_NV!$A:$E,4,0)</f>
        <v>Vận Hành</v>
      </c>
      <c r="U364" s="82">
        <f>DATEVALUE(Table2[[#This Row],[Ngày]])</f>
        <v>45902</v>
      </c>
      <c r="V364" t="str">
        <f>VLOOKUP(A364,Data_NV!$A:$E,5,0)</f>
        <v>Đang làm việc</v>
      </c>
      <c r="W364" s="10">
        <f>VLOOKUP(A364,Data_NV!$A:$I,8,0)</f>
        <v>0.3125</v>
      </c>
      <c r="X364" s="10">
        <f>VLOOKUP(A364,Data_NV!$A:$I,9,0)</f>
        <v>0.6875</v>
      </c>
      <c r="Y364" s="10">
        <f>IFERROR(TIMEVALUE(Table2[[#This Row],[Vào]]),0)</f>
        <v>0</v>
      </c>
      <c r="Z364" s="10">
        <f>IFERROR(TIMEVALUE(Table2[[#This Row],[Ra]]),0)</f>
        <v>0</v>
      </c>
      <c r="AA364" s="97" t="s">
        <v>1349</v>
      </c>
      <c r="AB364" s="105">
        <f t="shared" si="22"/>
        <v>0</v>
      </c>
      <c r="AC364" s="12" t="str">
        <f>IF(VLOOKUP(A364,Data_NV!$A:$I,7,0)="Không","",IF(OR(AND(Y364=0,Z364=0),AND(Y364&lt;&gt;0,Z364&lt;&gt;0)),"","Quên chấm công"))</f>
        <v/>
      </c>
      <c r="AD364" s="12">
        <f>IF(VLOOKUP(A364,Data_NV!$A:$I,7,0)="Không",0,IF(AND(Y364=0,Z364=0),0,IF(X364&lt;=Z364,0,ROUNDDOWN((X364-Z364)*24*60,0))))</f>
        <v>0</v>
      </c>
      <c r="AE364" s="12">
        <f>IF(VLOOKUP(A364,Data_NV!$A:$I,6,0)="Không",0,IF(Z364&lt;=X364,0,ROUNDDOWN((Z364-X364)*24*60,0)))</f>
        <v>0</v>
      </c>
      <c r="AF364" s="26">
        <f t="shared" si="23"/>
        <v>0</v>
      </c>
      <c r="AG364" s="27" t="str">
        <f>IF(AC364="","",IF(COUNTIFS($AC$3:AC364,"Quên chấm công",$S$3:S364,S364)&gt;3,"Không chấm công do vi phạm quá 3 lần",IF(COUNTIFS($AC$3:AC364,"Quên chấm công",$S$3:S364,S364)&gt;2,"Trừ toàn bộ chuyên cần tháng do vi phạm lần 3",IF(COUNTIFS($AC$3:AC364,"Quên chấm công",$S$3:S364,S364)&gt;1,"Trừ 1/2 ngày lương",50000))))</f>
        <v/>
      </c>
      <c r="AH364" s="12" t="str">
        <f>IF(AF364=0,"",IF(COUNTIFS($AF$3:AF364,"&gt;0",$S$3:S364,S364)&gt;3,"Trừ toàn bộ chuyên cần tháng",""))</f>
        <v/>
      </c>
      <c r="AI364" s="98" t="s">
        <v>1369</v>
      </c>
    </row>
    <row r="365" spans="1:35" x14ac:dyDescent="0.25">
      <c r="A365" s="4" t="s">
        <v>605</v>
      </c>
      <c r="B365" s="1" t="s">
        <v>230</v>
      </c>
      <c r="C365" s="1" t="s">
        <v>20</v>
      </c>
      <c r="D365" s="1" t="s">
        <v>28</v>
      </c>
      <c r="E365" s="1" t="s">
        <v>22</v>
      </c>
      <c r="F365" s="1" t="s">
        <v>23</v>
      </c>
      <c r="G365" s="1" t="s">
        <v>29</v>
      </c>
      <c r="H365" s="1" t="s">
        <v>479</v>
      </c>
      <c r="I365" s="1" t="s">
        <v>606</v>
      </c>
      <c r="J365" s="1" t="s">
        <v>25</v>
      </c>
      <c r="K365" s="1" t="s">
        <v>607</v>
      </c>
      <c r="L365" s="1" t="s">
        <v>25</v>
      </c>
      <c r="M365" s="1" t="s">
        <v>26</v>
      </c>
      <c r="N365" s="1" t="s">
        <v>25</v>
      </c>
      <c r="O365" s="1" t="s">
        <v>608</v>
      </c>
      <c r="P365" s="1" t="s">
        <v>25</v>
      </c>
      <c r="Q365" s="1" t="s">
        <v>25</v>
      </c>
      <c r="R365" s="85" t="str">
        <f t="shared" si="20"/>
        <v>3245903</v>
      </c>
      <c r="S365" t="str">
        <f>VLOOKUP(A365,Data_NV!$A:$C,3,0)</f>
        <v xml:space="preserve"> Huỳnh Thanh Phong  </v>
      </c>
      <c r="T365" t="str">
        <f>VLOOKUP(A365,Data_NV!$A:$E,4,0)</f>
        <v>Vận Hành</v>
      </c>
      <c r="U365" s="82">
        <f>DATEVALUE(Table2[[#This Row],[Ngày]])</f>
        <v>45903</v>
      </c>
      <c r="V365" t="str">
        <f>VLOOKUP(A365,Data_NV!$A:$E,5,0)</f>
        <v>Đang làm việc</v>
      </c>
      <c r="W365" s="10">
        <f>VLOOKUP(A365,Data_NV!$A:$I,8,0)</f>
        <v>0.3125</v>
      </c>
      <c r="X365" s="10">
        <f>VLOOKUP(A365,Data_NV!$A:$I,9,0)</f>
        <v>0.6875</v>
      </c>
      <c r="Y365" s="10">
        <f>IFERROR(TIMEVALUE(Table2[[#This Row],[Vào]]),0)</f>
        <v>0.31335648148148149</v>
      </c>
      <c r="Z365" s="10">
        <f>IFERROR(TIMEVALUE(Table2[[#This Row],[Ra]]),0)</f>
        <v>0.74995370370370373</v>
      </c>
      <c r="AA365" t="str">
        <f t="shared" si="21"/>
        <v>x</v>
      </c>
      <c r="AB365" s="105">
        <f t="shared" si="22"/>
        <v>1.2333333333333396</v>
      </c>
      <c r="AC365" s="12" t="str">
        <f>IF(VLOOKUP(A365,Data_NV!$A:$I,7,0)="Không","",IF(OR(AND(Y365=0,Z365=0),AND(Y365&lt;&gt;0,Z365&lt;&gt;0)),"","Quên chấm công"))</f>
        <v/>
      </c>
      <c r="AD365" s="12">
        <f>IF(VLOOKUP(A365,Data_NV!$A:$I,7,0)="Không",0,IF(AND(Y365=0,Z365=0),0,IF(X365&lt;=Z365,0,ROUNDDOWN((X365-Z365)*24*60,0))))</f>
        <v>0</v>
      </c>
      <c r="AE365" s="12">
        <f>IF(VLOOKUP(A365,Data_NV!$A:$I,6,0)="Không",0,IF(Z365&lt;=X365,0,ROUNDDOWN((Z365-X365)*24*60,0)))</f>
        <v>89</v>
      </c>
      <c r="AF365" s="26">
        <f t="shared" si="23"/>
        <v>0</v>
      </c>
      <c r="AG365" s="27" t="str">
        <f>IF(AC365="","",IF(COUNTIFS($AC$3:AC365,"Quên chấm công",$S$3:S365,S365)&gt;3,"Không chấm công do vi phạm quá 3 lần",IF(COUNTIFS($AC$3:AC365,"Quên chấm công",$S$3:S365,S365)&gt;2,"Trừ toàn bộ chuyên cần tháng do vi phạm lần 3",IF(COUNTIFS($AC$3:AC365,"Quên chấm công",$S$3:S365,S365)&gt;1,"Trừ 1/2 ngày lương",50000))))</f>
        <v/>
      </c>
      <c r="AH365" s="12" t="str">
        <f>IF(AF365=0,"",IF(COUNTIFS($AF$3:AF365,"&gt;0",$S$3:S365,S365)&gt;3,"Trừ toàn bộ chuyên cần tháng",""))</f>
        <v/>
      </c>
      <c r="AI365" s="12"/>
    </row>
    <row r="366" spans="1:35" x14ac:dyDescent="0.25">
      <c r="A366" s="4" t="s">
        <v>605</v>
      </c>
      <c r="B366" s="1" t="s">
        <v>230</v>
      </c>
      <c r="C366" s="1" t="s">
        <v>20</v>
      </c>
      <c r="D366" s="1" t="s">
        <v>35</v>
      </c>
      <c r="E366" s="1" t="s">
        <v>22</v>
      </c>
      <c r="F366" s="1" t="s">
        <v>23</v>
      </c>
      <c r="G366" s="1" t="s">
        <v>29</v>
      </c>
      <c r="H366" s="1" t="s">
        <v>609</v>
      </c>
      <c r="I366" s="1" t="s">
        <v>610</v>
      </c>
      <c r="J366" s="1" t="s">
        <v>25</v>
      </c>
      <c r="K366" s="1" t="s">
        <v>423</v>
      </c>
      <c r="L366" s="1" t="s">
        <v>25</v>
      </c>
      <c r="M366" s="1" t="s">
        <v>26</v>
      </c>
      <c r="N366" s="1" t="s">
        <v>25</v>
      </c>
      <c r="O366" s="1" t="s">
        <v>424</v>
      </c>
      <c r="P366" s="1" t="s">
        <v>25</v>
      </c>
      <c r="Q366" s="1" t="s">
        <v>25</v>
      </c>
      <c r="R366" s="85" t="str">
        <f t="shared" si="20"/>
        <v>3245904</v>
      </c>
      <c r="S366" t="str">
        <f>VLOOKUP(A366,Data_NV!$A:$C,3,0)</f>
        <v xml:space="preserve"> Huỳnh Thanh Phong  </v>
      </c>
      <c r="T366" t="str">
        <f>VLOOKUP(A366,Data_NV!$A:$E,4,0)</f>
        <v>Vận Hành</v>
      </c>
      <c r="U366" s="82">
        <f>DATEVALUE(Table2[[#This Row],[Ngày]])</f>
        <v>45904</v>
      </c>
      <c r="V366" t="str">
        <f>VLOOKUP(A366,Data_NV!$A:$E,5,0)</f>
        <v>Đang làm việc</v>
      </c>
      <c r="W366" s="10">
        <f>VLOOKUP(A366,Data_NV!$A:$I,8,0)</f>
        <v>0.3125</v>
      </c>
      <c r="X366" s="10">
        <f>VLOOKUP(A366,Data_NV!$A:$I,9,0)</f>
        <v>0.6875</v>
      </c>
      <c r="Y366" s="10">
        <f>IFERROR(TIMEVALUE(Table2[[#This Row],[Vào]]),0)</f>
        <v>0.30783564814814812</v>
      </c>
      <c r="Z366" s="10">
        <f>IFERROR(TIMEVALUE(Table2[[#This Row],[Ra]]),0)</f>
        <v>0.78869212962962965</v>
      </c>
      <c r="AA366" t="str">
        <f t="shared" si="21"/>
        <v>x</v>
      </c>
      <c r="AB366" s="105">
        <f t="shared" si="22"/>
        <v>0</v>
      </c>
      <c r="AC366" s="12" t="str">
        <f>IF(VLOOKUP(A366,Data_NV!$A:$I,7,0)="Không","",IF(OR(AND(Y366=0,Z366=0),AND(Y366&lt;&gt;0,Z366&lt;&gt;0)),"","Quên chấm công"))</f>
        <v/>
      </c>
      <c r="AD366" s="12">
        <f>IF(VLOOKUP(A366,Data_NV!$A:$I,7,0)="Không",0,IF(AND(Y366=0,Z366=0),0,IF(X366&lt;=Z366,0,ROUNDDOWN((X366-Z366)*24*60,0))))</f>
        <v>0</v>
      </c>
      <c r="AE366" s="12">
        <f>IF(VLOOKUP(A366,Data_NV!$A:$I,6,0)="Không",0,IF(Z366&lt;=X366,0,ROUNDDOWN((Z366-X366)*24*60,0)))</f>
        <v>145</v>
      </c>
      <c r="AF366" s="26">
        <f t="shared" si="23"/>
        <v>0</v>
      </c>
      <c r="AG366" s="27" t="str">
        <f>IF(AC366="","",IF(COUNTIFS($AC$3:AC366,"Quên chấm công",$S$3:S366,S366)&gt;3,"Không chấm công do vi phạm quá 3 lần",IF(COUNTIFS($AC$3:AC366,"Quên chấm công",$S$3:S366,S366)&gt;2,"Trừ toàn bộ chuyên cần tháng do vi phạm lần 3",IF(COUNTIFS($AC$3:AC366,"Quên chấm công",$S$3:S366,S366)&gt;1,"Trừ 1/2 ngày lương",50000))))</f>
        <v/>
      </c>
      <c r="AH366" s="12" t="str">
        <f>IF(AF366=0,"",IF(COUNTIFS($AF$3:AF366,"&gt;0",$S$3:S366,S366)&gt;3,"Trừ toàn bộ chuyên cần tháng",""))</f>
        <v/>
      </c>
      <c r="AI366" s="12"/>
    </row>
    <row r="367" spans="1:35" x14ac:dyDescent="0.25">
      <c r="A367" s="4" t="s">
        <v>605</v>
      </c>
      <c r="B367" s="1" t="s">
        <v>230</v>
      </c>
      <c r="C367" s="1" t="s">
        <v>20</v>
      </c>
      <c r="D367" s="1" t="s">
        <v>37</v>
      </c>
      <c r="E367" s="1" t="s">
        <v>22</v>
      </c>
      <c r="F367" s="1" t="s">
        <v>23</v>
      </c>
      <c r="G367" s="1" t="s">
        <v>29</v>
      </c>
      <c r="H367" s="1" t="s">
        <v>611</v>
      </c>
      <c r="I367" s="1" t="s">
        <v>612</v>
      </c>
      <c r="J367" s="1" t="s">
        <v>25</v>
      </c>
      <c r="K367" s="1" t="s">
        <v>396</v>
      </c>
      <c r="L367" s="1" t="s">
        <v>25</v>
      </c>
      <c r="M367" s="1" t="s">
        <v>26</v>
      </c>
      <c r="N367" s="1" t="s">
        <v>25</v>
      </c>
      <c r="O367" s="1" t="s">
        <v>33</v>
      </c>
      <c r="P367" s="1" t="s">
        <v>613</v>
      </c>
      <c r="Q367" s="1" t="s">
        <v>25</v>
      </c>
      <c r="R367" s="85" t="str">
        <f t="shared" si="20"/>
        <v>3245905</v>
      </c>
      <c r="S367" t="str">
        <f>VLOOKUP(A367,Data_NV!$A:$C,3,0)</f>
        <v xml:space="preserve"> Huỳnh Thanh Phong  </v>
      </c>
      <c r="T367" t="str">
        <f>VLOOKUP(A367,Data_NV!$A:$E,4,0)</f>
        <v>Vận Hành</v>
      </c>
      <c r="U367" s="82">
        <f>DATEVALUE(Table2[[#This Row],[Ngày]])</f>
        <v>45905</v>
      </c>
      <c r="V367" t="str">
        <f>VLOOKUP(A367,Data_NV!$A:$E,5,0)</f>
        <v>Đang làm việc</v>
      </c>
      <c r="W367" s="10">
        <f>VLOOKUP(A367,Data_NV!$A:$I,8,0)</f>
        <v>0.3125</v>
      </c>
      <c r="X367" s="10">
        <f>VLOOKUP(A367,Data_NV!$A:$I,9,0)</f>
        <v>0.6875</v>
      </c>
      <c r="Y367" s="10">
        <f>IFERROR(TIMEVALUE(Table2[[#This Row],[Vào]]),0)</f>
        <v>0.31534722222222222</v>
      </c>
      <c r="Z367" s="10">
        <f>IFERROR(TIMEVALUE(Table2[[#This Row],[Ra]]),0)</f>
        <v>0.80246527777777776</v>
      </c>
      <c r="AA367" t="str">
        <f t="shared" si="21"/>
        <v>x</v>
      </c>
      <c r="AB367" s="105">
        <f t="shared" si="22"/>
        <v>4.1000000000000014</v>
      </c>
      <c r="AC367" s="12" t="str">
        <f>IF(VLOOKUP(A367,Data_NV!$A:$I,7,0)="Không","",IF(OR(AND(Y367=0,Z367=0),AND(Y367&lt;&gt;0,Z367&lt;&gt;0)),"","Quên chấm công"))</f>
        <v/>
      </c>
      <c r="AD367" s="12">
        <f>IF(VLOOKUP(A367,Data_NV!$A:$I,7,0)="Không",0,IF(AND(Y367=0,Z367=0),0,IF(X367&lt;=Z367,0,ROUNDDOWN((X367-Z367)*24*60,0))))</f>
        <v>0</v>
      </c>
      <c r="AE367" s="12">
        <f>IF(VLOOKUP(A367,Data_NV!$A:$I,6,0)="Không",0,IF(Z367&lt;=X367,0,ROUNDDOWN((Z367-X367)*24*60,0)))</f>
        <v>165</v>
      </c>
      <c r="AF367" s="26">
        <f t="shared" si="23"/>
        <v>0</v>
      </c>
      <c r="AG367" s="27" t="str">
        <f>IF(AC367="","",IF(COUNTIFS($AC$3:AC367,"Quên chấm công",$S$3:S367,S367)&gt;3,"Không chấm công do vi phạm quá 3 lần",IF(COUNTIFS($AC$3:AC367,"Quên chấm công",$S$3:S367,S367)&gt;2,"Trừ toàn bộ chuyên cần tháng do vi phạm lần 3",IF(COUNTIFS($AC$3:AC367,"Quên chấm công",$S$3:S367,S367)&gt;1,"Trừ 1/2 ngày lương",50000))))</f>
        <v/>
      </c>
      <c r="AH367" s="12" t="str">
        <f>IF(AF367=0,"",IF(COUNTIFS($AF$3:AF367,"&gt;0",$S$3:S367,S367)&gt;3,"Trừ toàn bộ chuyên cần tháng",""))</f>
        <v/>
      </c>
      <c r="AI367" s="12"/>
    </row>
    <row r="368" spans="1:35" x14ac:dyDescent="0.25">
      <c r="A368" s="4" t="s">
        <v>605</v>
      </c>
      <c r="B368" s="1" t="s">
        <v>230</v>
      </c>
      <c r="C368" s="1" t="s">
        <v>20</v>
      </c>
      <c r="D368" s="1" t="s">
        <v>42</v>
      </c>
      <c r="E368" s="1" t="s">
        <v>22</v>
      </c>
      <c r="F368" s="1" t="s">
        <v>23</v>
      </c>
      <c r="G368" s="1" t="s">
        <v>277</v>
      </c>
      <c r="H368" s="1" t="s">
        <v>614</v>
      </c>
      <c r="I368" s="1" t="s">
        <v>615</v>
      </c>
      <c r="J368" s="1" t="s">
        <v>25</v>
      </c>
      <c r="K368" s="1" t="s">
        <v>616</v>
      </c>
      <c r="L368" s="1" t="s">
        <v>617</v>
      </c>
      <c r="M368" s="1" t="s">
        <v>616</v>
      </c>
      <c r="N368" s="1" t="s">
        <v>25</v>
      </c>
      <c r="O368" s="1" t="s">
        <v>25</v>
      </c>
      <c r="P368" s="1" t="s">
        <v>25</v>
      </c>
      <c r="Q368" s="1" t="s">
        <v>25</v>
      </c>
      <c r="R368" s="85" t="str">
        <f t="shared" si="20"/>
        <v>3245906</v>
      </c>
      <c r="S368" t="str">
        <f>VLOOKUP(A368,Data_NV!$A:$C,3,0)</f>
        <v xml:space="preserve"> Huỳnh Thanh Phong  </v>
      </c>
      <c r="T368" t="str">
        <f>VLOOKUP(A368,Data_NV!$A:$E,4,0)</f>
        <v>Vận Hành</v>
      </c>
      <c r="U368" s="82">
        <f>DATEVALUE(Table2[[#This Row],[Ngày]])</f>
        <v>45906</v>
      </c>
      <c r="V368" t="str">
        <f>VLOOKUP(A368,Data_NV!$A:$E,5,0)</f>
        <v>Đang làm việc</v>
      </c>
      <c r="W368" s="10">
        <f>VLOOKUP(A368,Data_NV!$A:$I,8,0)</f>
        <v>0.3125</v>
      </c>
      <c r="X368" s="10">
        <f>VLOOKUP(A368,Data_NV!$A:$I,9,0)</f>
        <v>0.6875</v>
      </c>
      <c r="Y368" s="10">
        <f>IFERROR(TIMEVALUE(Table2[[#This Row],[Vào]]),0)</f>
        <v>0.31416666666666665</v>
      </c>
      <c r="Z368" s="10">
        <f>IFERROR(TIMEVALUE(Table2[[#This Row],[Ra]]),0)</f>
        <v>0.69313657407407403</v>
      </c>
      <c r="AA368" t="str">
        <f t="shared" si="21"/>
        <v>x</v>
      </c>
      <c r="AB368" s="105">
        <f t="shared" si="22"/>
        <v>2.3999999999999755</v>
      </c>
      <c r="AC368" s="12" t="str">
        <f>IF(VLOOKUP(A368,Data_NV!$A:$I,7,0)="Không","",IF(OR(AND(Y368=0,Z368=0),AND(Y368&lt;&gt;0,Z368&lt;&gt;0)),"","Quên chấm công"))</f>
        <v/>
      </c>
      <c r="AD368" s="12">
        <f>IF(VLOOKUP(A368,Data_NV!$A:$I,7,0)="Không",0,IF(AND(Y368=0,Z368=0),0,IF(X368&lt;=Z368,0,ROUNDDOWN((X368-Z368)*24*60,0))))</f>
        <v>0</v>
      </c>
      <c r="AE368" s="12">
        <f>IF(VLOOKUP(A368,Data_NV!$A:$I,6,0)="Không",0,IF(Z368&lt;=X368,0,ROUNDDOWN((Z368-X368)*24*60,0)))</f>
        <v>8</v>
      </c>
      <c r="AF368" s="26">
        <f t="shared" si="23"/>
        <v>0</v>
      </c>
      <c r="AG368" s="27" t="str">
        <f>IF(AC368="","",IF(COUNTIFS($AC$3:AC368,"Quên chấm công",$S$3:S368,S368)&gt;3,"Không chấm công do vi phạm quá 3 lần",IF(COUNTIFS($AC$3:AC368,"Quên chấm công",$S$3:S368,S368)&gt;2,"Trừ toàn bộ chuyên cần tháng do vi phạm lần 3",IF(COUNTIFS($AC$3:AC368,"Quên chấm công",$S$3:S368,S368)&gt;1,"Trừ 1/2 ngày lương",50000))))</f>
        <v/>
      </c>
      <c r="AH368" s="12" t="str">
        <f>IF(AF368=0,"",IF(COUNTIFS($AF$3:AF368,"&gt;0",$S$3:S368,S368)&gt;3,"Trừ toàn bộ chuyên cần tháng",""))</f>
        <v/>
      </c>
      <c r="AI368" s="12"/>
    </row>
    <row r="369" spans="1:35" x14ac:dyDescent="0.25">
      <c r="A369" s="4" t="s">
        <v>605</v>
      </c>
      <c r="B369" s="1" t="s">
        <v>230</v>
      </c>
      <c r="C369" s="1" t="s">
        <v>20</v>
      </c>
      <c r="D369" s="1" t="s">
        <v>47</v>
      </c>
      <c r="E369" s="1" t="s">
        <v>22</v>
      </c>
      <c r="F369" s="1" t="s">
        <v>23</v>
      </c>
      <c r="G369" s="1" t="s">
        <v>12</v>
      </c>
      <c r="H369" s="1" t="s">
        <v>24</v>
      </c>
      <c r="I369" s="1" t="s">
        <v>24</v>
      </c>
      <c r="J369" s="1" t="s">
        <v>25</v>
      </c>
      <c r="K369" s="1" t="s">
        <v>25</v>
      </c>
      <c r="L369" s="1" t="s">
        <v>26</v>
      </c>
      <c r="M369" s="1" t="s">
        <v>25</v>
      </c>
      <c r="N369" s="1" t="s">
        <v>25</v>
      </c>
      <c r="O369" s="1" t="s">
        <v>25</v>
      </c>
      <c r="P369" s="1" t="s">
        <v>25</v>
      </c>
      <c r="Q369" s="1" t="s">
        <v>25</v>
      </c>
      <c r="R369" s="85" t="str">
        <f t="shared" si="20"/>
        <v>3245907</v>
      </c>
      <c r="S369" t="str">
        <f>VLOOKUP(A369,Data_NV!$A:$C,3,0)</f>
        <v xml:space="preserve"> Huỳnh Thanh Phong  </v>
      </c>
      <c r="T369" t="str">
        <f>VLOOKUP(A369,Data_NV!$A:$E,4,0)</f>
        <v>Vận Hành</v>
      </c>
      <c r="U369" s="82">
        <f>DATEVALUE(Table2[[#This Row],[Ngày]])</f>
        <v>45907</v>
      </c>
      <c r="V369" t="str">
        <f>VLOOKUP(A369,Data_NV!$A:$E,5,0)</f>
        <v>Đang làm việc</v>
      </c>
      <c r="W369" s="10">
        <f>VLOOKUP(A369,Data_NV!$A:$I,8,0)</f>
        <v>0.3125</v>
      </c>
      <c r="X369" s="10">
        <f>VLOOKUP(A369,Data_NV!$A:$I,9,0)</f>
        <v>0.6875</v>
      </c>
      <c r="Y369" s="10">
        <f>IFERROR(TIMEVALUE(Table2[[#This Row],[Vào]]),0)</f>
        <v>0</v>
      </c>
      <c r="Z369" s="10">
        <f>IFERROR(TIMEVALUE(Table2[[#This Row],[Ra]]),0)</f>
        <v>0</v>
      </c>
      <c r="AA369" t="str">
        <f t="shared" si="21"/>
        <v>Chủ nhật</v>
      </c>
      <c r="AB369" s="105">
        <f t="shared" si="22"/>
        <v>0</v>
      </c>
      <c r="AC369" s="12" t="str">
        <f>IF(VLOOKUP(A369,Data_NV!$A:$I,7,0)="Không","",IF(OR(AND(Y369=0,Z369=0),AND(Y369&lt;&gt;0,Z369&lt;&gt;0)),"","Quên chấm công"))</f>
        <v/>
      </c>
      <c r="AD369" s="12">
        <f>IF(VLOOKUP(A369,Data_NV!$A:$I,7,0)="Không",0,IF(AND(Y369=0,Z369=0),0,IF(X369&lt;=Z369,0,ROUNDDOWN((X369-Z369)*24*60,0))))</f>
        <v>0</v>
      </c>
      <c r="AE369" s="12">
        <f>IF(VLOOKUP(A369,Data_NV!$A:$I,6,0)="Không",0,IF(Z369&lt;=X369,0,ROUNDDOWN((Z369-X369)*24*60,0)))</f>
        <v>0</v>
      </c>
      <c r="AF369" s="26">
        <f t="shared" si="23"/>
        <v>0</v>
      </c>
      <c r="AG369" s="27" t="str">
        <f>IF(AC369="","",IF(COUNTIFS($AC$3:AC369,"Quên chấm công",$S$3:S369,S369)&gt;3,"Không chấm công do vi phạm quá 3 lần",IF(COUNTIFS($AC$3:AC369,"Quên chấm công",$S$3:S369,S369)&gt;2,"Trừ toàn bộ chuyên cần tháng do vi phạm lần 3",IF(COUNTIFS($AC$3:AC369,"Quên chấm công",$S$3:S369,S369)&gt;1,"Trừ 1/2 ngày lương",50000))))</f>
        <v/>
      </c>
      <c r="AH369" s="12" t="str">
        <f>IF(AF369=0,"",IF(COUNTIFS($AF$3:AF369,"&gt;0",$S$3:S369,S369)&gt;3,"Trừ toàn bộ chuyên cần tháng",""))</f>
        <v/>
      </c>
      <c r="AI369" s="12"/>
    </row>
    <row r="370" spans="1:35" x14ac:dyDescent="0.25">
      <c r="A370" s="4" t="s">
        <v>605</v>
      </c>
      <c r="B370" s="1" t="s">
        <v>230</v>
      </c>
      <c r="C370" s="1" t="s">
        <v>20</v>
      </c>
      <c r="D370" s="1" t="s">
        <v>48</v>
      </c>
      <c r="E370" s="1" t="s">
        <v>22</v>
      </c>
      <c r="F370" s="1" t="s">
        <v>23</v>
      </c>
      <c r="G370" s="1" t="s">
        <v>277</v>
      </c>
      <c r="H370" s="1" t="s">
        <v>618</v>
      </c>
      <c r="I370" s="1" t="s">
        <v>619</v>
      </c>
      <c r="J370" s="1" t="s">
        <v>25</v>
      </c>
      <c r="K370" s="1" t="s">
        <v>620</v>
      </c>
      <c r="L370" s="1" t="s">
        <v>428</v>
      </c>
      <c r="M370" s="1" t="s">
        <v>620</v>
      </c>
      <c r="N370" s="1" t="s">
        <v>25</v>
      </c>
      <c r="O370" s="1" t="s">
        <v>25</v>
      </c>
      <c r="P370" s="1" t="s">
        <v>25</v>
      </c>
      <c r="Q370" s="1" t="s">
        <v>25</v>
      </c>
      <c r="R370" s="85" t="str">
        <f t="shared" si="20"/>
        <v>3245908</v>
      </c>
      <c r="S370" t="str">
        <f>VLOOKUP(A370,Data_NV!$A:$C,3,0)</f>
        <v xml:space="preserve"> Huỳnh Thanh Phong  </v>
      </c>
      <c r="T370" t="str">
        <f>VLOOKUP(A370,Data_NV!$A:$E,4,0)</f>
        <v>Vận Hành</v>
      </c>
      <c r="U370" s="82">
        <f>DATEVALUE(Table2[[#This Row],[Ngày]])</f>
        <v>45908</v>
      </c>
      <c r="V370" t="str">
        <f>VLOOKUP(A370,Data_NV!$A:$E,5,0)</f>
        <v>Đang làm việc</v>
      </c>
      <c r="W370" s="10">
        <f>VLOOKUP(A370,Data_NV!$A:$I,8,0)</f>
        <v>0.3125</v>
      </c>
      <c r="X370" s="10">
        <f>VLOOKUP(A370,Data_NV!$A:$I,9,0)</f>
        <v>0.6875</v>
      </c>
      <c r="Y370" s="10">
        <f>IFERROR(TIMEVALUE(Table2[[#This Row],[Vào]]),0)</f>
        <v>0.31521990740740741</v>
      </c>
      <c r="Z370" s="10">
        <f>IFERROR(TIMEVALUE(Table2[[#This Row],[Ra]]),0)</f>
        <v>0.69950231481481484</v>
      </c>
      <c r="AA370" t="str">
        <f t="shared" si="21"/>
        <v>x</v>
      </c>
      <c r="AB370" s="105">
        <f t="shared" si="22"/>
        <v>3.9166666666666661</v>
      </c>
      <c r="AC370" s="12" t="str">
        <f>IF(VLOOKUP(A370,Data_NV!$A:$I,7,0)="Không","",IF(OR(AND(Y370=0,Z370=0),AND(Y370&lt;&gt;0,Z370&lt;&gt;0)),"","Quên chấm công"))</f>
        <v/>
      </c>
      <c r="AD370" s="12">
        <f>IF(VLOOKUP(A370,Data_NV!$A:$I,7,0)="Không",0,IF(AND(Y370=0,Z370=0),0,IF(X370&lt;=Z370,0,ROUNDDOWN((X370-Z370)*24*60,0))))</f>
        <v>0</v>
      </c>
      <c r="AE370" s="12">
        <f>IF(VLOOKUP(A370,Data_NV!$A:$I,6,0)="Không",0,IF(Z370&lt;=X370,0,ROUNDDOWN((Z370-X370)*24*60,0)))</f>
        <v>17</v>
      </c>
      <c r="AF370" s="26">
        <f t="shared" si="23"/>
        <v>0</v>
      </c>
      <c r="AG370" s="27" t="str">
        <f>IF(AC370="","",IF(COUNTIFS($AC$3:AC370,"Quên chấm công",$S$3:S370,S370)&gt;3,"Không chấm công do vi phạm quá 3 lần",IF(COUNTIFS($AC$3:AC370,"Quên chấm công",$S$3:S370,S370)&gt;2,"Trừ toàn bộ chuyên cần tháng do vi phạm lần 3",IF(COUNTIFS($AC$3:AC370,"Quên chấm công",$S$3:S370,S370)&gt;1,"Trừ 1/2 ngày lương",50000))))</f>
        <v/>
      </c>
      <c r="AH370" s="12" t="str">
        <f>IF(AF370=0,"",IF(COUNTIFS($AF$3:AF370,"&gt;0",$S$3:S370,S370)&gt;3,"Trừ toàn bộ chuyên cần tháng",""))</f>
        <v/>
      </c>
      <c r="AI370" s="12"/>
    </row>
    <row r="371" spans="1:35" x14ac:dyDescent="0.25">
      <c r="A371" s="4" t="s">
        <v>605</v>
      </c>
      <c r="B371" s="1" t="s">
        <v>230</v>
      </c>
      <c r="C371" s="1" t="s">
        <v>20</v>
      </c>
      <c r="D371" s="1" t="s">
        <v>53</v>
      </c>
      <c r="E371" s="1" t="s">
        <v>22</v>
      </c>
      <c r="F371" s="1" t="s">
        <v>23</v>
      </c>
      <c r="G371" s="1" t="s">
        <v>12</v>
      </c>
      <c r="H371" s="1" t="s">
        <v>621</v>
      </c>
      <c r="I371" s="1" t="s">
        <v>24</v>
      </c>
      <c r="J371" s="1" t="s">
        <v>25</v>
      </c>
      <c r="K371" s="1" t="s">
        <v>25</v>
      </c>
      <c r="L371" s="1" t="s">
        <v>26</v>
      </c>
      <c r="M371" s="1" t="s">
        <v>25</v>
      </c>
      <c r="N371" s="1" t="s">
        <v>25</v>
      </c>
      <c r="O371" s="1" t="s">
        <v>25</v>
      </c>
      <c r="P371" s="1" t="s">
        <v>25</v>
      </c>
      <c r="Q371" s="1" t="s">
        <v>25</v>
      </c>
      <c r="R371" s="85" t="str">
        <f t="shared" si="20"/>
        <v>3245909</v>
      </c>
      <c r="S371" t="str">
        <f>VLOOKUP(A371,Data_NV!$A:$C,3,0)</f>
        <v xml:space="preserve"> Huỳnh Thanh Phong  </v>
      </c>
      <c r="T371" t="str">
        <f>VLOOKUP(A371,Data_NV!$A:$E,4,0)</f>
        <v>Vận Hành</v>
      </c>
      <c r="U371" s="82">
        <f>DATEVALUE(Table2[[#This Row],[Ngày]])</f>
        <v>45909</v>
      </c>
      <c r="V371" t="str">
        <f>VLOOKUP(A371,Data_NV!$A:$E,5,0)</f>
        <v>Đang làm việc</v>
      </c>
      <c r="W371" s="10">
        <f>VLOOKUP(A371,Data_NV!$A:$I,8,0)</f>
        <v>0.3125</v>
      </c>
      <c r="X371" s="10">
        <f>VLOOKUP(A371,Data_NV!$A:$I,9,0)</f>
        <v>0.6875</v>
      </c>
      <c r="Y371" s="10">
        <f>IFERROR(TIMEVALUE(Table2[[#This Row],[Vào]]),0)</f>
        <v>0.30664351851851851</v>
      </c>
      <c r="Z371" s="10">
        <f>IFERROR(TIMEVALUE(Table2[[#This Row],[Ra]]),0)</f>
        <v>0</v>
      </c>
      <c r="AA371" t="str">
        <f t="shared" si="21"/>
        <v>x</v>
      </c>
      <c r="AB371" s="105">
        <f t="shared" si="22"/>
        <v>0</v>
      </c>
      <c r="AD371" s="12">
        <f>IF(VLOOKUP(A371,Data_NV!$A:$I,7,0)="Không",0,IF(AND(Y371=0,Z371=0),0,IF(X371&lt;=Z371,0,ROUNDDOWN((X371-Z371)*24*60,0))))</f>
        <v>990</v>
      </c>
      <c r="AE371" s="12">
        <f>IF(VLOOKUP(A371,Data_NV!$A:$I,6,0)="Không",0,IF(Z371&lt;=X371,0,ROUNDDOWN((Z371-X371)*24*60,0)))</f>
        <v>0</v>
      </c>
      <c r="AF371" s="26">
        <f t="shared" si="23"/>
        <v>0</v>
      </c>
      <c r="AG371" s="27" t="str">
        <f>IF(AC371="","",IF(COUNTIFS($AC$3:AC371,"Quên chấm công",$S$3:S371,S371)&gt;3,"Không chấm công do vi phạm quá 3 lần",IF(COUNTIFS($AC$3:AC371,"Quên chấm công",$S$3:S371,S371)&gt;2,"Trừ toàn bộ chuyên cần tháng do vi phạm lần 3",IF(COUNTIFS($AC$3:AC371,"Quên chấm công",$S$3:S371,S371)&gt;1,"Trừ 1/2 ngày lương",50000))))</f>
        <v/>
      </c>
      <c r="AH371" s="12" t="str">
        <f>IF(AF371=0,"",IF(COUNTIFS($AF$3:AF371,"&gt;0",$S$3:S371,S371)&gt;3,"Trừ toàn bộ chuyên cần tháng",""))</f>
        <v/>
      </c>
      <c r="AI371" s="12" t="s">
        <v>1392</v>
      </c>
    </row>
    <row r="372" spans="1:35" x14ac:dyDescent="0.25">
      <c r="A372" s="4" t="s">
        <v>605</v>
      </c>
      <c r="B372" s="1" t="s">
        <v>230</v>
      </c>
      <c r="C372" s="1" t="s">
        <v>20</v>
      </c>
      <c r="D372" s="1" t="s">
        <v>58</v>
      </c>
      <c r="E372" s="1" t="s">
        <v>22</v>
      </c>
      <c r="F372" s="1" t="s">
        <v>23</v>
      </c>
      <c r="G372" s="1" t="s">
        <v>277</v>
      </c>
      <c r="H372" s="1" t="s">
        <v>622</v>
      </c>
      <c r="I372" s="1" t="s">
        <v>623</v>
      </c>
      <c r="J372" s="1" t="s">
        <v>25</v>
      </c>
      <c r="K372" s="1" t="s">
        <v>624</v>
      </c>
      <c r="L372" s="1" t="s">
        <v>314</v>
      </c>
      <c r="M372" s="1" t="s">
        <v>624</v>
      </c>
      <c r="N372" s="1" t="s">
        <v>25</v>
      </c>
      <c r="O372" s="1" t="s">
        <v>25</v>
      </c>
      <c r="P372" s="1" t="s">
        <v>25</v>
      </c>
      <c r="Q372" s="1" t="s">
        <v>25</v>
      </c>
      <c r="R372" s="85" t="str">
        <f t="shared" si="20"/>
        <v>3245910</v>
      </c>
      <c r="S372" t="str">
        <f>VLOOKUP(A372,Data_NV!$A:$C,3,0)</f>
        <v xml:space="preserve"> Huỳnh Thanh Phong  </v>
      </c>
      <c r="T372" t="str">
        <f>VLOOKUP(A372,Data_NV!$A:$E,4,0)</f>
        <v>Vận Hành</v>
      </c>
      <c r="U372" s="82">
        <f>DATEVALUE(Table2[[#This Row],[Ngày]])</f>
        <v>45910</v>
      </c>
      <c r="V372" t="str">
        <f>VLOOKUP(A372,Data_NV!$A:$E,5,0)</f>
        <v>Đang làm việc</v>
      </c>
      <c r="W372" s="10">
        <f>VLOOKUP(A372,Data_NV!$A:$I,8,0)</f>
        <v>0.3125</v>
      </c>
      <c r="X372" s="10">
        <f>VLOOKUP(A372,Data_NV!$A:$I,9,0)</f>
        <v>0.6875</v>
      </c>
      <c r="Y372" s="10">
        <f>IFERROR(TIMEVALUE(Table2[[#This Row],[Vào]]),0)</f>
        <v>0.33114583333333331</v>
      </c>
      <c r="Z372" s="10">
        <f>IFERROR(TIMEVALUE(Table2[[#This Row],[Ra]]),0)</f>
        <v>0.70709490740740744</v>
      </c>
      <c r="AA372" t="str">
        <f t="shared" si="21"/>
        <v>x</v>
      </c>
      <c r="AB372" s="105">
        <f t="shared" si="22"/>
        <v>26.849999999999959</v>
      </c>
      <c r="AC372" s="12" t="str">
        <f>IF(VLOOKUP(A372,Data_NV!$A:$I,7,0)="Không","",IF(OR(AND(Y372=0,Z372=0),AND(Y372&lt;&gt;0,Z372&lt;&gt;0)),"","Quên chấm công"))</f>
        <v/>
      </c>
      <c r="AD372" s="12">
        <f>IF(VLOOKUP(A372,Data_NV!$A:$I,7,0)="Không",0,IF(AND(Y372=0,Z372=0),0,IF(X372&lt;=Z372,0,ROUNDDOWN((X372-Z372)*24*60,0))))</f>
        <v>0</v>
      </c>
      <c r="AE372" s="12">
        <f>IF(VLOOKUP(A372,Data_NV!$A:$I,6,0)="Không",0,IF(Z372&lt;=X372,0,ROUNDDOWN((Z372-X372)*24*60,0)))</f>
        <v>28</v>
      </c>
      <c r="AF372" s="26">
        <f t="shared" si="23"/>
        <v>50000</v>
      </c>
      <c r="AG372" s="27" t="str">
        <f>IF(AC372="","",IF(COUNTIFS($AC$3:AC372,"Quên chấm công",$S$3:S372,S372)&gt;3,"Không chấm công do vi phạm quá 3 lần",IF(COUNTIFS($AC$3:AC372,"Quên chấm công",$S$3:S372,S372)&gt;2,"Trừ toàn bộ chuyên cần tháng do vi phạm lần 3",IF(COUNTIFS($AC$3:AC372,"Quên chấm công",$S$3:S372,S372)&gt;1,"Trừ 1/2 ngày lương",50000))))</f>
        <v/>
      </c>
      <c r="AH372" s="12" t="str">
        <f>IF(AF372=0,"",IF(COUNTIFS($AF$3:AF372,"&gt;0",$S$3:S372,S372)&gt;3,"Trừ toàn bộ chuyên cần tháng",""))</f>
        <v/>
      </c>
      <c r="AI372" s="12"/>
    </row>
    <row r="373" spans="1:35" x14ac:dyDescent="0.25">
      <c r="A373" s="4" t="s">
        <v>605</v>
      </c>
      <c r="B373" s="1" t="s">
        <v>230</v>
      </c>
      <c r="C373" s="1" t="s">
        <v>20</v>
      </c>
      <c r="D373" s="1" t="s">
        <v>63</v>
      </c>
      <c r="E373" s="1" t="s">
        <v>22</v>
      </c>
      <c r="F373" s="1" t="s">
        <v>23</v>
      </c>
      <c r="G373" s="1" t="s">
        <v>277</v>
      </c>
      <c r="H373" s="1" t="s">
        <v>625</v>
      </c>
      <c r="I373" s="1" t="s">
        <v>626</v>
      </c>
      <c r="J373" s="1" t="s">
        <v>25</v>
      </c>
      <c r="K373" s="1" t="s">
        <v>627</v>
      </c>
      <c r="L373" s="1" t="s">
        <v>628</v>
      </c>
      <c r="M373" s="1" t="s">
        <v>627</v>
      </c>
      <c r="N373" s="1" t="s">
        <v>25</v>
      </c>
      <c r="O373" s="1" t="s">
        <v>25</v>
      </c>
      <c r="P373" s="1" t="s">
        <v>25</v>
      </c>
      <c r="Q373" s="1" t="s">
        <v>25</v>
      </c>
      <c r="R373" s="85" t="str">
        <f t="shared" si="20"/>
        <v>3245911</v>
      </c>
      <c r="S373" t="str">
        <f>VLOOKUP(A373,Data_NV!$A:$C,3,0)</f>
        <v xml:space="preserve"> Huỳnh Thanh Phong  </v>
      </c>
      <c r="T373" t="str">
        <f>VLOOKUP(A373,Data_NV!$A:$E,4,0)</f>
        <v>Vận Hành</v>
      </c>
      <c r="U373" s="82">
        <f>DATEVALUE(Table2[[#This Row],[Ngày]])</f>
        <v>45911</v>
      </c>
      <c r="V373" t="str">
        <f>VLOOKUP(A373,Data_NV!$A:$E,5,0)</f>
        <v>Đang làm việc</v>
      </c>
      <c r="W373" s="10">
        <f>VLOOKUP(A373,Data_NV!$A:$I,8,0)</f>
        <v>0.3125</v>
      </c>
      <c r="X373" s="10">
        <f>VLOOKUP(A373,Data_NV!$A:$I,9,0)</f>
        <v>0.6875</v>
      </c>
      <c r="Y373" s="10">
        <f>IFERROR(TIMEVALUE(Table2[[#This Row],[Vào]]),0)</f>
        <v>0.30730324074074072</v>
      </c>
      <c r="Z373" s="10">
        <f>IFERROR(TIMEVALUE(Table2[[#This Row],[Ra]]),0)</f>
        <v>0.69967592592592598</v>
      </c>
      <c r="AA373" t="str">
        <f t="shared" si="21"/>
        <v>x</v>
      </c>
      <c r="AB373" s="105">
        <f t="shared" si="22"/>
        <v>0</v>
      </c>
      <c r="AC373" s="12" t="str">
        <f>IF(VLOOKUP(A373,Data_NV!$A:$I,7,0)="Không","",IF(OR(AND(Y373=0,Z373=0),AND(Y373&lt;&gt;0,Z373&lt;&gt;0)),"","Quên chấm công"))</f>
        <v/>
      </c>
      <c r="AD373" s="12">
        <f>IF(VLOOKUP(A373,Data_NV!$A:$I,7,0)="Không",0,IF(AND(Y373=0,Z373=0),0,IF(X373&lt;=Z373,0,ROUNDDOWN((X373-Z373)*24*60,0))))</f>
        <v>0</v>
      </c>
      <c r="AE373" s="12">
        <f>IF(VLOOKUP(A373,Data_NV!$A:$I,6,0)="Không",0,IF(Z373&lt;=X373,0,ROUNDDOWN((Z373-X373)*24*60,0)))</f>
        <v>17</v>
      </c>
      <c r="AF373" s="26">
        <f t="shared" si="23"/>
        <v>0</v>
      </c>
      <c r="AG373" s="27" t="str">
        <f>IF(AC373="","",IF(COUNTIFS($AC$3:AC373,"Quên chấm công",$S$3:S373,S373)&gt;3,"Không chấm công do vi phạm quá 3 lần",IF(COUNTIFS($AC$3:AC373,"Quên chấm công",$S$3:S373,S373)&gt;2,"Trừ toàn bộ chuyên cần tháng do vi phạm lần 3",IF(COUNTIFS($AC$3:AC373,"Quên chấm công",$S$3:S373,S373)&gt;1,"Trừ 1/2 ngày lương",50000))))</f>
        <v/>
      </c>
      <c r="AH373" s="12" t="str">
        <f>IF(AF373=0,"",IF(COUNTIFS($AF$3:AF373,"&gt;0",$S$3:S373,S373)&gt;3,"Trừ toàn bộ chuyên cần tháng",""))</f>
        <v/>
      </c>
      <c r="AI373" s="12"/>
    </row>
    <row r="374" spans="1:35" x14ac:dyDescent="0.25">
      <c r="A374" s="4" t="s">
        <v>605</v>
      </c>
      <c r="B374" s="1" t="s">
        <v>230</v>
      </c>
      <c r="C374" s="1" t="s">
        <v>20</v>
      </c>
      <c r="D374" s="1" t="s">
        <v>67</v>
      </c>
      <c r="E374" s="1" t="s">
        <v>22</v>
      </c>
      <c r="F374" s="1" t="s">
        <v>23</v>
      </c>
      <c r="G374" s="1" t="s">
        <v>12</v>
      </c>
      <c r="H374" s="1" t="s">
        <v>629</v>
      </c>
      <c r="I374" s="1" t="s">
        <v>24</v>
      </c>
      <c r="J374" s="1" t="s">
        <v>25</v>
      </c>
      <c r="K374" s="1" t="s">
        <v>25</v>
      </c>
      <c r="L374" s="1" t="s">
        <v>26</v>
      </c>
      <c r="M374" s="1" t="s">
        <v>25</v>
      </c>
      <c r="N374" s="1" t="s">
        <v>25</v>
      </c>
      <c r="O374" s="1" t="s">
        <v>25</v>
      </c>
      <c r="P374" s="1" t="s">
        <v>25</v>
      </c>
      <c r="Q374" s="1" t="s">
        <v>25</v>
      </c>
      <c r="R374" s="85" t="str">
        <f t="shared" si="20"/>
        <v>3245912</v>
      </c>
      <c r="S374" t="str">
        <f>VLOOKUP(A374,Data_NV!$A:$C,3,0)</f>
        <v xml:space="preserve"> Huỳnh Thanh Phong  </v>
      </c>
      <c r="T374" t="str">
        <f>VLOOKUP(A374,Data_NV!$A:$E,4,0)</f>
        <v>Vận Hành</v>
      </c>
      <c r="U374" s="82">
        <f>DATEVALUE(Table2[[#This Row],[Ngày]])</f>
        <v>45912</v>
      </c>
      <c r="V374" t="str">
        <f>VLOOKUP(A374,Data_NV!$A:$E,5,0)</f>
        <v>Đang làm việc</v>
      </c>
      <c r="W374" s="10">
        <f>VLOOKUP(A374,Data_NV!$A:$I,8,0)</f>
        <v>0.3125</v>
      </c>
      <c r="X374" s="10">
        <f>VLOOKUP(A374,Data_NV!$A:$I,9,0)</f>
        <v>0.6875</v>
      </c>
      <c r="Y374" s="10">
        <f>IFERROR(TIMEVALUE(Table2[[#This Row],[Vào]]),0)</f>
        <v>0.30319444444444443</v>
      </c>
      <c r="Z374" s="10">
        <f>IFERROR(TIMEVALUE(Table2[[#This Row],[Ra]]),0)</f>
        <v>0</v>
      </c>
      <c r="AA374" t="str">
        <f t="shared" si="21"/>
        <v>x</v>
      </c>
      <c r="AB374" s="105">
        <f t="shared" si="22"/>
        <v>0</v>
      </c>
      <c r="AD374" s="12">
        <f>IF(VLOOKUP(A374,Data_NV!$A:$I,7,0)="Không",0,IF(AND(Y374=0,Z374=0),0,IF(X374&lt;=Z374,0,ROUNDDOWN((X374-Z374)*24*60,0))))</f>
        <v>990</v>
      </c>
      <c r="AE374" s="12">
        <f>IF(VLOOKUP(A374,Data_NV!$A:$I,6,0)="Không",0,IF(Z374&lt;=X374,0,ROUNDDOWN((Z374-X374)*24*60,0)))</f>
        <v>0</v>
      </c>
      <c r="AF374" s="26">
        <f t="shared" si="23"/>
        <v>0</v>
      </c>
      <c r="AG374" s="27" t="str">
        <f>IF(AC374="","",IF(COUNTIFS($AC$3:AC374,"Quên chấm công",$S$3:S374,S374)&gt;3,"Không chấm công do vi phạm quá 3 lần",IF(COUNTIFS($AC$3:AC374,"Quên chấm công",$S$3:S374,S374)&gt;2,"Trừ toàn bộ chuyên cần tháng do vi phạm lần 3",IF(COUNTIFS($AC$3:AC374,"Quên chấm công",$S$3:S374,S374)&gt;1,"Trừ 1/2 ngày lương",50000))))</f>
        <v/>
      </c>
      <c r="AH374" s="12" t="str">
        <f>IF(AF374=0,"",IF(COUNTIFS($AF$3:AF374,"&gt;0",$S$3:S374,S374)&gt;3,"Trừ toàn bộ chuyên cần tháng",""))</f>
        <v/>
      </c>
      <c r="AI374" s="12" t="s">
        <v>1393</v>
      </c>
    </row>
    <row r="375" spans="1:35" x14ac:dyDescent="0.25">
      <c r="A375" s="4" t="s">
        <v>605</v>
      </c>
      <c r="B375" s="1" t="s">
        <v>230</v>
      </c>
      <c r="C375" s="1" t="s">
        <v>20</v>
      </c>
      <c r="D375" s="1" t="s">
        <v>69</v>
      </c>
      <c r="E375" s="1" t="s">
        <v>22</v>
      </c>
      <c r="F375" s="1" t="s">
        <v>23</v>
      </c>
      <c r="G375" s="1" t="s">
        <v>12</v>
      </c>
      <c r="H375" s="1" t="s">
        <v>630</v>
      </c>
      <c r="I375" s="1" t="s">
        <v>24</v>
      </c>
      <c r="J375" s="1" t="s">
        <v>25</v>
      </c>
      <c r="K375" s="1" t="s">
        <v>25</v>
      </c>
      <c r="L375" s="1" t="s">
        <v>26</v>
      </c>
      <c r="M375" s="1" t="s">
        <v>25</v>
      </c>
      <c r="N375" s="1" t="s">
        <v>25</v>
      </c>
      <c r="O375" s="1" t="s">
        <v>25</v>
      </c>
      <c r="P375" s="1" t="s">
        <v>25</v>
      </c>
      <c r="Q375" s="1" t="s">
        <v>25</v>
      </c>
      <c r="R375" s="85" t="str">
        <f t="shared" si="20"/>
        <v>3245913</v>
      </c>
      <c r="S375" t="str">
        <f>VLOOKUP(A375,Data_NV!$A:$C,3,0)</f>
        <v xml:space="preserve"> Huỳnh Thanh Phong  </v>
      </c>
      <c r="T375" t="str">
        <f>VLOOKUP(A375,Data_NV!$A:$E,4,0)</f>
        <v>Vận Hành</v>
      </c>
      <c r="U375" s="82">
        <f>DATEVALUE(Table2[[#This Row],[Ngày]])</f>
        <v>45913</v>
      </c>
      <c r="V375" t="str">
        <f>VLOOKUP(A375,Data_NV!$A:$E,5,0)</f>
        <v>Đang làm việc</v>
      </c>
      <c r="W375" s="10">
        <f>VLOOKUP(A375,Data_NV!$A:$I,8,0)</f>
        <v>0.3125</v>
      </c>
      <c r="X375" s="10">
        <f>VLOOKUP(A375,Data_NV!$A:$I,9,0)</f>
        <v>0.6875</v>
      </c>
      <c r="Y375" s="10">
        <f>IFERROR(TIMEVALUE(Table2[[#This Row],[Vào]]),0)</f>
        <v>0.30927083333333333</v>
      </c>
      <c r="Z375" s="10">
        <f>IFERROR(TIMEVALUE(Table2[[#This Row],[Ra]]),0)</f>
        <v>0</v>
      </c>
      <c r="AA375" t="str">
        <f t="shared" si="21"/>
        <v>x</v>
      </c>
      <c r="AB375" s="105">
        <f t="shared" si="22"/>
        <v>0</v>
      </c>
      <c r="AD375" s="12">
        <f>IF(VLOOKUP(A375,Data_NV!$A:$I,7,0)="Không",0,IF(AND(Y375=0,Z375=0),0,IF(X375&lt;=Z375,0,ROUNDDOWN((X375-Z375)*24*60,0))))</f>
        <v>990</v>
      </c>
      <c r="AE375" s="12">
        <f>IF(VLOOKUP(A375,Data_NV!$A:$I,6,0)="Không",0,IF(Z375&lt;=X375,0,ROUNDDOWN((Z375-X375)*24*60,0)))</f>
        <v>0</v>
      </c>
      <c r="AF375" s="26">
        <f t="shared" si="23"/>
        <v>0</v>
      </c>
      <c r="AG375" s="27" t="str">
        <f>IF(AC375="","",IF(COUNTIFS($AC$3:AC375,"Quên chấm công",$S$3:S375,S375)&gt;3,"Không chấm công do vi phạm quá 3 lần",IF(COUNTIFS($AC$3:AC375,"Quên chấm công",$S$3:S375,S375)&gt;2,"Trừ toàn bộ chuyên cần tháng do vi phạm lần 3",IF(COUNTIFS($AC$3:AC375,"Quên chấm công",$S$3:S375,S375)&gt;1,"Trừ 1/2 ngày lương",50000))))</f>
        <v/>
      </c>
      <c r="AH375" s="12" t="str">
        <f>IF(AF375=0,"",IF(COUNTIFS($AF$3:AF375,"&gt;0",$S$3:S375,S375)&gt;3,"Trừ toàn bộ chuyên cần tháng",""))</f>
        <v/>
      </c>
      <c r="AI375" s="12" t="s">
        <v>1392</v>
      </c>
    </row>
    <row r="376" spans="1:35" x14ac:dyDescent="0.25">
      <c r="A376" s="4" t="s">
        <v>605</v>
      </c>
      <c r="B376" s="1" t="s">
        <v>230</v>
      </c>
      <c r="C376" s="1" t="s">
        <v>20</v>
      </c>
      <c r="D376" s="1" t="s">
        <v>74</v>
      </c>
      <c r="E376" s="1" t="s">
        <v>22</v>
      </c>
      <c r="F376" s="1" t="s">
        <v>23</v>
      </c>
      <c r="G376" s="1" t="s">
        <v>12</v>
      </c>
      <c r="H376" s="1" t="s">
        <v>24</v>
      </c>
      <c r="I376" s="1" t="s">
        <v>24</v>
      </c>
      <c r="J376" s="1" t="s">
        <v>25</v>
      </c>
      <c r="K376" s="1" t="s">
        <v>25</v>
      </c>
      <c r="L376" s="1" t="s">
        <v>26</v>
      </c>
      <c r="M376" s="1" t="s">
        <v>25</v>
      </c>
      <c r="N376" s="1" t="s">
        <v>25</v>
      </c>
      <c r="O376" s="1" t="s">
        <v>25</v>
      </c>
      <c r="P376" s="1" t="s">
        <v>25</v>
      </c>
      <c r="Q376" s="1" t="s">
        <v>25</v>
      </c>
      <c r="R376" s="85" t="str">
        <f t="shared" si="20"/>
        <v>3245914</v>
      </c>
      <c r="S376" t="str">
        <f>VLOOKUP(A376,Data_NV!$A:$C,3,0)</f>
        <v xml:space="preserve"> Huỳnh Thanh Phong  </v>
      </c>
      <c r="T376" t="str">
        <f>VLOOKUP(A376,Data_NV!$A:$E,4,0)</f>
        <v>Vận Hành</v>
      </c>
      <c r="U376" s="82">
        <f>DATEVALUE(Table2[[#This Row],[Ngày]])</f>
        <v>45914</v>
      </c>
      <c r="V376" t="str">
        <f>VLOOKUP(A376,Data_NV!$A:$E,5,0)</f>
        <v>Đang làm việc</v>
      </c>
      <c r="W376" s="10">
        <f>VLOOKUP(A376,Data_NV!$A:$I,8,0)</f>
        <v>0.3125</v>
      </c>
      <c r="X376" s="10">
        <f>VLOOKUP(A376,Data_NV!$A:$I,9,0)</f>
        <v>0.6875</v>
      </c>
      <c r="Y376" s="10">
        <f>IFERROR(TIMEVALUE(Table2[[#This Row],[Vào]]),0)</f>
        <v>0</v>
      </c>
      <c r="Z376" s="10">
        <f>IFERROR(TIMEVALUE(Table2[[#This Row],[Ra]]),0)</f>
        <v>0</v>
      </c>
      <c r="AA376" t="str">
        <f t="shared" si="21"/>
        <v>Chủ nhật</v>
      </c>
      <c r="AB376" s="105">
        <f t="shared" si="22"/>
        <v>0</v>
      </c>
      <c r="AC376" s="12" t="str">
        <f>IF(VLOOKUP(A376,Data_NV!$A:$I,7,0)="Không","",IF(OR(AND(Y376=0,Z376=0),AND(Y376&lt;&gt;0,Z376&lt;&gt;0)),"","Quên chấm công"))</f>
        <v/>
      </c>
      <c r="AD376" s="12">
        <f>IF(VLOOKUP(A376,Data_NV!$A:$I,7,0)="Không",0,IF(AND(Y376=0,Z376=0),0,IF(X376&lt;=Z376,0,ROUNDDOWN((X376-Z376)*24*60,0))))</f>
        <v>0</v>
      </c>
      <c r="AE376" s="12">
        <f>IF(VLOOKUP(A376,Data_NV!$A:$I,6,0)="Không",0,IF(Z376&lt;=X376,0,ROUNDDOWN((Z376-X376)*24*60,0)))</f>
        <v>0</v>
      </c>
      <c r="AF376" s="26">
        <f t="shared" si="23"/>
        <v>0</v>
      </c>
      <c r="AG376" s="27" t="str">
        <f>IF(AC376="","",IF(COUNTIFS($AC$3:AC376,"Quên chấm công",$S$3:S376,S376)&gt;3,"Không chấm công do vi phạm quá 3 lần",IF(COUNTIFS($AC$3:AC376,"Quên chấm công",$S$3:S376,S376)&gt;2,"Trừ toàn bộ chuyên cần tháng do vi phạm lần 3",IF(COUNTIFS($AC$3:AC376,"Quên chấm công",$S$3:S376,S376)&gt;1,"Trừ 1/2 ngày lương",50000))))</f>
        <v/>
      </c>
      <c r="AH376" s="12" t="str">
        <f>IF(AF376=0,"",IF(COUNTIFS($AF$3:AF376,"&gt;0",$S$3:S376,S376)&gt;3,"Trừ toàn bộ chuyên cần tháng",""))</f>
        <v/>
      </c>
      <c r="AI376" s="12"/>
    </row>
    <row r="377" spans="1:35" x14ac:dyDescent="0.25">
      <c r="A377" s="4" t="s">
        <v>605</v>
      </c>
      <c r="B377" s="1" t="s">
        <v>230</v>
      </c>
      <c r="C377" s="1" t="s">
        <v>20</v>
      </c>
      <c r="D377" s="1" t="s">
        <v>75</v>
      </c>
      <c r="E377" s="1" t="s">
        <v>22</v>
      </c>
      <c r="F377" s="1" t="s">
        <v>23</v>
      </c>
      <c r="G377" s="1" t="s">
        <v>277</v>
      </c>
      <c r="H377" s="1" t="s">
        <v>631</v>
      </c>
      <c r="I377" s="1" t="s">
        <v>632</v>
      </c>
      <c r="J377" s="1" t="s">
        <v>25</v>
      </c>
      <c r="K377" s="1" t="s">
        <v>633</v>
      </c>
      <c r="L377" s="1" t="s">
        <v>634</v>
      </c>
      <c r="M377" s="1" t="s">
        <v>633</v>
      </c>
      <c r="N377" s="1" t="s">
        <v>25</v>
      </c>
      <c r="O377" s="1" t="s">
        <v>25</v>
      </c>
      <c r="P377" s="1" t="s">
        <v>25</v>
      </c>
      <c r="Q377" s="1" t="s">
        <v>25</v>
      </c>
      <c r="R377" s="85" t="str">
        <f t="shared" si="20"/>
        <v>3245915</v>
      </c>
      <c r="S377" t="str">
        <f>VLOOKUP(A377,Data_NV!$A:$C,3,0)</f>
        <v xml:space="preserve"> Huỳnh Thanh Phong  </v>
      </c>
      <c r="T377" t="str">
        <f>VLOOKUP(A377,Data_NV!$A:$E,4,0)</f>
        <v>Vận Hành</v>
      </c>
      <c r="U377" s="82">
        <f>DATEVALUE(Table2[[#This Row],[Ngày]])</f>
        <v>45915</v>
      </c>
      <c r="V377" t="str">
        <f>VLOOKUP(A377,Data_NV!$A:$E,5,0)</f>
        <v>Đang làm việc</v>
      </c>
      <c r="W377" s="10">
        <f>VLOOKUP(A377,Data_NV!$A:$I,8,0)</f>
        <v>0.3125</v>
      </c>
      <c r="X377" s="10">
        <f>VLOOKUP(A377,Data_NV!$A:$I,9,0)</f>
        <v>0.6875</v>
      </c>
      <c r="Y377" s="10">
        <f>IFERROR(TIMEVALUE(Table2[[#This Row],[Vào]]),0)</f>
        <v>0.30635416666666665</v>
      </c>
      <c r="Z377" s="10">
        <f>IFERROR(TIMEVALUE(Table2[[#This Row],[Ra]]),0)</f>
        <v>0.69435185185185189</v>
      </c>
      <c r="AA377" t="str">
        <f t="shared" si="21"/>
        <v>x</v>
      </c>
      <c r="AB377" s="105">
        <f t="shared" si="22"/>
        <v>0</v>
      </c>
      <c r="AC377" s="12" t="str">
        <f>IF(VLOOKUP(A377,Data_NV!$A:$I,7,0)="Không","",IF(OR(AND(Y377=0,Z377=0),AND(Y377&lt;&gt;0,Z377&lt;&gt;0)),"","Quên chấm công"))</f>
        <v/>
      </c>
      <c r="AD377" s="12">
        <f>IF(VLOOKUP(A377,Data_NV!$A:$I,7,0)="Không",0,IF(AND(Y377=0,Z377=0),0,IF(X377&lt;=Z377,0,ROUNDDOWN((X377-Z377)*24*60,0))))</f>
        <v>0</v>
      </c>
      <c r="AE377" s="12">
        <f>IF(VLOOKUP(A377,Data_NV!$A:$I,6,0)="Không",0,IF(Z377&lt;=X377,0,ROUNDDOWN((Z377-X377)*24*60,0)))</f>
        <v>9</v>
      </c>
      <c r="AF377" s="26">
        <f t="shared" si="23"/>
        <v>0</v>
      </c>
      <c r="AG377" s="27" t="str">
        <f>IF(AC377="","",IF(COUNTIFS($AC$3:AC377,"Quên chấm công",$S$3:S377,S377)&gt;3,"Không chấm công do vi phạm quá 3 lần",IF(COUNTIFS($AC$3:AC377,"Quên chấm công",$S$3:S377,S377)&gt;2,"Trừ toàn bộ chuyên cần tháng do vi phạm lần 3",IF(COUNTIFS($AC$3:AC377,"Quên chấm công",$S$3:S377,S377)&gt;1,"Trừ 1/2 ngày lương",50000))))</f>
        <v/>
      </c>
      <c r="AH377" s="12" t="str">
        <f>IF(AF377=0,"",IF(COUNTIFS($AF$3:AF377,"&gt;0",$S$3:S377,S377)&gt;3,"Trừ toàn bộ chuyên cần tháng",""))</f>
        <v/>
      </c>
      <c r="AI377" s="12"/>
    </row>
    <row r="378" spans="1:35" x14ac:dyDescent="0.25">
      <c r="A378" s="4" t="s">
        <v>605</v>
      </c>
      <c r="B378" s="1" t="s">
        <v>230</v>
      </c>
      <c r="C378" s="1" t="s">
        <v>20</v>
      </c>
      <c r="D378" s="1" t="s">
        <v>80</v>
      </c>
      <c r="E378" s="1" t="s">
        <v>22</v>
      </c>
      <c r="F378" s="1" t="s">
        <v>23</v>
      </c>
      <c r="G378" s="1" t="s">
        <v>12</v>
      </c>
      <c r="H378" s="1" t="s">
        <v>635</v>
      </c>
      <c r="I378" s="1" t="s">
        <v>24</v>
      </c>
      <c r="J378" s="1" t="s">
        <v>25</v>
      </c>
      <c r="K378" s="1" t="s">
        <v>25</v>
      </c>
      <c r="L378" s="1" t="s">
        <v>26</v>
      </c>
      <c r="M378" s="1" t="s">
        <v>25</v>
      </c>
      <c r="N378" s="1" t="s">
        <v>25</v>
      </c>
      <c r="O378" s="1" t="s">
        <v>25</v>
      </c>
      <c r="P378" s="1" t="s">
        <v>25</v>
      </c>
      <c r="Q378" s="1" t="s">
        <v>25</v>
      </c>
      <c r="R378" s="85" t="str">
        <f t="shared" si="20"/>
        <v>3245916</v>
      </c>
      <c r="S378" t="str">
        <f>VLOOKUP(A378,Data_NV!$A:$C,3,0)</f>
        <v xml:space="preserve"> Huỳnh Thanh Phong  </v>
      </c>
      <c r="T378" t="str">
        <f>VLOOKUP(A378,Data_NV!$A:$E,4,0)</f>
        <v>Vận Hành</v>
      </c>
      <c r="U378" s="82">
        <f>DATEVALUE(Table2[[#This Row],[Ngày]])</f>
        <v>45916</v>
      </c>
      <c r="V378" t="str">
        <f>VLOOKUP(A378,Data_NV!$A:$E,5,0)</f>
        <v>Đang làm việc</v>
      </c>
      <c r="W378" s="10">
        <f>VLOOKUP(A378,Data_NV!$A:$I,8,0)</f>
        <v>0.3125</v>
      </c>
      <c r="X378" s="10">
        <f>VLOOKUP(A378,Data_NV!$A:$I,9,0)</f>
        <v>0.6875</v>
      </c>
      <c r="Y378" s="10">
        <f>IFERROR(TIMEVALUE(Table2[[#This Row],[Vào]]),0)</f>
        <v>0.30585648148148148</v>
      </c>
      <c r="Z378" s="10">
        <f>IFERROR(TIMEVALUE(Table2[[#This Row],[Ra]]),0)</f>
        <v>0</v>
      </c>
      <c r="AA378" t="str">
        <f t="shared" si="21"/>
        <v>x</v>
      </c>
      <c r="AB378" s="105">
        <f t="shared" si="22"/>
        <v>0</v>
      </c>
      <c r="AD378" s="12">
        <f>IF(VLOOKUP(A378,Data_NV!$A:$I,7,0)="Không",0,IF(AND(Y378=0,Z378=0),0,IF(X378&lt;=Z378,0,ROUNDDOWN((X378-Z378)*24*60,0))))</f>
        <v>990</v>
      </c>
      <c r="AE378" s="12">
        <f>IF(VLOOKUP(A378,Data_NV!$A:$I,6,0)="Không",0,IF(Z378&lt;=X378,0,ROUNDDOWN((Z378-X378)*24*60,0)))</f>
        <v>0</v>
      </c>
      <c r="AF378" s="26">
        <f t="shared" si="23"/>
        <v>0</v>
      </c>
      <c r="AG378" s="27" t="str">
        <f>IF(AC378="","",IF(COUNTIFS($AC$3:AC378,"Quên chấm công",$S$3:S378,S378)&gt;3,"Không chấm công do vi phạm quá 3 lần",IF(COUNTIFS($AC$3:AC378,"Quên chấm công",$S$3:S378,S378)&gt;2,"Trừ toàn bộ chuyên cần tháng do vi phạm lần 3",IF(COUNTIFS($AC$3:AC378,"Quên chấm công",$S$3:S378,S378)&gt;1,"Trừ 1/2 ngày lương",50000))))</f>
        <v/>
      </c>
      <c r="AH378" s="12" t="str">
        <f>IF(AF378=0,"",IF(COUNTIFS($AF$3:AF378,"&gt;0",$S$3:S378,S378)&gt;3,"Trừ toàn bộ chuyên cần tháng",""))</f>
        <v/>
      </c>
      <c r="AI378" s="12" t="s">
        <v>1392</v>
      </c>
    </row>
    <row r="379" spans="1:35" x14ac:dyDescent="0.25">
      <c r="A379" s="4" t="s">
        <v>605</v>
      </c>
      <c r="B379" s="1" t="s">
        <v>230</v>
      </c>
      <c r="C379" s="1" t="s">
        <v>20</v>
      </c>
      <c r="D379" s="1" t="s">
        <v>85</v>
      </c>
      <c r="E379" s="1" t="s">
        <v>22</v>
      </c>
      <c r="F379" s="1" t="s">
        <v>23</v>
      </c>
      <c r="G379" s="1" t="s">
        <v>277</v>
      </c>
      <c r="H379" s="1" t="s">
        <v>636</v>
      </c>
      <c r="I379" s="1" t="s">
        <v>637</v>
      </c>
      <c r="J379" s="1" t="s">
        <v>25</v>
      </c>
      <c r="K379" s="1" t="s">
        <v>638</v>
      </c>
      <c r="L379" s="1" t="s">
        <v>639</v>
      </c>
      <c r="M379" s="1" t="s">
        <v>638</v>
      </c>
      <c r="N379" s="1" t="s">
        <v>25</v>
      </c>
      <c r="O379" s="1" t="s">
        <v>25</v>
      </c>
      <c r="P379" s="1" t="s">
        <v>25</v>
      </c>
      <c r="Q379" s="1" t="s">
        <v>25</v>
      </c>
      <c r="R379" s="85" t="str">
        <f t="shared" si="20"/>
        <v>3245917</v>
      </c>
      <c r="S379" t="str">
        <f>VLOOKUP(A379,Data_NV!$A:$C,3,0)</f>
        <v xml:space="preserve"> Huỳnh Thanh Phong  </v>
      </c>
      <c r="T379" t="str">
        <f>VLOOKUP(A379,Data_NV!$A:$E,4,0)</f>
        <v>Vận Hành</v>
      </c>
      <c r="U379" s="82">
        <f>DATEVALUE(Table2[[#This Row],[Ngày]])</f>
        <v>45917</v>
      </c>
      <c r="V379" t="str">
        <f>VLOOKUP(A379,Data_NV!$A:$E,5,0)</f>
        <v>Đang làm việc</v>
      </c>
      <c r="W379" s="10">
        <f>VLOOKUP(A379,Data_NV!$A:$I,8,0)</f>
        <v>0.3125</v>
      </c>
      <c r="X379" s="10">
        <f>VLOOKUP(A379,Data_NV!$A:$I,9,0)</f>
        <v>0.6875</v>
      </c>
      <c r="Y379" s="10">
        <f>IFERROR(TIMEVALUE(Table2[[#This Row],[Vào]]),0)</f>
        <v>0.30672453703703706</v>
      </c>
      <c r="Z379" s="10">
        <f>IFERROR(TIMEVALUE(Table2[[#This Row],[Ra]]),0)</f>
        <v>0.68790509259259258</v>
      </c>
      <c r="AA379" t="str">
        <f t="shared" si="21"/>
        <v>x</v>
      </c>
      <c r="AB379" s="105">
        <f t="shared" si="22"/>
        <v>0</v>
      </c>
      <c r="AC379" s="12" t="str">
        <f>IF(VLOOKUP(A379,Data_NV!$A:$I,7,0)="Không","",IF(OR(AND(Y379=0,Z379=0),AND(Y379&lt;&gt;0,Z379&lt;&gt;0)),"","Quên chấm công"))</f>
        <v/>
      </c>
      <c r="AD379" s="12">
        <f>IF(VLOOKUP(A379,Data_NV!$A:$I,7,0)="Không",0,IF(AND(Y379=0,Z379=0),0,IF(X379&lt;=Z379,0,ROUNDDOWN((X379-Z379)*24*60,0))))</f>
        <v>0</v>
      </c>
      <c r="AE379" s="12">
        <f>IF(VLOOKUP(A379,Data_NV!$A:$I,6,0)="Không",0,IF(Z379&lt;=X379,0,ROUNDDOWN((Z379-X379)*24*60,0)))</f>
        <v>0</v>
      </c>
      <c r="AF379" s="26">
        <f t="shared" si="23"/>
        <v>0</v>
      </c>
      <c r="AG379" s="27" t="str">
        <f>IF(AC379="","",IF(COUNTIFS($AC$3:AC379,"Quên chấm công",$S$3:S379,S379)&gt;3,"Không chấm công do vi phạm quá 3 lần",IF(COUNTIFS($AC$3:AC379,"Quên chấm công",$S$3:S379,S379)&gt;2,"Trừ toàn bộ chuyên cần tháng do vi phạm lần 3",IF(COUNTIFS($AC$3:AC379,"Quên chấm công",$S$3:S379,S379)&gt;1,"Trừ 1/2 ngày lương",50000))))</f>
        <v/>
      </c>
      <c r="AH379" s="12" t="str">
        <f>IF(AF379=0,"",IF(COUNTIFS($AF$3:AF379,"&gt;0",$S$3:S379,S379)&gt;3,"Trừ toàn bộ chuyên cần tháng",""))</f>
        <v/>
      </c>
      <c r="AI379" s="12"/>
    </row>
    <row r="380" spans="1:35" x14ac:dyDescent="0.25">
      <c r="A380" s="4" t="s">
        <v>605</v>
      </c>
      <c r="B380" s="1" t="s">
        <v>230</v>
      </c>
      <c r="C380" s="1" t="s">
        <v>20</v>
      </c>
      <c r="D380" s="1" t="s">
        <v>90</v>
      </c>
      <c r="E380" s="1" t="s">
        <v>22</v>
      </c>
      <c r="F380" s="1" t="s">
        <v>23</v>
      </c>
      <c r="G380" s="1" t="s">
        <v>277</v>
      </c>
      <c r="H380" s="1" t="s">
        <v>640</v>
      </c>
      <c r="I380" s="1" t="s">
        <v>641</v>
      </c>
      <c r="J380" s="1" t="s">
        <v>25</v>
      </c>
      <c r="K380" s="1" t="s">
        <v>642</v>
      </c>
      <c r="L380" s="1" t="s">
        <v>420</v>
      </c>
      <c r="M380" s="1" t="s">
        <v>642</v>
      </c>
      <c r="N380" s="1" t="s">
        <v>25</v>
      </c>
      <c r="O380" s="1" t="s">
        <v>25</v>
      </c>
      <c r="P380" s="1" t="s">
        <v>25</v>
      </c>
      <c r="Q380" s="1" t="s">
        <v>25</v>
      </c>
      <c r="R380" s="85" t="str">
        <f t="shared" si="20"/>
        <v>3245918</v>
      </c>
      <c r="S380" t="str">
        <f>VLOOKUP(A380,Data_NV!$A:$C,3,0)</f>
        <v xml:space="preserve"> Huỳnh Thanh Phong  </v>
      </c>
      <c r="T380" t="str">
        <f>VLOOKUP(A380,Data_NV!$A:$E,4,0)</f>
        <v>Vận Hành</v>
      </c>
      <c r="U380" s="82">
        <f>DATEVALUE(Table2[[#This Row],[Ngày]])</f>
        <v>45918</v>
      </c>
      <c r="V380" t="str">
        <f>VLOOKUP(A380,Data_NV!$A:$E,5,0)</f>
        <v>Đang làm việc</v>
      </c>
      <c r="W380" s="10">
        <f>VLOOKUP(A380,Data_NV!$A:$I,8,0)</f>
        <v>0.3125</v>
      </c>
      <c r="X380" s="10">
        <f>VLOOKUP(A380,Data_NV!$A:$I,9,0)</f>
        <v>0.6875</v>
      </c>
      <c r="Y380" s="10">
        <f>IFERROR(TIMEVALUE(Table2[[#This Row],[Vào]]),0)</f>
        <v>0.30548611111111112</v>
      </c>
      <c r="Z380" s="10">
        <f>IFERROR(TIMEVALUE(Table2[[#This Row],[Ra]]),0)</f>
        <v>0.69</v>
      </c>
      <c r="AA380" t="str">
        <f t="shared" si="21"/>
        <v>x</v>
      </c>
      <c r="AB380" s="105">
        <f t="shared" si="22"/>
        <v>0</v>
      </c>
      <c r="AC380" s="12" t="str">
        <f>IF(VLOOKUP(A380,Data_NV!$A:$I,7,0)="Không","",IF(OR(AND(Y380=0,Z380=0),AND(Y380&lt;&gt;0,Z380&lt;&gt;0)),"","Quên chấm công"))</f>
        <v/>
      </c>
      <c r="AD380" s="12">
        <f>IF(VLOOKUP(A380,Data_NV!$A:$I,7,0)="Không",0,IF(AND(Y380=0,Z380=0),0,IF(X380&lt;=Z380,0,ROUNDDOWN((X380-Z380)*24*60,0))))</f>
        <v>0</v>
      </c>
      <c r="AE380" s="12">
        <f>IF(VLOOKUP(A380,Data_NV!$A:$I,6,0)="Không",0,IF(Z380&lt;=X380,0,ROUNDDOWN((Z380-X380)*24*60,0)))</f>
        <v>3</v>
      </c>
      <c r="AF380" s="26">
        <f t="shared" si="23"/>
        <v>0</v>
      </c>
      <c r="AG380" s="27" t="str">
        <f>IF(AC380="","",IF(COUNTIFS($AC$3:AC380,"Quên chấm công",$S$3:S380,S380)&gt;3,"Không chấm công do vi phạm quá 3 lần",IF(COUNTIFS($AC$3:AC380,"Quên chấm công",$S$3:S380,S380)&gt;2,"Trừ toàn bộ chuyên cần tháng do vi phạm lần 3",IF(COUNTIFS($AC$3:AC380,"Quên chấm công",$S$3:S380,S380)&gt;1,"Trừ 1/2 ngày lương",50000))))</f>
        <v/>
      </c>
      <c r="AH380" s="12" t="str">
        <f>IF(AF380=0,"",IF(COUNTIFS($AF$3:AF380,"&gt;0",$S$3:S380,S380)&gt;3,"Trừ toàn bộ chuyên cần tháng",""))</f>
        <v/>
      </c>
      <c r="AI380" s="12"/>
    </row>
    <row r="381" spans="1:35" x14ac:dyDescent="0.25">
      <c r="A381" s="4" t="s">
        <v>605</v>
      </c>
      <c r="B381" s="1" t="s">
        <v>230</v>
      </c>
      <c r="C381" s="1" t="s">
        <v>20</v>
      </c>
      <c r="D381" s="1" t="s">
        <v>95</v>
      </c>
      <c r="E381" s="1" t="s">
        <v>22</v>
      </c>
      <c r="F381" s="1" t="s">
        <v>23</v>
      </c>
      <c r="G381" s="1" t="s">
        <v>12</v>
      </c>
      <c r="H381" s="1" t="s">
        <v>643</v>
      </c>
      <c r="I381" s="1" t="s">
        <v>24</v>
      </c>
      <c r="J381" s="1" t="s">
        <v>25</v>
      </c>
      <c r="K381" s="1" t="s">
        <v>25</v>
      </c>
      <c r="L381" s="1" t="s">
        <v>26</v>
      </c>
      <c r="M381" s="1" t="s">
        <v>25</v>
      </c>
      <c r="N381" s="1" t="s">
        <v>25</v>
      </c>
      <c r="O381" s="1" t="s">
        <v>25</v>
      </c>
      <c r="P381" s="1" t="s">
        <v>25</v>
      </c>
      <c r="Q381" s="1" t="s">
        <v>25</v>
      </c>
      <c r="R381" s="85" t="str">
        <f t="shared" si="20"/>
        <v>3245919</v>
      </c>
      <c r="S381" t="str">
        <f>VLOOKUP(A381,Data_NV!$A:$C,3,0)</f>
        <v xml:space="preserve"> Huỳnh Thanh Phong  </v>
      </c>
      <c r="T381" t="str">
        <f>VLOOKUP(A381,Data_NV!$A:$E,4,0)</f>
        <v>Vận Hành</v>
      </c>
      <c r="U381" s="82">
        <f>DATEVALUE(Table2[[#This Row],[Ngày]])</f>
        <v>45919</v>
      </c>
      <c r="V381" t="str">
        <f>VLOOKUP(A381,Data_NV!$A:$E,5,0)</f>
        <v>Đang làm việc</v>
      </c>
      <c r="W381" s="10">
        <f>VLOOKUP(A381,Data_NV!$A:$I,8,0)</f>
        <v>0.3125</v>
      </c>
      <c r="X381" s="10">
        <f>VLOOKUP(A381,Data_NV!$A:$I,9,0)</f>
        <v>0.6875</v>
      </c>
      <c r="Y381" s="10">
        <f>IFERROR(TIMEVALUE(Table2[[#This Row],[Vào]]),0)</f>
        <v>0.3009027777777778</v>
      </c>
      <c r="Z381" s="10">
        <f>IFERROR(TIMEVALUE(Table2[[#This Row],[Ra]]),0)</f>
        <v>0</v>
      </c>
      <c r="AA381" t="str">
        <f t="shared" si="21"/>
        <v>x</v>
      </c>
      <c r="AB381" s="105">
        <f t="shared" si="22"/>
        <v>0</v>
      </c>
      <c r="AD381" s="12">
        <f>IF(VLOOKUP(A381,Data_NV!$A:$I,7,0)="Không",0,IF(AND(Y381=0,Z381=0),0,IF(X381&lt;=Z381,0,ROUNDDOWN((X381-Z381)*24*60,0))))</f>
        <v>990</v>
      </c>
      <c r="AE381" s="12">
        <f>IF(VLOOKUP(A381,Data_NV!$A:$I,6,0)="Không",0,IF(Z381&lt;=X381,0,ROUNDDOWN((Z381-X381)*24*60,0)))</f>
        <v>0</v>
      </c>
      <c r="AF381" s="26">
        <f t="shared" si="23"/>
        <v>0</v>
      </c>
      <c r="AG381" s="27" t="str">
        <f>IF(AC381="","",IF(COUNTIFS($AC$3:AC381,"Quên chấm công",$S$3:S381,S381)&gt;3,"Không chấm công do vi phạm quá 3 lần",IF(COUNTIFS($AC$3:AC381,"Quên chấm công",$S$3:S381,S381)&gt;2,"Trừ toàn bộ chuyên cần tháng do vi phạm lần 3",IF(COUNTIFS($AC$3:AC381,"Quên chấm công",$S$3:S381,S381)&gt;1,"Trừ 1/2 ngày lương",50000))))</f>
        <v/>
      </c>
      <c r="AH381" s="12" t="str">
        <f>IF(AF381=0,"",IF(COUNTIFS($AF$3:AF381,"&gt;0",$S$3:S381,S381)&gt;3,"Trừ toàn bộ chuyên cần tháng",""))</f>
        <v/>
      </c>
      <c r="AI381" s="12" t="s">
        <v>1394</v>
      </c>
    </row>
    <row r="382" spans="1:35" x14ac:dyDescent="0.25">
      <c r="A382" s="4" t="s">
        <v>605</v>
      </c>
      <c r="B382" s="1" t="s">
        <v>230</v>
      </c>
      <c r="C382" s="1" t="s">
        <v>20</v>
      </c>
      <c r="D382" s="1" t="s">
        <v>100</v>
      </c>
      <c r="E382" s="1" t="s">
        <v>22</v>
      </c>
      <c r="F382" s="1" t="s">
        <v>23</v>
      </c>
      <c r="G382" s="1" t="s">
        <v>277</v>
      </c>
      <c r="H382" s="1" t="s">
        <v>644</v>
      </c>
      <c r="I382" s="1" t="s">
        <v>645</v>
      </c>
      <c r="J382" s="1" t="s">
        <v>25</v>
      </c>
      <c r="K382" s="1" t="s">
        <v>646</v>
      </c>
      <c r="L382" s="1" t="s">
        <v>647</v>
      </c>
      <c r="M382" s="1" t="s">
        <v>646</v>
      </c>
      <c r="N382" s="1" t="s">
        <v>25</v>
      </c>
      <c r="O382" s="1" t="s">
        <v>25</v>
      </c>
      <c r="P382" s="1" t="s">
        <v>25</v>
      </c>
      <c r="Q382" s="1" t="s">
        <v>25</v>
      </c>
      <c r="R382" s="85" t="str">
        <f t="shared" si="20"/>
        <v>3245920</v>
      </c>
      <c r="S382" t="str">
        <f>VLOOKUP(A382,Data_NV!$A:$C,3,0)</f>
        <v xml:space="preserve"> Huỳnh Thanh Phong  </v>
      </c>
      <c r="T382" t="str">
        <f>VLOOKUP(A382,Data_NV!$A:$E,4,0)</f>
        <v>Vận Hành</v>
      </c>
      <c r="U382" s="82">
        <f>DATEVALUE(Table2[[#This Row],[Ngày]])</f>
        <v>45920</v>
      </c>
      <c r="V382" t="str">
        <f>VLOOKUP(A382,Data_NV!$A:$E,5,0)</f>
        <v>Đang làm việc</v>
      </c>
      <c r="W382" s="10">
        <f>VLOOKUP(A382,Data_NV!$A:$I,8,0)</f>
        <v>0.3125</v>
      </c>
      <c r="X382" s="10">
        <f>VLOOKUP(A382,Data_NV!$A:$I,9,0)</f>
        <v>0.6875</v>
      </c>
      <c r="Y382" s="10">
        <f>IFERROR(TIMEVALUE(Table2[[#This Row],[Vào]]),0)</f>
        <v>0.30461805555555554</v>
      </c>
      <c r="Z382" s="10">
        <f>IFERROR(TIMEVALUE(Table2[[#This Row],[Ra]]),0)</f>
        <v>0.68865740740740744</v>
      </c>
      <c r="AA382" t="str">
        <f t="shared" si="21"/>
        <v>x</v>
      </c>
      <c r="AB382" s="105">
        <f t="shared" si="22"/>
        <v>0</v>
      </c>
      <c r="AC382" s="12" t="str">
        <f>IF(VLOOKUP(A382,Data_NV!$A:$I,7,0)="Không","",IF(OR(AND(Y382=0,Z382=0),AND(Y382&lt;&gt;0,Z382&lt;&gt;0)),"","Quên chấm công"))</f>
        <v/>
      </c>
      <c r="AD382" s="12">
        <f>IF(VLOOKUP(A382,Data_NV!$A:$I,7,0)="Không",0,IF(AND(Y382=0,Z382=0),0,IF(X382&lt;=Z382,0,ROUNDDOWN((X382-Z382)*24*60,0))))</f>
        <v>0</v>
      </c>
      <c r="AE382" s="12">
        <f>IF(VLOOKUP(A382,Data_NV!$A:$I,6,0)="Không",0,IF(Z382&lt;=X382,0,ROUNDDOWN((Z382-X382)*24*60,0)))</f>
        <v>1</v>
      </c>
      <c r="AF382" s="26">
        <f t="shared" si="23"/>
        <v>0</v>
      </c>
      <c r="AG382" s="27" t="str">
        <f>IF(AC382="","",IF(COUNTIFS($AC$3:AC382,"Quên chấm công",$S$3:S382,S382)&gt;3,"Không chấm công do vi phạm quá 3 lần",IF(COUNTIFS($AC$3:AC382,"Quên chấm công",$S$3:S382,S382)&gt;2,"Trừ toàn bộ chuyên cần tháng do vi phạm lần 3",IF(COUNTIFS($AC$3:AC382,"Quên chấm công",$S$3:S382,S382)&gt;1,"Trừ 1/2 ngày lương",50000))))</f>
        <v/>
      </c>
      <c r="AH382" s="12" t="str">
        <f>IF(AF382=0,"",IF(COUNTIFS($AF$3:AF382,"&gt;0",$S$3:S382,S382)&gt;3,"Trừ toàn bộ chuyên cần tháng",""))</f>
        <v/>
      </c>
      <c r="AI382" s="12"/>
    </row>
    <row r="383" spans="1:35" x14ac:dyDescent="0.25">
      <c r="A383" s="4" t="s">
        <v>605</v>
      </c>
      <c r="B383" s="1" t="s">
        <v>230</v>
      </c>
      <c r="C383" s="1" t="s">
        <v>20</v>
      </c>
      <c r="D383" s="1" t="s">
        <v>105</v>
      </c>
      <c r="E383" s="1" t="s">
        <v>22</v>
      </c>
      <c r="F383" s="1" t="s">
        <v>23</v>
      </c>
      <c r="G383" s="1" t="s">
        <v>12</v>
      </c>
      <c r="H383" s="1" t="s">
        <v>24</v>
      </c>
      <c r="I383" s="1" t="s">
        <v>24</v>
      </c>
      <c r="J383" s="1" t="s">
        <v>25</v>
      </c>
      <c r="K383" s="1" t="s">
        <v>25</v>
      </c>
      <c r="L383" s="1" t="s">
        <v>26</v>
      </c>
      <c r="M383" s="1" t="s">
        <v>25</v>
      </c>
      <c r="N383" s="1" t="s">
        <v>25</v>
      </c>
      <c r="O383" s="1" t="s">
        <v>25</v>
      </c>
      <c r="P383" s="1" t="s">
        <v>25</v>
      </c>
      <c r="Q383" s="1" t="s">
        <v>25</v>
      </c>
      <c r="R383" s="85" t="str">
        <f t="shared" si="20"/>
        <v>3245921</v>
      </c>
      <c r="S383" t="str">
        <f>VLOOKUP(A383,Data_NV!$A:$C,3,0)</f>
        <v xml:space="preserve"> Huỳnh Thanh Phong  </v>
      </c>
      <c r="T383" t="str">
        <f>VLOOKUP(A383,Data_NV!$A:$E,4,0)</f>
        <v>Vận Hành</v>
      </c>
      <c r="U383" s="82">
        <f>DATEVALUE(Table2[[#This Row],[Ngày]])</f>
        <v>45921</v>
      </c>
      <c r="V383" t="str">
        <f>VLOOKUP(A383,Data_NV!$A:$E,5,0)</f>
        <v>Đang làm việc</v>
      </c>
      <c r="W383" s="10">
        <f>VLOOKUP(A383,Data_NV!$A:$I,8,0)</f>
        <v>0.3125</v>
      </c>
      <c r="X383" s="10">
        <f>VLOOKUP(A383,Data_NV!$A:$I,9,0)</f>
        <v>0.6875</v>
      </c>
      <c r="Y383" s="10">
        <f>IFERROR(TIMEVALUE(Table2[[#This Row],[Vào]]),0)</f>
        <v>0</v>
      </c>
      <c r="Z383" s="10">
        <f>IFERROR(TIMEVALUE(Table2[[#This Row],[Ra]]),0)</f>
        <v>0</v>
      </c>
      <c r="AA383" t="str">
        <f t="shared" si="21"/>
        <v>Chủ nhật</v>
      </c>
      <c r="AB383" s="105">
        <f t="shared" si="22"/>
        <v>0</v>
      </c>
      <c r="AC383" s="12" t="str">
        <f>IF(VLOOKUP(A383,Data_NV!$A:$I,7,0)="Không","",IF(OR(AND(Y383=0,Z383=0),AND(Y383&lt;&gt;0,Z383&lt;&gt;0)),"","Quên chấm công"))</f>
        <v/>
      </c>
      <c r="AD383" s="12">
        <f>IF(VLOOKUP(A383,Data_NV!$A:$I,7,0)="Không",0,IF(AND(Y383=0,Z383=0),0,IF(X383&lt;=Z383,0,ROUNDDOWN((X383-Z383)*24*60,0))))</f>
        <v>0</v>
      </c>
      <c r="AE383" s="12">
        <f>IF(VLOOKUP(A383,Data_NV!$A:$I,6,0)="Không",0,IF(Z383&lt;=X383,0,ROUNDDOWN((Z383-X383)*24*60,0)))</f>
        <v>0</v>
      </c>
      <c r="AF383" s="26">
        <f t="shared" si="23"/>
        <v>0</v>
      </c>
      <c r="AG383" s="27" t="str">
        <f>IF(AC383="","",IF(COUNTIFS($AC$3:AC383,"Quên chấm công",$S$3:S383,S383)&gt;3,"Không chấm công do vi phạm quá 3 lần",IF(COUNTIFS($AC$3:AC383,"Quên chấm công",$S$3:S383,S383)&gt;2,"Trừ toàn bộ chuyên cần tháng do vi phạm lần 3",IF(COUNTIFS($AC$3:AC383,"Quên chấm công",$S$3:S383,S383)&gt;1,"Trừ 1/2 ngày lương",50000))))</f>
        <v/>
      </c>
      <c r="AH383" s="12" t="str">
        <f>IF(AF383=0,"",IF(COUNTIFS($AF$3:AF383,"&gt;0",$S$3:S383,S383)&gt;3,"Trừ toàn bộ chuyên cần tháng",""))</f>
        <v/>
      </c>
      <c r="AI383" s="12"/>
    </row>
    <row r="384" spans="1:35" x14ac:dyDescent="0.25">
      <c r="A384" s="4" t="s">
        <v>605</v>
      </c>
      <c r="B384" s="1" t="s">
        <v>230</v>
      </c>
      <c r="C384" s="1" t="s">
        <v>20</v>
      </c>
      <c r="D384" s="1" t="s">
        <v>106</v>
      </c>
      <c r="E384" s="1" t="s">
        <v>22</v>
      </c>
      <c r="F384" s="1" t="s">
        <v>23</v>
      </c>
      <c r="G384" s="1" t="s">
        <v>29</v>
      </c>
      <c r="H384" s="1" t="s">
        <v>648</v>
      </c>
      <c r="I384" s="1" t="s">
        <v>649</v>
      </c>
      <c r="J384" s="1" t="s">
        <v>25</v>
      </c>
      <c r="K384" s="1" t="s">
        <v>650</v>
      </c>
      <c r="L384" s="1" t="s">
        <v>25</v>
      </c>
      <c r="M384" s="1" t="s">
        <v>26</v>
      </c>
      <c r="N384" s="1" t="s">
        <v>25</v>
      </c>
      <c r="O384" s="1" t="s">
        <v>34</v>
      </c>
      <c r="P384" s="1" t="s">
        <v>25</v>
      </c>
      <c r="Q384" s="1" t="s">
        <v>25</v>
      </c>
      <c r="R384" s="85" t="str">
        <f t="shared" si="20"/>
        <v>3245922</v>
      </c>
      <c r="S384" t="str">
        <f>VLOOKUP(A384,Data_NV!$A:$C,3,0)</f>
        <v xml:space="preserve"> Huỳnh Thanh Phong  </v>
      </c>
      <c r="T384" t="str">
        <f>VLOOKUP(A384,Data_NV!$A:$E,4,0)</f>
        <v>Vận Hành</v>
      </c>
      <c r="U384" s="82">
        <f>DATEVALUE(Table2[[#This Row],[Ngày]])</f>
        <v>45922</v>
      </c>
      <c r="V384" t="str">
        <f>VLOOKUP(A384,Data_NV!$A:$E,5,0)</f>
        <v>Đang làm việc</v>
      </c>
      <c r="W384" s="10">
        <f>VLOOKUP(A384,Data_NV!$A:$I,8,0)</f>
        <v>0.3125</v>
      </c>
      <c r="X384" s="10">
        <f>VLOOKUP(A384,Data_NV!$A:$I,9,0)</f>
        <v>0.6875</v>
      </c>
      <c r="Y384" s="10">
        <f>IFERROR(TIMEVALUE(Table2[[#This Row],[Vào]]),0)</f>
        <v>0.31017361111111114</v>
      </c>
      <c r="Z384" s="10">
        <f>IFERROR(TIMEVALUE(Table2[[#This Row],[Ra]]),0)</f>
        <v>0.73646990740740736</v>
      </c>
      <c r="AA384" t="str">
        <f t="shared" si="21"/>
        <v>x</v>
      </c>
      <c r="AB384" s="105">
        <f t="shared" si="22"/>
        <v>0</v>
      </c>
      <c r="AC384" s="12" t="str">
        <f>IF(VLOOKUP(A384,Data_NV!$A:$I,7,0)="Không","",IF(OR(AND(Y384=0,Z384=0),AND(Y384&lt;&gt;0,Z384&lt;&gt;0)),"","Quên chấm công"))</f>
        <v/>
      </c>
      <c r="AD384" s="12">
        <f>IF(VLOOKUP(A384,Data_NV!$A:$I,7,0)="Không",0,IF(AND(Y384=0,Z384=0),0,IF(X384&lt;=Z384,0,ROUNDDOWN((X384-Z384)*24*60,0))))</f>
        <v>0</v>
      </c>
      <c r="AE384" s="12">
        <f>IF(VLOOKUP(A384,Data_NV!$A:$I,6,0)="Không",0,IF(Z384&lt;=X384,0,ROUNDDOWN((Z384-X384)*24*60,0)))</f>
        <v>70</v>
      </c>
      <c r="AF384" s="26">
        <f t="shared" si="23"/>
        <v>0</v>
      </c>
      <c r="AG384" s="27" t="str">
        <f>IF(AC384="","",IF(COUNTIFS($AC$3:AC384,"Quên chấm công",$S$3:S384,S384)&gt;3,"Không chấm công do vi phạm quá 3 lần",IF(COUNTIFS($AC$3:AC384,"Quên chấm công",$S$3:S384,S384)&gt;2,"Trừ toàn bộ chuyên cần tháng do vi phạm lần 3",IF(COUNTIFS($AC$3:AC384,"Quên chấm công",$S$3:S384,S384)&gt;1,"Trừ 1/2 ngày lương",50000))))</f>
        <v/>
      </c>
      <c r="AH384" s="12" t="str">
        <f>IF(AF384=0,"",IF(COUNTIFS($AF$3:AF384,"&gt;0",$S$3:S384,S384)&gt;3,"Trừ toàn bộ chuyên cần tháng",""))</f>
        <v/>
      </c>
      <c r="AI384" s="12"/>
    </row>
    <row r="385" spans="1:35" x14ac:dyDescent="0.25">
      <c r="A385" s="4" t="s">
        <v>605</v>
      </c>
      <c r="B385" s="1" t="s">
        <v>230</v>
      </c>
      <c r="C385" s="1" t="s">
        <v>20</v>
      </c>
      <c r="D385" s="1" t="s">
        <v>111</v>
      </c>
      <c r="E385" s="1" t="s">
        <v>22</v>
      </c>
      <c r="F385" s="1" t="s">
        <v>23</v>
      </c>
      <c r="G385" s="1" t="s">
        <v>277</v>
      </c>
      <c r="H385" s="1" t="s">
        <v>651</v>
      </c>
      <c r="I385" s="1" t="s">
        <v>652</v>
      </c>
      <c r="J385" s="1" t="s">
        <v>25</v>
      </c>
      <c r="K385" s="1" t="s">
        <v>653</v>
      </c>
      <c r="L385" s="1" t="s">
        <v>322</v>
      </c>
      <c r="M385" s="1" t="s">
        <v>653</v>
      </c>
      <c r="N385" s="1" t="s">
        <v>25</v>
      </c>
      <c r="O385" s="1" t="s">
        <v>25</v>
      </c>
      <c r="P385" s="1" t="s">
        <v>25</v>
      </c>
      <c r="Q385" s="1" t="s">
        <v>25</v>
      </c>
      <c r="R385" s="85" t="str">
        <f t="shared" si="20"/>
        <v>3245923</v>
      </c>
      <c r="S385" t="str">
        <f>VLOOKUP(A385,Data_NV!$A:$C,3,0)</f>
        <v xml:space="preserve"> Huỳnh Thanh Phong  </v>
      </c>
      <c r="T385" t="str">
        <f>VLOOKUP(A385,Data_NV!$A:$E,4,0)</f>
        <v>Vận Hành</v>
      </c>
      <c r="U385" s="82">
        <f>DATEVALUE(Table2[[#This Row],[Ngày]])</f>
        <v>45923</v>
      </c>
      <c r="V385" t="str">
        <f>VLOOKUP(A385,Data_NV!$A:$E,5,0)</f>
        <v>Đang làm việc</v>
      </c>
      <c r="W385" s="10">
        <f>VLOOKUP(A385,Data_NV!$A:$I,8,0)</f>
        <v>0.3125</v>
      </c>
      <c r="X385" s="10">
        <f>VLOOKUP(A385,Data_NV!$A:$I,9,0)</f>
        <v>0.6875</v>
      </c>
      <c r="Y385" s="10">
        <f>IFERROR(TIMEVALUE(Table2[[#This Row],[Vào]]),0)</f>
        <v>0.31849537037037035</v>
      </c>
      <c r="Z385" s="10">
        <f>IFERROR(TIMEVALUE(Table2[[#This Row],[Ra]]),0)</f>
        <v>0.68932870370370369</v>
      </c>
      <c r="AA385" t="str">
        <f t="shared" si="21"/>
        <v>x</v>
      </c>
      <c r="AB385" s="105">
        <f t="shared" si="22"/>
        <v>8.6333333333332973</v>
      </c>
      <c r="AC385" s="12" t="str">
        <f>IF(VLOOKUP(A385,Data_NV!$A:$I,7,0)="Không","",IF(OR(AND(Y385=0,Z385=0),AND(Y385&lt;&gt;0,Z385&lt;&gt;0)),"","Quên chấm công"))</f>
        <v/>
      </c>
      <c r="AD385" s="12">
        <f>IF(VLOOKUP(A385,Data_NV!$A:$I,7,0)="Không",0,IF(AND(Y385=0,Z385=0),0,IF(X385&lt;=Z385,0,ROUNDDOWN((X385-Z385)*24*60,0))))</f>
        <v>0</v>
      </c>
      <c r="AE385" s="12">
        <f>IF(VLOOKUP(A385,Data_NV!$A:$I,6,0)="Không",0,IF(Z385&lt;=X385,0,ROUNDDOWN((Z385-X385)*24*60,0)))</f>
        <v>2</v>
      </c>
      <c r="AF385" s="26">
        <f t="shared" si="23"/>
        <v>30000</v>
      </c>
      <c r="AG385" s="27" t="str">
        <f>IF(AC385="","",IF(COUNTIFS($AC$3:AC385,"Quên chấm công",$S$3:S385,S385)&gt;3,"Không chấm công do vi phạm quá 3 lần",IF(COUNTIFS($AC$3:AC385,"Quên chấm công",$S$3:S385,S385)&gt;2,"Trừ toàn bộ chuyên cần tháng do vi phạm lần 3",IF(COUNTIFS($AC$3:AC385,"Quên chấm công",$S$3:S385,S385)&gt;1,"Trừ 1/2 ngày lương",50000))))</f>
        <v/>
      </c>
      <c r="AH385" s="12" t="str">
        <f>IF(AF385=0,"",IF(COUNTIFS($AF$3:AF385,"&gt;0",$S$3:S385,S385)&gt;3,"Trừ toàn bộ chuyên cần tháng",""))</f>
        <v/>
      </c>
      <c r="AI385" s="12"/>
    </row>
    <row r="386" spans="1:35" x14ac:dyDescent="0.25">
      <c r="A386" s="4" t="s">
        <v>605</v>
      </c>
      <c r="B386" s="1" t="s">
        <v>230</v>
      </c>
      <c r="C386" s="1" t="s">
        <v>20</v>
      </c>
      <c r="D386" s="1" t="s">
        <v>116</v>
      </c>
      <c r="E386" s="1" t="s">
        <v>22</v>
      </c>
      <c r="F386" s="1" t="s">
        <v>23</v>
      </c>
      <c r="G386" s="1" t="s">
        <v>277</v>
      </c>
      <c r="H386" s="1" t="s">
        <v>654</v>
      </c>
      <c r="I386" s="1" t="s">
        <v>655</v>
      </c>
      <c r="J386" s="1" t="s">
        <v>25</v>
      </c>
      <c r="K386" s="1" t="s">
        <v>656</v>
      </c>
      <c r="L386" s="1" t="s">
        <v>657</v>
      </c>
      <c r="M386" s="1" t="s">
        <v>656</v>
      </c>
      <c r="N386" s="1" t="s">
        <v>25</v>
      </c>
      <c r="O386" s="1" t="s">
        <v>25</v>
      </c>
      <c r="P386" s="1" t="s">
        <v>25</v>
      </c>
      <c r="Q386" s="1" t="s">
        <v>25</v>
      </c>
      <c r="R386" s="85" t="str">
        <f t="shared" si="20"/>
        <v>3245924</v>
      </c>
      <c r="S386" t="str">
        <f>VLOOKUP(A386,Data_NV!$A:$C,3,0)</f>
        <v xml:space="preserve"> Huỳnh Thanh Phong  </v>
      </c>
      <c r="T386" t="str">
        <f>VLOOKUP(A386,Data_NV!$A:$E,4,0)</f>
        <v>Vận Hành</v>
      </c>
      <c r="U386" s="82">
        <f>DATEVALUE(Table2[[#This Row],[Ngày]])</f>
        <v>45924</v>
      </c>
      <c r="V386" t="str">
        <f>VLOOKUP(A386,Data_NV!$A:$E,5,0)</f>
        <v>Đang làm việc</v>
      </c>
      <c r="W386" s="10">
        <f>VLOOKUP(A386,Data_NV!$A:$I,8,0)</f>
        <v>0.3125</v>
      </c>
      <c r="X386" s="10">
        <f>VLOOKUP(A386,Data_NV!$A:$I,9,0)</f>
        <v>0.6875</v>
      </c>
      <c r="Y386" s="10">
        <f>IFERROR(TIMEVALUE(Table2[[#This Row],[Vào]]),0)</f>
        <v>0.3067361111111111</v>
      </c>
      <c r="Z386" s="10">
        <f>IFERROR(TIMEVALUE(Table2[[#This Row],[Ra]]),0)</f>
        <v>0.54943287037037036</v>
      </c>
      <c r="AA386" t="str">
        <f t="shared" si="21"/>
        <v>x</v>
      </c>
      <c r="AB386" s="105">
        <f t="shared" si="22"/>
        <v>0</v>
      </c>
      <c r="AC386" s="12" t="str">
        <f>IF(VLOOKUP(A386,Data_NV!$A:$I,7,0)="Không","",IF(OR(AND(Y386=0,Z386=0),AND(Y386&lt;&gt;0,Z386&lt;&gt;0)),"","Quên chấm công"))</f>
        <v/>
      </c>
      <c r="AD386" s="12">
        <f>IF(VLOOKUP(A386,Data_NV!$A:$I,7,0)="Không",0,IF(AND(Y386=0,Z386=0),0,IF(X386&lt;=Z386,0,ROUNDDOWN((X386-Z386)*24*60,0))))</f>
        <v>198</v>
      </c>
      <c r="AE386" s="12">
        <f>IF(VLOOKUP(A386,Data_NV!$A:$I,6,0)="Không",0,IF(Z386&lt;=X386,0,ROUNDDOWN((Z386-X386)*24*60,0)))</f>
        <v>0</v>
      </c>
      <c r="AF386" s="26">
        <f t="shared" si="23"/>
        <v>0</v>
      </c>
      <c r="AG386" s="27" t="str">
        <f>IF(AC386="","",IF(COUNTIFS($AC$3:AC386,"Quên chấm công",$S$3:S386,S386)&gt;3,"Không chấm công do vi phạm quá 3 lần",IF(COUNTIFS($AC$3:AC386,"Quên chấm công",$S$3:S386,S386)&gt;2,"Trừ toàn bộ chuyên cần tháng do vi phạm lần 3",IF(COUNTIFS($AC$3:AC386,"Quên chấm công",$S$3:S386,S386)&gt;1,"Trừ 1/2 ngày lương",50000))))</f>
        <v/>
      </c>
      <c r="AH386" s="12" t="str">
        <f>IF(AF386=0,"",IF(COUNTIFS($AF$3:AF386,"&gt;0",$S$3:S386,S386)&gt;3,"Trừ toàn bộ chuyên cần tháng",""))</f>
        <v/>
      </c>
      <c r="AI386" s="12"/>
    </row>
    <row r="387" spans="1:35" x14ac:dyDescent="0.25">
      <c r="A387" s="4" t="s">
        <v>605</v>
      </c>
      <c r="B387" s="1" t="s">
        <v>230</v>
      </c>
      <c r="C387" s="1" t="s">
        <v>20</v>
      </c>
      <c r="D387" s="1" t="s">
        <v>121</v>
      </c>
      <c r="E387" s="1" t="s">
        <v>22</v>
      </c>
      <c r="F387" s="1" t="s">
        <v>23</v>
      </c>
      <c r="G387" s="1" t="s">
        <v>277</v>
      </c>
      <c r="H387" s="1" t="s">
        <v>658</v>
      </c>
      <c r="I387" s="1" t="s">
        <v>659</v>
      </c>
      <c r="J387" s="1" t="s">
        <v>25</v>
      </c>
      <c r="K387" s="1" t="s">
        <v>660</v>
      </c>
      <c r="L387" s="1" t="s">
        <v>62</v>
      </c>
      <c r="M387" s="1" t="s">
        <v>660</v>
      </c>
      <c r="N387" s="1" t="s">
        <v>25</v>
      </c>
      <c r="O387" s="1" t="s">
        <v>25</v>
      </c>
      <c r="P387" s="1" t="s">
        <v>25</v>
      </c>
      <c r="Q387" s="1" t="s">
        <v>25</v>
      </c>
      <c r="R387" s="85" t="str">
        <f t="shared" ref="R387:R450" si="24">A387&amp;U387</f>
        <v>3245925</v>
      </c>
      <c r="S387" t="str">
        <f>VLOOKUP(A387,Data_NV!$A:$C,3,0)</f>
        <v xml:space="preserve"> Huỳnh Thanh Phong  </v>
      </c>
      <c r="T387" t="str">
        <f>VLOOKUP(A387,Data_NV!$A:$E,4,0)</f>
        <v>Vận Hành</v>
      </c>
      <c r="U387" s="82">
        <f>DATEVALUE(Table2[[#This Row],[Ngày]])</f>
        <v>45925</v>
      </c>
      <c r="V387" t="str">
        <f>VLOOKUP(A387,Data_NV!$A:$E,5,0)</f>
        <v>Đang làm việc</v>
      </c>
      <c r="W387" s="10">
        <f>VLOOKUP(A387,Data_NV!$A:$I,8,0)</f>
        <v>0.3125</v>
      </c>
      <c r="X387" s="10">
        <f>VLOOKUP(A387,Data_NV!$A:$I,9,0)</f>
        <v>0.6875</v>
      </c>
      <c r="Y387" s="10">
        <f>IFERROR(TIMEVALUE(Table2[[#This Row],[Vào]]),0)</f>
        <v>0.30625000000000002</v>
      </c>
      <c r="Z387" s="10">
        <f>IFERROR(TIMEVALUE(Table2[[#This Row],[Ra]]),0)</f>
        <v>0.68762731481481476</v>
      </c>
      <c r="AA387" t="str">
        <f t="shared" ref="AA387:AA450" si="25">IF(TEXT($U387,"ddd")="CN","Chủ nhật",IF(OR(AND(Y387=0,Z387=0),AG387="Không chấm công do vi phạm quá 3 lần"),"",IF(OR(AG387="Trừ 1/2 ngày lương",AF387="Trừ 1/2 ngày lương",AB387&gt;=60),"1/2","x")))</f>
        <v>x</v>
      </c>
      <c r="AB387" s="105">
        <f t="shared" ref="AB387:AB450" si="26">IF(Y387&lt;=W387,0,(Y387-W387)*24*60)</f>
        <v>0</v>
      </c>
      <c r="AC387" s="12" t="str">
        <f>IF(VLOOKUP(A387,Data_NV!$A:$I,7,0)="Không","",IF(OR(AND(Y387=0,Z387=0),AND(Y387&lt;&gt;0,Z387&lt;&gt;0)),"","Quên chấm công"))</f>
        <v/>
      </c>
      <c r="AD387" s="12">
        <f>IF(VLOOKUP(A387,Data_NV!$A:$I,7,0)="Không",0,IF(AND(Y387=0,Z387=0),0,IF(X387&lt;=Z387,0,ROUNDDOWN((X387-Z387)*24*60,0))))</f>
        <v>0</v>
      </c>
      <c r="AE387" s="12">
        <f>IF(VLOOKUP(A387,Data_NV!$A:$I,6,0)="Không",0,IF(Z387&lt;=X387,0,ROUNDDOWN((Z387-X387)*24*60,0)))</f>
        <v>0</v>
      </c>
      <c r="AF387" s="26">
        <f t="shared" ref="AF387:AF450" si="27">IF(AB387&gt;60,"Trừ 1/2 ngày lương",IF(AB387&gt;15,50000,IF(AB387&gt;6,30000,0)))</f>
        <v>0</v>
      </c>
      <c r="AG387" s="27" t="str">
        <f>IF(AC387="","",IF(COUNTIFS($AC$3:AC387,"Quên chấm công",$S$3:S387,S387)&gt;3,"Không chấm công do vi phạm quá 3 lần",IF(COUNTIFS($AC$3:AC387,"Quên chấm công",$S$3:S387,S387)&gt;2,"Trừ toàn bộ chuyên cần tháng do vi phạm lần 3",IF(COUNTIFS($AC$3:AC387,"Quên chấm công",$S$3:S387,S387)&gt;1,"Trừ 1/2 ngày lương",50000))))</f>
        <v/>
      </c>
      <c r="AH387" s="12" t="str">
        <f>IF(AF387=0,"",IF(COUNTIFS($AF$3:AF387,"&gt;0",$S$3:S387,S387)&gt;3,"Trừ toàn bộ chuyên cần tháng",""))</f>
        <v/>
      </c>
      <c r="AI387" s="12"/>
    </row>
    <row r="388" spans="1:35" x14ac:dyDescent="0.25">
      <c r="A388" s="4" t="s">
        <v>605</v>
      </c>
      <c r="B388" s="1" t="s">
        <v>230</v>
      </c>
      <c r="C388" s="1" t="s">
        <v>20</v>
      </c>
      <c r="D388" s="1" t="s">
        <v>123</v>
      </c>
      <c r="E388" s="1" t="s">
        <v>22</v>
      </c>
      <c r="F388" s="1" t="s">
        <v>23</v>
      </c>
      <c r="G388" s="1" t="s">
        <v>277</v>
      </c>
      <c r="H388" s="1" t="s">
        <v>661</v>
      </c>
      <c r="I388" s="1" t="s">
        <v>662</v>
      </c>
      <c r="J388" s="1" t="s">
        <v>25</v>
      </c>
      <c r="K388" s="1" t="s">
        <v>642</v>
      </c>
      <c r="L388" s="1" t="s">
        <v>420</v>
      </c>
      <c r="M388" s="1" t="s">
        <v>642</v>
      </c>
      <c r="N388" s="1" t="s">
        <v>25</v>
      </c>
      <c r="O388" s="1" t="s">
        <v>25</v>
      </c>
      <c r="P388" s="1" t="s">
        <v>25</v>
      </c>
      <c r="Q388" s="1" t="s">
        <v>25</v>
      </c>
      <c r="R388" s="85" t="str">
        <f t="shared" si="24"/>
        <v>3245926</v>
      </c>
      <c r="S388" t="str">
        <f>VLOOKUP(A388,Data_NV!$A:$C,3,0)</f>
        <v xml:space="preserve"> Huỳnh Thanh Phong  </v>
      </c>
      <c r="T388" t="str">
        <f>VLOOKUP(A388,Data_NV!$A:$E,4,0)</f>
        <v>Vận Hành</v>
      </c>
      <c r="U388" s="82">
        <f>DATEVALUE(Table2[[#This Row],[Ngày]])</f>
        <v>45926</v>
      </c>
      <c r="V388" t="str">
        <f>VLOOKUP(A388,Data_NV!$A:$E,5,0)</f>
        <v>Đang làm việc</v>
      </c>
      <c r="W388" s="10">
        <f>VLOOKUP(A388,Data_NV!$A:$I,8,0)</f>
        <v>0.3125</v>
      </c>
      <c r="X388" s="10">
        <f>VLOOKUP(A388,Data_NV!$A:$I,9,0)</f>
        <v>0.6875</v>
      </c>
      <c r="Y388" s="10">
        <f>IFERROR(TIMEVALUE(Table2[[#This Row],[Vào]]),0)</f>
        <v>0.30888888888888888</v>
      </c>
      <c r="Z388" s="10">
        <f>IFERROR(TIMEVALUE(Table2[[#This Row],[Ra]]),0)</f>
        <v>0.69046296296296295</v>
      </c>
      <c r="AA388" t="str">
        <f t="shared" si="25"/>
        <v>x</v>
      </c>
      <c r="AB388" s="105">
        <f t="shared" si="26"/>
        <v>0</v>
      </c>
      <c r="AC388" s="12" t="str">
        <f>IF(VLOOKUP(A388,Data_NV!$A:$I,7,0)="Không","",IF(OR(AND(Y388=0,Z388=0),AND(Y388&lt;&gt;0,Z388&lt;&gt;0)),"","Quên chấm công"))</f>
        <v/>
      </c>
      <c r="AD388" s="12">
        <f>IF(VLOOKUP(A388,Data_NV!$A:$I,7,0)="Không",0,IF(AND(Y388=0,Z388=0),0,IF(X388&lt;=Z388,0,ROUNDDOWN((X388-Z388)*24*60,0))))</f>
        <v>0</v>
      </c>
      <c r="AE388" s="12">
        <f>IF(VLOOKUP(A388,Data_NV!$A:$I,6,0)="Không",0,IF(Z388&lt;=X388,0,ROUNDDOWN((Z388-X388)*24*60,0)))</f>
        <v>4</v>
      </c>
      <c r="AF388" s="26">
        <f t="shared" si="27"/>
        <v>0</v>
      </c>
      <c r="AG388" s="27" t="str">
        <f>IF(AC388="","",IF(COUNTIFS($AC$3:AC388,"Quên chấm công",$S$3:S388,S388)&gt;3,"Không chấm công do vi phạm quá 3 lần",IF(COUNTIFS($AC$3:AC388,"Quên chấm công",$S$3:S388,S388)&gt;2,"Trừ toàn bộ chuyên cần tháng do vi phạm lần 3",IF(COUNTIFS($AC$3:AC388,"Quên chấm công",$S$3:S388,S388)&gt;1,"Trừ 1/2 ngày lương",50000))))</f>
        <v/>
      </c>
      <c r="AH388" s="12" t="str">
        <f>IF(AF388=0,"",IF(COUNTIFS($AF$3:AF388,"&gt;0",$S$3:S388,S388)&gt;3,"Trừ toàn bộ chuyên cần tháng",""))</f>
        <v/>
      </c>
      <c r="AI388" s="12"/>
    </row>
    <row r="389" spans="1:35" x14ac:dyDescent="0.25">
      <c r="A389" s="4" t="s">
        <v>605</v>
      </c>
      <c r="B389" s="1" t="s">
        <v>230</v>
      </c>
      <c r="C389" s="1" t="s">
        <v>20</v>
      </c>
      <c r="D389" s="1" t="s">
        <v>125</v>
      </c>
      <c r="E389" s="1" t="s">
        <v>22</v>
      </c>
      <c r="F389" s="1" t="s">
        <v>23</v>
      </c>
      <c r="G389" s="1" t="s">
        <v>12</v>
      </c>
      <c r="H389" s="1" t="s">
        <v>663</v>
      </c>
      <c r="I389" s="1" t="s">
        <v>24</v>
      </c>
      <c r="J389" s="1" t="s">
        <v>25</v>
      </c>
      <c r="K389" s="1" t="s">
        <v>25</v>
      </c>
      <c r="L389" s="1" t="s">
        <v>26</v>
      </c>
      <c r="M389" s="1" t="s">
        <v>25</v>
      </c>
      <c r="N389" s="1" t="s">
        <v>25</v>
      </c>
      <c r="O389" s="1" t="s">
        <v>25</v>
      </c>
      <c r="P389" s="1" t="s">
        <v>25</v>
      </c>
      <c r="Q389" s="1" t="s">
        <v>25</v>
      </c>
      <c r="R389" s="85" t="str">
        <f t="shared" si="24"/>
        <v>3245927</v>
      </c>
      <c r="S389" t="str">
        <f>VLOOKUP(A389,Data_NV!$A:$C,3,0)</f>
        <v xml:space="preserve"> Huỳnh Thanh Phong  </v>
      </c>
      <c r="T389" t="str">
        <f>VLOOKUP(A389,Data_NV!$A:$E,4,0)</f>
        <v>Vận Hành</v>
      </c>
      <c r="U389" s="82">
        <f>DATEVALUE(Table2[[#This Row],[Ngày]])</f>
        <v>45927</v>
      </c>
      <c r="V389" t="str">
        <f>VLOOKUP(A389,Data_NV!$A:$E,5,0)</f>
        <v>Đang làm việc</v>
      </c>
      <c r="W389" s="10">
        <f>VLOOKUP(A389,Data_NV!$A:$I,8,0)</f>
        <v>0.3125</v>
      </c>
      <c r="X389" s="10">
        <f>VLOOKUP(A389,Data_NV!$A:$I,9,0)</f>
        <v>0.6875</v>
      </c>
      <c r="Y389" s="10">
        <f>IFERROR(TIMEVALUE(Table2[[#This Row],[Vào]]),0)</f>
        <v>0.30486111111111114</v>
      </c>
      <c r="Z389" s="10">
        <f>IFERROR(TIMEVALUE(Table2[[#This Row],[Ra]]),0)</f>
        <v>0</v>
      </c>
      <c r="AA389" t="str">
        <f t="shared" si="25"/>
        <v>x</v>
      </c>
      <c r="AB389" s="105">
        <f t="shared" si="26"/>
        <v>0</v>
      </c>
      <c r="AD389" s="12">
        <f>IF(VLOOKUP(A389,Data_NV!$A:$I,7,0)="Không",0,IF(AND(Y389=0,Z389=0),0,IF(X389&lt;=Z389,0,ROUNDDOWN((X389-Z389)*24*60,0))))</f>
        <v>990</v>
      </c>
      <c r="AE389" s="12">
        <f>IF(VLOOKUP(A389,Data_NV!$A:$I,6,0)="Không",0,IF(Z389&lt;=X389,0,ROUNDDOWN((Z389-X389)*24*60,0)))</f>
        <v>0</v>
      </c>
      <c r="AF389" s="26">
        <f t="shared" si="27"/>
        <v>0</v>
      </c>
      <c r="AG389" s="27" t="str">
        <f>IF(AC389="","",IF(COUNTIFS($AC$3:AC389,"Quên chấm công",$S$3:S389,S389)&gt;3,"Không chấm công do vi phạm quá 3 lần",IF(COUNTIFS($AC$3:AC389,"Quên chấm công",$S$3:S389,S389)&gt;2,"Trừ toàn bộ chuyên cần tháng do vi phạm lần 3",IF(COUNTIFS($AC$3:AC389,"Quên chấm công",$S$3:S389,S389)&gt;1,"Trừ 1/2 ngày lương",50000))))</f>
        <v/>
      </c>
      <c r="AH389" s="12" t="str">
        <f>IF(AF389=0,"",IF(COUNTIFS($AF$3:AF389,"&gt;0",$S$3:S389,S389)&gt;3,"Trừ toàn bộ chuyên cần tháng",""))</f>
        <v/>
      </c>
      <c r="AI389" s="12" t="s">
        <v>1394</v>
      </c>
    </row>
    <row r="390" spans="1:35" x14ac:dyDescent="0.25">
      <c r="A390" s="4" t="s">
        <v>605</v>
      </c>
      <c r="B390" s="1" t="s">
        <v>230</v>
      </c>
      <c r="C390" s="1" t="s">
        <v>20</v>
      </c>
      <c r="D390" s="1" t="s">
        <v>130</v>
      </c>
      <c r="E390" s="1" t="s">
        <v>22</v>
      </c>
      <c r="F390" s="1" t="s">
        <v>23</v>
      </c>
      <c r="G390" s="1" t="s">
        <v>12</v>
      </c>
      <c r="H390" s="1" t="s">
        <v>24</v>
      </c>
      <c r="I390" s="1" t="s">
        <v>24</v>
      </c>
      <c r="J390" s="1" t="s">
        <v>25</v>
      </c>
      <c r="K390" s="1" t="s">
        <v>25</v>
      </c>
      <c r="L390" s="1" t="s">
        <v>26</v>
      </c>
      <c r="M390" s="1" t="s">
        <v>25</v>
      </c>
      <c r="N390" s="1" t="s">
        <v>25</v>
      </c>
      <c r="O390" s="1" t="s">
        <v>25</v>
      </c>
      <c r="P390" s="1" t="s">
        <v>25</v>
      </c>
      <c r="Q390" s="1" t="s">
        <v>25</v>
      </c>
      <c r="R390" s="85" t="str">
        <f t="shared" si="24"/>
        <v>3245928</v>
      </c>
      <c r="S390" t="str">
        <f>VLOOKUP(A390,Data_NV!$A:$C,3,0)</f>
        <v xml:space="preserve"> Huỳnh Thanh Phong  </v>
      </c>
      <c r="T390" t="str">
        <f>VLOOKUP(A390,Data_NV!$A:$E,4,0)</f>
        <v>Vận Hành</v>
      </c>
      <c r="U390" s="82">
        <f>DATEVALUE(Table2[[#This Row],[Ngày]])</f>
        <v>45928</v>
      </c>
      <c r="V390" t="str">
        <f>VLOOKUP(A390,Data_NV!$A:$E,5,0)</f>
        <v>Đang làm việc</v>
      </c>
      <c r="W390" s="10">
        <f>VLOOKUP(A390,Data_NV!$A:$I,8,0)</f>
        <v>0.3125</v>
      </c>
      <c r="X390" s="10">
        <f>VLOOKUP(A390,Data_NV!$A:$I,9,0)</f>
        <v>0.6875</v>
      </c>
      <c r="Y390" s="10">
        <f>IFERROR(TIMEVALUE(Table2[[#This Row],[Vào]]),0)</f>
        <v>0</v>
      </c>
      <c r="Z390" s="10">
        <f>IFERROR(TIMEVALUE(Table2[[#This Row],[Ra]]),0)</f>
        <v>0</v>
      </c>
      <c r="AA390" t="str">
        <f t="shared" si="25"/>
        <v>Chủ nhật</v>
      </c>
      <c r="AB390" s="105">
        <f t="shared" si="26"/>
        <v>0</v>
      </c>
      <c r="AC390" s="12" t="str">
        <f>IF(VLOOKUP(A390,Data_NV!$A:$I,7,0)="Không","",IF(OR(AND(Y390=0,Z390=0),AND(Y390&lt;&gt;0,Z390&lt;&gt;0)),"","Quên chấm công"))</f>
        <v/>
      </c>
      <c r="AD390" s="12">
        <f>IF(VLOOKUP(A390,Data_NV!$A:$I,7,0)="Không",0,IF(AND(Y390=0,Z390=0),0,IF(X390&lt;=Z390,0,ROUNDDOWN((X390-Z390)*24*60,0))))</f>
        <v>0</v>
      </c>
      <c r="AE390" s="12">
        <f>IF(VLOOKUP(A390,Data_NV!$A:$I,6,0)="Không",0,IF(Z390&lt;=X390,0,ROUNDDOWN((Z390-X390)*24*60,0)))</f>
        <v>0</v>
      </c>
      <c r="AF390" s="26">
        <f t="shared" si="27"/>
        <v>0</v>
      </c>
      <c r="AG390" s="27" t="str">
        <f>IF(AC390="","",IF(COUNTIFS($AC$3:AC390,"Quên chấm công",$S$3:S390,S390)&gt;3,"Không chấm công do vi phạm quá 3 lần",IF(COUNTIFS($AC$3:AC390,"Quên chấm công",$S$3:S390,S390)&gt;2,"Trừ toàn bộ chuyên cần tháng do vi phạm lần 3",IF(COUNTIFS($AC$3:AC390,"Quên chấm công",$S$3:S390,S390)&gt;1,"Trừ 1/2 ngày lương",50000))))</f>
        <v/>
      </c>
      <c r="AH390" s="12" t="str">
        <f>IF(AF390=0,"",IF(COUNTIFS($AF$3:AF390,"&gt;0",$S$3:S390,S390)&gt;3,"Trừ toàn bộ chuyên cần tháng",""))</f>
        <v/>
      </c>
      <c r="AI390" s="12"/>
    </row>
    <row r="391" spans="1:35" x14ac:dyDescent="0.25">
      <c r="A391" s="4" t="s">
        <v>605</v>
      </c>
      <c r="B391" s="1" t="s">
        <v>230</v>
      </c>
      <c r="C391" s="1" t="s">
        <v>20</v>
      </c>
      <c r="D391" s="1" t="s">
        <v>131</v>
      </c>
      <c r="E391" s="1" t="s">
        <v>22</v>
      </c>
      <c r="F391" s="1" t="s">
        <v>23</v>
      </c>
      <c r="G391" s="1" t="s">
        <v>29</v>
      </c>
      <c r="H391" s="1" t="s">
        <v>664</v>
      </c>
      <c r="I391" s="1" t="s">
        <v>665</v>
      </c>
      <c r="J391" s="1" t="s">
        <v>25</v>
      </c>
      <c r="K391" s="1" t="s">
        <v>61</v>
      </c>
      <c r="L391" s="1" t="s">
        <v>25</v>
      </c>
      <c r="M391" s="1" t="s">
        <v>26</v>
      </c>
      <c r="N391" s="1" t="s">
        <v>25</v>
      </c>
      <c r="O391" s="1" t="s">
        <v>62</v>
      </c>
      <c r="P391" s="1" t="s">
        <v>25</v>
      </c>
      <c r="Q391" s="1" t="s">
        <v>25</v>
      </c>
      <c r="R391" s="85" t="str">
        <f t="shared" si="24"/>
        <v>3245929</v>
      </c>
      <c r="S391" t="str">
        <f>VLOOKUP(A391,Data_NV!$A:$C,3,0)</f>
        <v xml:space="preserve"> Huỳnh Thanh Phong  </v>
      </c>
      <c r="T391" t="str">
        <f>VLOOKUP(A391,Data_NV!$A:$E,4,0)</f>
        <v>Vận Hành</v>
      </c>
      <c r="U391" s="82">
        <f>DATEVALUE(Table2[[#This Row],[Ngày]])</f>
        <v>45929</v>
      </c>
      <c r="V391" t="str">
        <f>VLOOKUP(A391,Data_NV!$A:$E,5,0)</f>
        <v>Đang làm việc</v>
      </c>
      <c r="W391" s="10">
        <f>VLOOKUP(A391,Data_NV!$A:$I,8,0)</f>
        <v>0.3125</v>
      </c>
      <c r="X391" s="10">
        <f>VLOOKUP(A391,Data_NV!$A:$I,9,0)</f>
        <v>0.6875</v>
      </c>
      <c r="Y391" s="10">
        <f>IFERROR(TIMEVALUE(Table2[[#This Row],[Vào]]),0)</f>
        <v>0.30564814814814817</v>
      </c>
      <c r="Z391" s="10">
        <f>IFERROR(TIMEVALUE(Table2[[#This Row],[Ra]]),0)</f>
        <v>0.72905092592592591</v>
      </c>
      <c r="AA391" t="str">
        <f t="shared" si="25"/>
        <v>x</v>
      </c>
      <c r="AB391" s="105">
        <f t="shared" si="26"/>
        <v>0</v>
      </c>
      <c r="AC391" s="12" t="str">
        <f>IF(VLOOKUP(A391,Data_NV!$A:$I,7,0)="Không","",IF(OR(AND(Y391=0,Z391=0),AND(Y391&lt;&gt;0,Z391&lt;&gt;0)),"","Quên chấm công"))</f>
        <v/>
      </c>
      <c r="AD391" s="12">
        <f>IF(VLOOKUP(A391,Data_NV!$A:$I,7,0)="Không",0,IF(AND(Y391=0,Z391=0),0,IF(X391&lt;=Z391,0,ROUNDDOWN((X391-Z391)*24*60,0))))</f>
        <v>0</v>
      </c>
      <c r="AE391" s="12">
        <f>IF(VLOOKUP(A391,Data_NV!$A:$I,6,0)="Không",0,IF(Z391&lt;=X391,0,ROUNDDOWN((Z391-X391)*24*60,0)))</f>
        <v>59</v>
      </c>
      <c r="AF391" s="26">
        <f t="shared" si="27"/>
        <v>0</v>
      </c>
      <c r="AG391" s="27" t="str">
        <f>IF(AC391="","",IF(COUNTIFS($AC$3:AC391,"Quên chấm công",$S$3:S391,S391)&gt;3,"Không chấm công do vi phạm quá 3 lần",IF(COUNTIFS($AC$3:AC391,"Quên chấm công",$S$3:S391,S391)&gt;2,"Trừ toàn bộ chuyên cần tháng do vi phạm lần 3",IF(COUNTIFS($AC$3:AC391,"Quên chấm công",$S$3:S391,S391)&gt;1,"Trừ 1/2 ngày lương",50000))))</f>
        <v/>
      </c>
      <c r="AH391" s="12" t="str">
        <f>IF(AF391=0,"",IF(COUNTIFS($AF$3:AF391,"&gt;0",$S$3:S391,S391)&gt;3,"Trừ toàn bộ chuyên cần tháng",""))</f>
        <v/>
      </c>
      <c r="AI391" s="12"/>
    </row>
    <row r="392" spans="1:35" x14ac:dyDescent="0.25">
      <c r="A392" s="4" t="s">
        <v>605</v>
      </c>
      <c r="B392" s="1" t="s">
        <v>230</v>
      </c>
      <c r="C392" s="1" t="s">
        <v>20</v>
      </c>
      <c r="D392" s="1" t="s">
        <v>136</v>
      </c>
      <c r="E392" s="1" t="s">
        <v>22</v>
      </c>
      <c r="F392" s="1" t="s">
        <v>23</v>
      </c>
      <c r="G392" s="1" t="s">
        <v>29</v>
      </c>
      <c r="H392" s="1" t="s">
        <v>666</v>
      </c>
      <c r="I392" s="1" t="s">
        <v>667</v>
      </c>
      <c r="J392" s="1" t="s">
        <v>25</v>
      </c>
      <c r="K392" s="1" t="s">
        <v>668</v>
      </c>
      <c r="L392" s="1" t="s">
        <v>25</v>
      </c>
      <c r="M392" s="1" t="s">
        <v>26</v>
      </c>
      <c r="N392" s="1" t="s">
        <v>25</v>
      </c>
      <c r="O392" s="1" t="s">
        <v>669</v>
      </c>
      <c r="P392" s="1" t="s">
        <v>25</v>
      </c>
      <c r="Q392" s="1" t="s">
        <v>25</v>
      </c>
      <c r="R392" s="85" t="str">
        <f t="shared" si="24"/>
        <v>3245930</v>
      </c>
      <c r="S392" t="str">
        <f>VLOOKUP(A392,Data_NV!$A:$C,3,0)</f>
        <v xml:space="preserve"> Huỳnh Thanh Phong  </v>
      </c>
      <c r="T392" t="str">
        <f>VLOOKUP(A392,Data_NV!$A:$E,4,0)</f>
        <v>Vận Hành</v>
      </c>
      <c r="U392" s="82">
        <f>DATEVALUE(Table2[[#This Row],[Ngày]])</f>
        <v>45930</v>
      </c>
      <c r="V392" t="str">
        <f>VLOOKUP(A392,Data_NV!$A:$E,5,0)</f>
        <v>Đang làm việc</v>
      </c>
      <c r="W392" s="10">
        <f>VLOOKUP(A392,Data_NV!$A:$I,8,0)</f>
        <v>0.3125</v>
      </c>
      <c r="X392" s="10">
        <f>VLOOKUP(A392,Data_NV!$A:$I,9,0)</f>
        <v>0.6875</v>
      </c>
      <c r="Y392" s="10">
        <f>IFERROR(TIMEVALUE(Table2[[#This Row],[Vào]]),0)</f>
        <v>0.31180555555555556</v>
      </c>
      <c r="Z392" s="10">
        <f>IFERROR(TIMEVALUE(Table2[[#This Row],[Ra]]),0)</f>
        <v>0.74442129629629628</v>
      </c>
      <c r="AA392" t="str">
        <f t="shared" si="25"/>
        <v>x</v>
      </c>
      <c r="AB392" s="105">
        <f t="shared" si="26"/>
        <v>0</v>
      </c>
      <c r="AC392" s="12" t="str">
        <f>IF(VLOOKUP(A392,Data_NV!$A:$I,7,0)="Không","",IF(OR(AND(Y392=0,Z392=0),AND(Y392&lt;&gt;0,Z392&lt;&gt;0)),"","Quên chấm công"))</f>
        <v/>
      </c>
      <c r="AD392" s="12">
        <f>IF(VLOOKUP(A392,Data_NV!$A:$I,7,0)="Không",0,IF(AND(Y392=0,Z392=0),0,IF(X392&lt;=Z392,0,ROUNDDOWN((X392-Z392)*24*60,0))))</f>
        <v>0</v>
      </c>
      <c r="AE392" s="12">
        <f>IF(VLOOKUP(A392,Data_NV!$A:$I,6,0)="Không",0,IF(Z392&lt;=X392,0,ROUNDDOWN((Z392-X392)*24*60,0)))</f>
        <v>81</v>
      </c>
      <c r="AF392" s="26">
        <f t="shared" si="27"/>
        <v>0</v>
      </c>
      <c r="AG392" s="27" t="str">
        <f>IF(AC392="","",IF(COUNTIFS($AC$3:AC392,"Quên chấm công",$S$3:S392,S392)&gt;3,"Không chấm công do vi phạm quá 3 lần",IF(COUNTIFS($AC$3:AC392,"Quên chấm công",$S$3:S392,S392)&gt;2,"Trừ toàn bộ chuyên cần tháng do vi phạm lần 3",IF(COUNTIFS($AC$3:AC392,"Quên chấm công",$S$3:S392,S392)&gt;1,"Trừ 1/2 ngày lương",50000))))</f>
        <v/>
      </c>
      <c r="AH392" s="12" t="str">
        <f>IF(AF392=0,"",IF(COUNTIFS($AF$3:AF392,"&gt;0",$S$3:S392,S392)&gt;3,"Trừ toàn bộ chuyên cần tháng",""))</f>
        <v/>
      </c>
      <c r="AI392" s="12"/>
    </row>
    <row r="393" spans="1:35" x14ac:dyDescent="0.25">
      <c r="A393" s="4" t="s">
        <v>678</v>
      </c>
      <c r="B393" s="1" t="s">
        <v>679</v>
      </c>
      <c r="C393" s="1" t="s">
        <v>20</v>
      </c>
      <c r="D393" s="1" t="s">
        <v>21</v>
      </c>
      <c r="E393" s="1" t="s">
        <v>22</v>
      </c>
      <c r="F393" s="1" t="s">
        <v>23</v>
      </c>
      <c r="G393" s="1" t="s">
        <v>12</v>
      </c>
      <c r="H393" s="1" t="s">
        <v>24</v>
      </c>
      <c r="I393" s="1" t="s">
        <v>24</v>
      </c>
      <c r="J393" s="1" t="s">
        <v>25</v>
      </c>
      <c r="K393" s="1" t="s">
        <v>25</v>
      </c>
      <c r="L393" s="1" t="s">
        <v>26</v>
      </c>
      <c r="M393" s="1" t="s">
        <v>25</v>
      </c>
      <c r="N393" s="1" t="s">
        <v>25</v>
      </c>
      <c r="O393" s="1" t="s">
        <v>25</v>
      </c>
      <c r="P393" s="1" t="s">
        <v>25</v>
      </c>
      <c r="Q393" s="1" t="s">
        <v>25</v>
      </c>
      <c r="R393" s="85" t="str">
        <f t="shared" si="24"/>
        <v>3745901</v>
      </c>
      <c r="S393" t="str">
        <f>VLOOKUP(A393,Data_NV!$A:$C,3,0)</f>
        <v>Trần Bảo Trâm</v>
      </c>
      <c r="T393" t="str">
        <f>VLOOKUP(A393,Data_NV!$A:$E,4,0)</f>
        <v>Kinh doanh</v>
      </c>
      <c r="U393" s="82">
        <f>DATEVALUE(Table2[[#This Row],[Ngày]])</f>
        <v>45901</v>
      </c>
      <c r="V393" t="str">
        <f>VLOOKUP(A393,Data_NV!$A:$E,5,0)</f>
        <v>Đang làm việc</v>
      </c>
      <c r="W393" s="10">
        <f>VLOOKUP(A393,Data_NV!$A:$I,8,0)</f>
        <v>0.33333333333333331</v>
      </c>
      <c r="X393" s="10">
        <f>VLOOKUP(A393,Data_NV!$A:$I,9,0)</f>
        <v>0.70833333333333337</v>
      </c>
      <c r="Y393" s="10">
        <f>IFERROR(TIMEVALUE(Table2[[#This Row],[Vào]]),0)</f>
        <v>0</v>
      </c>
      <c r="Z393" s="10">
        <f>IFERROR(TIMEVALUE(Table2[[#This Row],[Ra]]),0)</f>
        <v>0</v>
      </c>
      <c r="AA393" s="97" t="s">
        <v>1349</v>
      </c>
      <c r="AB393" s="105">
        <f t="shared" si="26"/>
        <v>0</v>
      </c>
      <c r="AC393" s="12" t="str">
        <f>IF(VLOOKUP(A393,Data_NV!$A:$I,7,0)="Không","",IF(OR(AND(Y393=0,Z393=0),AND(Y393&lt;&gt;0,Z393&lt;&gt;0)),"","Quên chấm công"))</f>
        <v/>
      </c>
      <c r="AD393" s="12">
        <f>IF(VLOOKUP(A393,Data_NV!$A:$I,7,0)="Không",0,IF(AND(Y393=0,Z393=0),0,IF(X393&lt;=Z393,0,ROUNDDOWN((X393-Z393)*24*60,0))))</f>
        <v>0</v>
      </c>
      <c r="AE393" s="12">
        <f>IF(VLOOKUP(A393,Data_NV!$A:$I,6,0)="Không",0,IF(Z393&lt;=X393,0,ROUNDDOWN((Z393-X393)*24*60,0)))</f>
        <v>0</v>
      </c>
      <c r="AF393" s="26">
        <f t="shared" si="27"/>
        <v>0</v>
      </c>
      <c r="AG393" s="27" t="str">
        <f>IF(AC393="","",IF(COUNTIFS($AC$3:AC393,"Quên chấm công",$S$3:S393,S393)&gt;3,"Không chấm công do vi phạm quá 3 lần",IF(COUNTIFS($AC$3:AC393,"Quên chấm công",$S$3:S393,S393)&gt;2,"Trừ toàn bộ chuyên cần tháng do vi phạm lần 3",IF(COUNTIFS($AC$3:AC393,"Quên chấm công",$S$3:S393,S393)&gt;1,"Trừ 1/2 ngày lương",50000))))</f>
        <v/>
      </c>
      <c r="AH393" s="12" t="str">
        <f>IF(AF393=0,"",IF(COUNTIFS($AF$3:AF393,"&gt;0",$S$3:S393,S393)&gt;3,"Trừ toàn bộ chuyên cần tháng",""))</f>
        <v/>
      </c>
      <c r="AI393" s="98" t="s">
        <v>1369</v>
      </c>
    </row>
    <row r="394" spans="1:35" x14ac:dyDescent="0.25">
      <c r="A394" s="4" t="s">
        <v>678</v>
      </c>
      <c r="B394" s="1" t="s">
        <v>679</v>
      </c>
      <c r="C394" s="1" t="s">
        <v>20</v>
      </c>
      <c r="D394" s="1" t="s">
        <v>27</v>
      </c>
      <c r="E394" s="1" t="s">
        <v>22</v>
      </c>
      <c r="F394" s="1" t="s">
        <v>23</v>
      </c>
      <c r="G394" s="1" t="s">
        <v>12</v>
      </c>
      <c r="H394" s="1" t="s">
        <v>24</v>
      </c>
      <c r="I394" s="1" t="s">
        <v>24</v>
      </c>
      <c r="J394" s="1" t="s">
        <v>25</v>
      </c>
      <c r="K394" s="1" t="s">
        <v>25</v>
      </c>
      <c r="L394" s="1" t="s">
        <v>26</v>
      </c>
      <c r="M394" s="1" t="s">
        <v>25</v>
      </c>
      <c r="N394" s="1" t="s">
        <v>25</v>
      </c>
      <c r="O394" s="1" t="s">
        <v>25</v>
      </c>
      <c r="P394" s="1" t="s">
        <v>25</v>
      </c>
      <c r="Q394" s="1" t="s">
        <v>25</v>
      </c>
      <c r="R394" s="85" t="str">
        <f t="shared" si="24"/>
        <v>3745902</v>
      </c>
      <c r="S394" t="str">
        <f>VLOOKUP(A394,Data_NV!$A:$C,3,0)</f>
        <v>Trần Bảo Trâm</v>
      </c>
      <c r="T394" t="str">
        <f>VLOOKUP(A394,Data_NV!$A:$E,4,0)</f>
        <v>Kinh doanh</v>
      </c>
      <c r="U394" s="82">
        <f>DATEVALUE(Table2[[#This Row],[Ngày]])</f>
        <v>45902</v>
      </c>
      <c r="V394" t="str">
        <f>VLOOKUP(A394,Data_NV!$A:$E,5,0)</f>
        <v>Đang làm việc</v>
      </c>
      <c r="W394" s="10">
        <f>VLOOKUP(A394,Data_NV!$A:$I,8,0)</f>
        <v>0.33333333333333331</v>
      </c>
      <c r="X394" s="10">
        <f>VLOOKUP(A394,Data_NV!$A:$I,9,0)</f>
        <v>0.70833333333333337</v>
      </c>
      <c r="Y394" s="10">
        <f>IFERROR(TIMEVALUE(Table2[[#This Row],[Vào]]),0)</f>
        <v>0</v>
      </c>
      <c r="Z394" s="10">
        <f>IFERROR(TIMEVALUE(Table2[[#This Row],[Ra]]),0)</f>
        <v>0</v>
      </c>
      <c r="AA394" s="97" t="s">
        <v>1349</v>
      </c>
      <c r="AB394" s="105">
        <f t="shared" si="26"/>
        <v>0</v>
      </c>
      <c r="AC394" s="12" t="str">
        <f>IF(VLOOKUP(A394,Data_NV!$A:$I,7,0)="Không","",IF(OR(AND(Y394=0,Z394=0),AND(Y394&lt;&gt;0,Z394&lt;&gt;0)),"","Quên chấm công"))</f>
        <v/>
      </c>
      <c r="AD394" s="12">
        <f>IF(VLOOKUP(A394,Data_NV!$A:$I,7,0)="Không",0,IF(AND(Y394=0,Z394=0),0,IF(X394&lt;=Z394,0,ROUNDDOWN((X394-Z394)*24*60,0))))</f>
        <v>0</v>
      </c>
      <c r="AE394" s="12">
        <f>IF(VLOOKUP(A394,Data_NV!$A:$I,6,0)="Không",0,IF(Z394&lt;=X394,0,ROUNDDOWN((Z394-X394)*24*60,0)))</f>
        <v>0</v>
      </c>
      <c r="AF394" s="26">
        <f t="shared" si="27"/>
        <v>0</v>
      </c>
      <c r="AG394" s="27" t="str">
        <f>IF(AC394="","",IF(COUNTIFS($AC$3:AC394,"Quên chấm công",$S$3:S394,S394)&gt;3,"Không chấm công do vi phạm quá 3 lần",IF(COUNTIFS($AC$3:AC394,"Quên chấm công",$S$3:S394,S394)&gt;2,"Trừ toàn bộ chuyên cần tháng do vi phạm lần 3",IF(COUNTIFS($AC$3:AC394,"Quên chấm công",$S$3:S394,S394)&gt;1,"Trừ 1/2 ngày lương",50000))))</f>
        <v/>
      </c>
      <c r="AH394" s="12" t="str">
        <f>IF(AF394=0,"",IF(COUNTIFS($AF$3:AF394,"&gt;0",$S$3:S394,S394)&gt;3,"Trừ toàn bộ chuyên cần tháng",""))</f>
        <v/>
      </c>
      <c r="AI394" s="98" t="s">
        <v>1369</v>
      </c>
    </row>
    <row r="395" spans="1:35" x14ac:dyDescent="0.25">
      <c r="A395" s="4" t="s">
        <v>678</v>
      </c>
      <c r="B395" s="1" t="s">
        <v>679</v>
      </c>
      <c r="C395" s="1" t="s">
        <v>20</v>
      </c>
      <c r="D395" s="1" t="s">
        <v>28</v>
      </c>
      <c r="E395" s="1" t="s">
        <v>22</v>
      </c>
      <c r="F395" s="1" t="s">
        <v>23</v>
      </c>
      <c r="G395" s="1" t="s">
        <v>10</v>
      </c>
      <c r="H395" s="1" t="s">
        <v>680</v>
      </c>
      <c r="I395" s="1" t="s">
        <v>681</v>
      </c>
      <c r="J395" s="1" t="s">
        <v>682</v>
      </c>
      <c r="K395" s="1" t="s">
        <v>32</v>
      </c>
      <c r="L395" s="1" t="s">
        <v>25</v>
      </c>
      <c r="M395" s="1" t="s">
        <v>26</v>
      </c>
      <c r="N395" s="1" t="s">
        <v>25</v>
      </c>
      <c r="O395" s="1" t="s">
        <v>33</v>
      </c>
      <c r="P395" s="1" t="s">
        <v>683</v>
      </c>
      <c r="Q395" s="1" t="s">
        <v>25</v>
      </c>
      <c r="R395" s="85" t="str">
        <f t="shared" si="24"/>
        <v>3745903</v>
      </c>
      <c r="S395" t="str">
        <f>VLOOKUP(A395,Data_NV!$A:$C,3,0)</f>
        <v>Trần Bảo Trâm</v>
      </c>
      <c r="T395" t="str">
        <f>VLOOKUP(A395,Data_NV!$A:$E,4,0)</f>
        <v>Kinh doanh</v>
      </c>
      <c r="U395" s="82">
        <f>DATEVALUE(Table2[[#This Row],[Ngày]])</f>
        <v>45903</v>
      </c>
      <c r="V395" t="str">
        <f>VLOOKUP(A395,Data_NV!$A:$E,5,0)</f>
        <v>Đang làm việc</v>
      </c>
      <c r="W395" s="10">
        <f>VLOOKUP(A395,Data_NV!$A:$I,8,0)</f>
        <v>0.33333333333333331</v>
      </c>
      <c r="X395" s="10">
        <f>VLOOKUP(A395,Data_NV!$A:$I,9,0)</f>
        <v>0.70833333333333337</v>
      </c>
      <c r="Y395" s="10">
        <f>IFERROR(TIMEVALUE(Table2[[#This Row],[Vào]]),0)</f>
        <v>0.33685185185185185</v>
      </c>
      <c r="Z395" s="10">
        <f>IFERROR(TIMEVALUE(Table2[[#This Row],[Ra]]),0)</f>
        <v>0.8094675925925926</v>
      </c>
      <c r="AA395" t="str">
        <f t="shared" si="25"/>
        <v>x</v>
      </c>
      <c r="AB395" s="105">
        <f t="shared" si="26"/>
        <v>5.066666666666686</v>
      </c>
      <c r="AC395" s="12" t="str">
        <f>IF(VLOOKUP(A395,Data_NV!$A:$I,7,0)="Không","",IF(OR(AND(Y395=0,Z395=0),AND(Y395&lt;&gt;0,Z395&lt;&gt;0)),"","Quên chấm công"))</f>
        <v/>
      </c>
      <c r="AD395" s="12">
        <f>IF(VLOOKUP(A395,Data_NV!$A:$I,7,0)="Không",0,IF(AND(Y395=0,Z395=0),0,IF(X395&lt;=Z395,0,ROUNDDOWN((X395-Z395)*24*60,0))))</f>
        <v>0</v>
      </c>
      <c r="AE395" s="12">
        <f>IF(VLOOKUP(A395,Data_NV!$A:$I,6,0)="Không",0,IF(Z395&lt;=X395,0,ROUNDDOWN((Z395-X395)*24*60,0)))</f>
        <v>145</v>
      </c>
      <c r="AF395" s="26">
        <f t="shared" si="27"/>
        <v>0</v>
      </c>
      <c r="AG395" s="27" t="str">
        <f>IF(AC395="","",IF(COUNTIFS($AC$3:AC395,"Quên chấm công",$S$3:S395,S395)&gt;3,"Không chấm công do vi phạm quá 3 lần",IF(COUNTIFS($AC$3:AC395,"Quên chấm công",$S$3:S395,S395)&gt;2,"Trừ toàn bộ chuyên cần tháng do vi phạm lần 3",IF(COUNTIFS($AC$3:AC395,"Quên chấm công",$S$3:S395,S395)&gt;1,"Trừ 1/2 ngày lương",50000))))</f>
        <v/>
      </c>
      <c r="AH395" s="12" t="str">
        <f>IF(AF395=0,"",IF(COUNTIFS($AF$3:AF395,"&gt;0",$S$3:S395,S395)&gt;3,"Trừ toàn bộ chuyên cần tháng",""))</f>
        <v/>
      </c>
      <c r="AI395" s="12"/>
    </row>
    <row r="396" spans="1:35" x14ac:dyDescent="0.25">
      <c r="A396" s="4" t="s">
        <v>678</v>
      </c>
      <c r="B396" s="1" t="s">
        <v>679</v>
      </c>
      <c r="C396" s="1" t="s">
        <v>20</v>
      </c>
      <c r="D396" s="1" t="s">
        <v>35</v>
      </c>
      <c r="E396" s="1" t="s">
        <v>22</v>
      </c>
      <c r="F396" s="1" t="s">
        <v>23</v>
      </c>
      <c r="G396" s="1" t="s">
        <v>10</v>
      </c>
      <c r="H396" s="1" t="s">
        <v>684</v>
      </c>
      <c r="I396" s="1" t="s">
        <v>685</v>
      </c>
      <c r="J396" s="1" t="s">
        <v>281</v>
      </c>
      <c r="K396" s="1" t="s">
        <v>686</v>
      </c>
      <c r="L396" s="1" t="s">
        <v>345</v>
      </c>
      <c r="M396" s="1" t="s">
        <v>686</v>
      </c>
      <c r="N396" s="1" t="s">
        <v>25</v>
      </c>
      <c r="O396" s="1" t="s">
        <v>248</v>
      </c>
      <c r="P396" s="1" t="s">
        <v>25</v>
      </c>
      <c r="Q396" s="1" t="s">
        <v>25</v>
      </c>
      <c r="R396" s="85" t="str">
        <f t="shared" si="24"/>
        <v>3745904</v>
      </c>
      <c r="S396" t="str">
        <f>VLOOKUP(A396,Data_NV!$A:$C,3,0)</f>
        <v>Trần Bảo Trâm</v>
      </c>
      <c r="T396" t="str">
        <f>VLOOKUP(A396,Data_NV!$A:$E,4,0)</f>
        <v>Kinh doanh</v>
      </c>
      <c r="U396" s="82">
        <f>DATEVALUE(Table2[[#This Row],[Ngày]])</f>
        <v>45904</v>
      </c>
      <c r="V396" t="str">
        <f>VLOOKUP(A396,Data_NV!$A:$E,5,0)</f>
        <v>Đang làm việc</v>
      </c>
      <c r="W396" s="10">
        <f>VLOOKUP(A396,Data_NV!$A:$I,8,0)</f>
        <v>0.33333333333333331</v>
      </c>
      <c r="X396" s="10">
        <f>VLOOKUP(A396,Data_NV!$A:$I,9,0)</f>
        <v>0.70833333333333337</v>
      </c>
      <c r="Y396" s="10">
        <f>IFERROR(TIMEVALUE(Table2[[#This Row],[Vào]]),0)</f>
        <v>0.35082175925925924</v>
      </c>
      <c r="Z396" s="10">
        <f>IFERROR(TIMEVALUE(Table2[[#This Row],[Ra]]),0)</f>
        <v>0.71291666666666664</v>
      </c>
      <c r="AA396" t="str">
        <f t="shared" si="25"/>
        <v>x</v>
      </c>
      <c r="AB396" s="105">
        <f t="shared" si="26"/>
        <v>25.183333333333326</v>
      </c>
      <c r="AC396" s="12" t="str">
        <f>IF(VLOOKUP(A396,Data_NV!$A:$I,7,0)="Không","",IF(OR(AND(Y396=0,Z396=0),AND(Y396&lt;&gt;0,Z396&lt;&gt;0)),"","Quên chấm công"))</f>
        <v/>
      </c>
      <c r="AD396" s="12">
        <f>IF(VLOOKUP(A396,Data_NV!$A:$I,7,0)="Không",0,IF(AND(Y396=0,Z396=0),0,IF(X396&lt;=Z396,0,ROUNDDOWN((X396-Z396)*24*60,0))))</f>
        <v>0</v>
      </c>
      <c r="AE396" s="12">
        <f>IF(VLOOKUP(A396,Data_NV!$A:$I,6,0)="Không",0,IF(Z396&lt;=X396,0,ROUNDDOWN((Z396-X396)*24*60,0)))</f>
        <v>6</v>
      </c>
      <c r="AF396" s="26">
        <f t="shared" si="27"/>
        <v>50000</v>
      </c>
      <c r="AG396" s="27" t="str">
        <f>IF(AC396="","",IF(COUNTIFS($AC$3:AC396,"Quên chấm công",$S$3:S396,S396)&gt;3,"Không chấm công do vi phạm quá 3 lần",IF(COUNTIFS($AC$3:AC396,"Quên chấm công",$S$3:S396,S396)&gt;2,"Trừ toàn bộ chuyên cần tháng do vi phạm lần 3",IF(COUNTIFS($AC$3:AC396,"Quên chấm công",$S$3:S396,S396)&gt;1,"Trừ 1/2 ngày lương",50000))))</f>
        <v/>
      </c>
      <c r="AH396" s="12" t="str">
        <f>IF(AF396=0,"",IF(COUNTIFS($AF$3:AF396,"&gt;0",$S$3:S396,S396)&gt;3,"Trừ toàn bộ chuyên cần tháng",""))</f>
        <v/>
      </c>
      <c r="AI396" s="12"/>
    </row>
    <row r="397" spans="1:35" x14ac:dyDescent="0.25">
      <c r="A397" s="4" t="s">
        <v>678</v>
      </c>
      <c r="B397" s="1" t="s">
        <v>679</v>
      </c>
      <c r="C397" s="1" t="s">
        <v>20</v>
      </c>
      <c r="D397" s="1" t="s">
        <v>37</v>
      </c>
      <c r="E397" s="1" t="s">
        <v>22</v>
      </c>
      <c r="F397" s="1" t="s">
        <v>23</v>
      </c>
      <c r="G397" s="1" t="s">
        <v>10</v>
      </c>
      <c r="H397" s="1" t="s">
        <v>687</v>
      </c>
      <c r="I397" s="1" t="s">
        <v>688</v>
      </c>
      <c r="J397" s="1" t="s">
        <v>251</v>
      </c>
      <c r="K397" s="1" t="s">
        <v>412</v>
      </c>
      <c r="L397" s="1" t="s">
        <v>25</v>
      </c>
      <c r="M397" s="1" t="s">
        <v>26</v>
      </c>
      <c r="N397" s="1" t="s">
        <v>25</v>
      </c>
      <c r="O397" s="1" t="s">
        <v>33</v>
      </c>
      <c r="P397" s="1" t="s">
        <v>314</v>
      </c>
      <c r="Q397" s="1" t="s">
        <v>25</v>
      </c>
      <c r="R397" s="85" t="str">
        <f t="shared" si="24"/>
        <v>3745905</v>
      </c>
      <c r="S397" t="str">
        <f>VLOOKUP(A397,Data_NV!$A:$C,3,0)</f>
        <v>Trần Bảo Trâm</v>
      </c>
      <c r="T397" t="str">
        <f>VLOOKUP(A397,Data_NV!$A:$E,4,0)</f>
        <v>Kinh doanh</v>
      </c>
      <c r="U397" s="82">
        <f>DATEVALUE(Table2[[#This Row],[Ngày]])</f>
        <v>45905</v>
      </c>
      <c r="V397" t="str">
        <f>VLOOKUP(A397,Data_NV!$A:$E,5,0)</f>
        <v>Đang làm việc</v>
      </c>
      <c r="W397" s="10">
        <f>VLOOKUP(A397,Data_NV!$A:$I,8,0)</f>
        <v>0.33333333333333331</v>
      </c>
      <c r="X397" s="10">
        <f>VLOOKUP(A397,Data_NV!$A:$I,9,0)</f>
        <v>0.70833333333333337</v>
      </c>
      <c r="Y397" s="10">
        <f>IFERROR(TIMEVALUE(Table2[[#This Row],[Vào]]),0)</f>
        <v>0.33604166666666668</v>
      </c>
      <c r="Z397" s="10">
        <f>IFERROR(TIMEVALUE(Table2[[#This Row],[Ra]]),0)</f>
        <v>0.79244212962962968</v>
      </c>
      <c r="AA397" t="str">
        <f t="shared" si="25"/>
        <v>x</v>
      </c>
      <c r="AB397" s="105">
        <f t="shared" si="26"/>
        <v>3.9000000000000501</v>
      </c>
      <c r="AC397" s="12" t="str">
        <f>IF(VLOOKUP(A397,Data_NV!$A:$I,7,0)="Không","",IF(OR(AND(Y397=0,Z397=0),AND(Y397&lt;&gt;0,Z397&lt;&gt;0)),"","Quên chấm công"))</f>
        <v/>
      </c>
      <c r="AD397" s="12">
        <f>IF(VLOOKUP(A397,Data_NV!$A:$I,7,0)="Không",0,IF(AND(Y397=0,Z397=0),0,IF(X397&lt;=Z397,0,ROUNDDOWN((X397-Z397)*24*60,0))))</f>
        <v>0</v>
      </c>
      <c r="AE397" s="12">
        <f>IF(VLOOKUP(A397,Data_NV!$A:$I,6,0)="Không",0,IF(Z397&lt;=X397,0,ROUNDDOWN((Z397-X397)*24*60,0)))</f>
        <v>121</v>
      </c>
      <c r="AF397" s="26">
        <f t="shared" si="27"/>
        <v>0</v>
      </c>
      <c r="AG397" s="27" t="str">
        <f>IF(AC397="","",IF(COUNTIFS($AC$3:AC397,"Quên chấm công",$S$3:S397,S397)&gt;3,"Không chấm công do vi phạm quá 3 lần",IF(COUNTIFS($AC$3:AC397,"Quên chấm công",$S$3:S397,S397)&gt;2,"Trừ toàn bộ chuyên cần tháng do vi phạm lần 3",IF(COUNTIFS($AC$3:AC397,"Quên chấm công",$S$3:S397,S397)&gt;1,"Trừ 1/2 ngày lương",50000))))</f>
        <v/>
      </c>
      <c r="AH397" s="12" t="str">
        <f>IF(AF397=0,"",IF(COUNTIFS($AF$3:AF397,"&gt;0",$S$3:S397,S397)&gt;3,"Trừ toàn bộ chuyên cần tháng",""))</f>
        <v/>
      </c>
      <c r="AI397" s="12"/>
    </row>
    <row r="398" spans="1:35" x14ac:dyDescent="0.25">
      <c r="A398" s="4" t="s">
        <v>678</v>
      </c>
      <c r="B398" s="1" t="s">
        <v>679</v>
      </c>
      <c r="C398" s="1" t="s">
        <v>20</v>
      </c>
      <c r="D398" s="1" t="s">
        <v>42</v>
      </c>
      <c r="E398" s="1" t="s">
        <v>22</v>
      </c>
      <c r="F398" s="1" t="s">
        <v>23</v>
      </c>
      <c r="G398" s="1" t="s">
        <v>10</v>
      </c>
      <c r="H398" s="1" t="s">
        <v>689</v>
      </c>
      <c r="I398" s="1" t="s">
        <v>690</v>
      </c>
      <c r="J398" s="1" t="s">
        <v>691</v>
      </c>
      <c r="K398" s="1" t="s">
        <v>692</v>
      </c>
      <c r="L398" s="1" t="s">
        <v>25</v>
      </c>
      <c r="M398" s="1" t="s">
        <v>26</v>
      </c>
      <c r="N398" s="1" t="s">
        <v>25</v>
      </c>
      <c r="O398" s="1" t="s">
        <v>613</v>
      </c>
      <c r="P398" s="1" t="s">
        <v>25</v>
      </c>
      <c r="Q398" s="1" t="s">
        <v>25</v>
      </c>
      <c r="R398" s="85" t="str">
        <f t="shared" si="24"/>
        <v>3745906</v>
      </c>
      <c r="S398" t="str">
        <f>VLOOKUP(A398,Data_NV!$A:$C,3,0)</f>
        <v>Trần Bảo Trâm</v>
      </c>
      <c r="T398" t="str">
        <f>VLOOKUP(A398,Data_NV!$A:$E,4,0)</f>
        <v>Kinh doanh</v>
      </c>
      <c r="U398" s="82">
        <f>DATEVALUE(Table2[[#This Row],[Ngày]])</f>
        <v>45906</v>
      </c>
      <c r="V398" t="str">
        <f>VLOOKUP(A398,Data_NV!$A:$E,5,0)</f>
        <v>Đang làm việc</v>
      </c>
      <c r="W398" s="10">
        <f>VLOOKUP(A398,Data_NV!$A:$I,8,0)</f>
        <v>0.33333333333333331</v>
      </c>
      <c r="X398" s="10">
        <f>VLOOKUP(A398,Data_NV!$A:$I,9,0)</f>
        <v>0.70833333333333337</v>
      </c>
      <c r="Y398" s="10">
        <f>IFERROR(TIMEVALUE(Table2[[#This Row],[Vào]]),0)</f>
        <v>0.33560185185185187</v>
      </c>
      <c r="Z398" s="10">
        <f>IFERROR(TIMEVALUE(Table2[[#This Row],[Ra]]),0)</f>
        <v>0.72981481481481481</v>
      </c>
      <c r="AA398" t="str">
        <f t="shared" si="25"/>
        <v>x</v>
      </c>
      <c r="AB398" s="105">
        <f t="shared" si="26"/>
        <v>3.2666666666667243</v>
      </c>
      <c r="AC398" s="12" t="str">
        <f>IF(VLOOKUP(A398,Data_NV!$A:$I,7,0)="Không","",IF(OR(AND(Y398=0,Z398=0),AND(Y398&lt;&gt;0,Z398&lt;&gt;0)),"","Quên chấm công"))</f>
        <v/>
      </c>
      <c r="AD398" s="12">
        <f>IF(VLOOKUP(A398,Data_NV!$A:$I,7,0)="Không",0,IF(AND(Y398=0,Z398=0),0,IF(X398&lt;=Z398,0,ROUNDDOWN((X398-Z398)*24*60,0))))</f>
        <v>0</v>
      </c>
      <c r="AE398" s="12">
        <f>IF(VLOOKUP(A398,Data_NV!$A:$I,6,0)="Không",0,IF(Z398&lt;=X398,0,ROUNDDOWN((Z398-X398)*24*60,0)))</f>
        <v>30</v>
      </c>
      <c r="AF398" s="26">
        <f t="shared" si="27"/>
        <v>0</v>
      </c>
      <c r="AG398" s="27" t="str">
        <f>IF(AC398="","",IF(COUNTIFS($AC$3:AC398,"Quên chấm công",$S$3:S398,S398)&gt;3,"Không chấm công do vi phạm quá 3 lần",IF(COUNTIFS($AC$3:AC398,"Quên chấm công",$S$3:S398,S398)&gt;2,"Trừ toàn bộ chuyên cần tháng do vi phạm lần 3",IF(COUNTIFS($AC$3:AC398,"Quên chấm công",$S$3:S398,S398)&gt;1,"Trừ 1/2 ngày lương",50000))))</f>
        <v/>
      </c>
      <c r="AH398" s="12" t="str">
        <f>IF(AF398=0,"",IF(COUNTIFS($AF$3:AF398,"&gt;0",$S$3:S398,S398)&gt;3,"Trừ toàn bộ chuyên cần tháng",""))</f>
        <v/>
      </c>
      <c r="AI398" s="12"/>
    </row>
    <row r="399" spans="1:35" x14ac:dyDescent="0.25">
      <c r="A399" s="4" t="s">
        <v>678</v>
      </c>
      <c r="B399" s="1" t="s">
        <v>679</v>
      </c>
      <c r="C399" s="1" t="s">
        <v>20</v>
      </c>
      <c r="D399" s="1" t="s">
        <v>47</v>
      </c>
      <c r="E399" s="1" t="s">
        <v>22</v>
      </c>
      <c r="F399" s="1" t="s">
        <v>23</v>
      </c>
      <c r="G399" s="1" t="s">
        <v>12</v>
      </c>
      <c r="H399" s="1" t="s">
        <v>24</v>
      </c>
      <c r="I399" s="1" t="s">
        <v>24</v>
      </c>
      <c r="J399" s="1" t="s">
        <v>25</v>
      </c>
      <c r="K399" s="1" t="s">
        <v>25</v>
      </c>
      <c r="L399" s="1" t="s">
        <v>26</v>
      </c>
      <c r="M399" s="1" t="s">
        <v>25</v>
      </c>
      <c r="N399" s="1" t="s">
        <v>25</v>
      </c>
      <c r="O399" s="1" t="s">
        <v>25</v>
      </c>
      <c r="P399" s="1" t="s">
        <v>25</v>
      </c>
      <c r="Q399" s="1" t="s">
        <v>25</v>
      </c>
      <c r="R399" s="85" t="str">
        <f t="shared" si="24"/>
        <v>3745907</v>
      </c>
      <c r="S399" t="str">
        <f>VLOOKUP(A399,Data_NV!$A:$C,3,0)</f>
        <v>Trần Bảo Trâm</v>
      </c>
      <c r="T399" t="str">
        <f>VLOOKUP(A399,Data_NV!$A:$E,4,0)</f>
        <v>Kinh doanh</v>
      </c>
      <c r="U399" s="82">
        <f>DATEVALUE(Table2[[#This Row],[Ngày]])</f>
        <v>45907</v>
      </c>
      <c r="V399" t="str">
        <f>VLOOKUP(A399,Data_NV!$A:$E,5,0)</f>
        <v>Đang làm việc</v>
      </c>
      <c r="W399" s="10">
        <f>VLOOKUP(A399,Data_NV!$A:$I,8,0)</f>
        <v>0.33333333333333331</v>
      </c>
      <c r="X399" s="10">
        <f>VLOOKUP(A399,Data_NV!$A:$I,9,0)</f>
        <v>0.70833333333333337</v>
      </c>
      <c r="Y399" s="10">
        <f>IFERROR(TIMEVALUE(Table2[[#This Row],[Vào]]),0)</f>
        <v>0</v>
      </c>
      <c r="Z399" s="10">
        <f>IFERROR(TIMEVALUE(Table2[[#This Row],[Ra]]),0)</f>
        <v>0</v>
      </c>
      <c r="AA399" t="str">
        <f t="shared" si="25"/>
        <v>Chủ nhật</v>
      </c>
      <c r="AB399" s="105">
        <f t="shared" si="26"/>
        <v>0</v>
      </c>
      <c r="AC399" s="12" t="str">
        <f>IF(VLOOKUP(A399,Data_NV!$A:$I,7,0)="Không","",IF(OR(AND(Y399=0,Z399=0),AND(Y399&lt;&gt;0,Z399&lt;&gt;0)),"","Quên chấm công"))</f>
        <v/>
      </c>
      <c r="AD399" s="12">
        <f>IF(VLOOKUP(A399,Data_NV!$A:$I,7,0)="Không",0,IF(AND(Y399=0,Z399=0),0,IF(X399&lt;=Z399,0,ROUNDDOWN((X399-Z399)*24*60,0))))</f>
        <v>0</v>
      </c>
      <c r="AE399" s="12">
        <f>IF(VLOOKUP(A399,Data_NV!$A:$I,6,0)="Không",0,IF(Z399&lt;=X399,0,ROUNDDOWN((Z399-X399)*24*60,0)))</f>
        <v>0</v>
      </c>
      <c r="AF399" s="26">
        <f t="shared" si="27"/>
        <v>0</v>
      </c>
      <c r="AG399" s="27" t="str">
        <f>IF(AC399="","",IF(COUNTIFS($AC$3:AC399,"Quên chấm công",$S$3:S399,S399)&gt;3,"Không chấm công do vi phạm quá 3 lần",IF(COUNTIFS($AC$3:AC399,"Quên chấm công",$S$3:S399,S399)&gt;2,"Trừ toàn bộ chuyên cần tháng do vi phạm lần 3",IF(COUNTIFS($AC$3:AC399,"Quên chấm công",$S$3:S399,S399)&gt;1,"Trừ 1/2 ngày lương",50000))))</f>
        <v/>
      </c>
      <c r="AH399" s="12" t="str">
        <f>IF(AF399=0,"",IF(COUNTIFS($AF$3:AF399,"&gt;0",$S$3:S399,S399)&gt;3,"Trừ toàn bộ chuyên cần tháng",""))</f>
        <v/>
      </c>
      <c r="AI399" s="12"/>
    </row>
    <row r="400" spans="1:35" x14ac:dyDescent="0.25">
      <c r="A400" s="4" t="s">
        <v>678</v>
      </c>
      <c r="B400" s="1" t="s">
        <v>679</v>
      </c>
      <c r="C400" s="1" t="s">
        <v>20</v>
      </c>
      <c r="D400" s="1" t="s">
        <v>48</v>
      </c>
      <c r="E400" s="1" t="s">
        <v>22</v>
      </c>
      <c r="F400" s="1" t="s">
        <v>23</v>
      </c>
      <c r="G400" s="1" t="s">
        <v>12</v>
      </c>
      <c r="H400" s="1" t="s">
        <v>24</v>
      </c>
      <c r="I400" s="1" t="s">
        <v>693</v>
      </c>
      <c r="J400" s="1" t="s">
        <v>25</v>
      </c>
      <c r="K400" s="1" t="s">
        <v>25</v>
      </c>
      <c r="L400" s="1" t="s">
        <v>26</v>
      </c>
      <c r="M400" s="1" t="s">
        <v>25</v>
      </c>
      <c r="N400" s="1" t="s">
        <v>25</v>
      </c>
      <c r="O400" s="1" t="s">
        <v>25</v>
      </c>
      <c r="P400" s="1" t="s">
        <v>25</v>
      </c>
      <c r="Q400" s="1" t="s">
        <v>25</v>
      </c>
      <c r="R400" s="85" t="str">
        <f t="shared" si="24"/>
        <v>3745908</v>
      </c>
      <c r="S400" t="str">
        <f>VLOOKUP(A400,Data_NV!$A:$C,3,0)</f>
        <v>Trần Bảo Trâm</v>
      </c>
      <c r="T400" t="str">
        <f>VLOOKUP(A400,Data_NV!$A:$E,4,0)</f>
        <v>Kinh doanh</v>
      </c>
      <c r="U400" s="82">
        <f>DATEVALUE(Table2[[#This Row],[Ngày]])</f>
        <v>45908</v>
      </c>
      <c r="V400" t="str">
        <f>VLOOKUP(A400,Data_NV!$A:$E,5,0)</f>
        <v>Đang làm việc</v>
      </c>
      <c r="W400" s="10">
        <f>VLOOKUP(A400,Data_NV!$A:$I,8,0)</f>
        <v>0.33333333333333331</v>
      </c>
      <c r="X400" s="10">
        <f>VLOOKUP(A400,Data_NV!$A:$I,9,0)</f>
        <v>0.70833333333333337</v>
      </c>
      <c r="Y400" s="10">
        <f>IFERROR(TIMEVALUE(Table2[[#This Row],[Vào]]),0)</f>
        <v>0</v>
      </c>
      <c r="Z400" s="10">
        <f>IFERROR(TIMEVALUE(Table2[[#This Row],[Ra]]),0)</f>
        <v>0.78909722222222223</v>
      </c>
      <c r="AA400" t="str">
        <f t="shared" si="25"/>
        <v>x</v>
      </c>
      <c r="AB400" s="105">
        <f t="shared" si="26"/>
        <v>0</v>
      </c>
      <c r="AC400" s="12" t="str">
        <f>IF(VLOOKUP(A400,Data_NV!$A:$I,7,0)="Không","",IF(OR(AND(Y400=0,Z400=0),AND(Y400&lt;&gt;0,Z400&lt;&gt;0)),"","Quên chấm công"))</f>
        <v>Quên chấm công</v>
      </c>
      <c r="AD400" s="12">
        <f>IF(VLOOKUP(A400,Data_NV!$A:$I,7,0)="Không",0,IF(AND(Y400=0,Z400=0),0,IF(X400&lt;=Z400,0,ROUNDDOWN((X400-Z400)*24*60,0))))</f>
        <v>0</v>
      </c>
      <c r="AE400" s="12">
        <f>IF(VLOOKUP(A400,Data_NV!$A:$I,6,0)="Không",0,IF(Z400&lt;=X400,0,ROUNDDOWN((Z400-X400)*24*60,0)))</f>
        <v>116</v>
      </c>
      <c r="AF400" s="26">
        <f t="shared" si="27"/>
        <v>0</v>
      </c>
      <c r="AG400" s="27">
        <f>IF(AC400="","",IF(COUNTIFS($AC$3:AC400,"Quên chấm công",$S$3:S400,S400)&gt;3,"Không chấm công do vi phạm quá 3 lần",IF(COUNTIFS($AC$3:AC400,"Quên chấm công",$S$3:S400,S400)&gt;2,"Trừ toàn bộ chuyên cần tháng do vi phạm lần 3",IF(COUNTIFS($AC$3:AC400,"Quên chấm công",$S$3:S400,S400)&gt;1,"Trừ 1/2 ngày lương",50000))))</f>
        <v>50000</v>
      </c>
      <c r="AH400" s="12" t="str">
        <f>IF(AF400=0,"",IF(COUNTIFS($AF$3:AF400,"&gt;0",$S$3:S400,S400)&gt;3,"Trừ toàn bộ chuyên cần tháng",""))</f>
        <v/>
      </c>
      <c r="AI400" s="12" t="s">
        <v>1387</v>
      </c>
    </row>
    <row r="401" spans="1:35" x14ac:dyDescent="0.25">
      <c r="A401" s="4" t="s">
        <v>678</v>
      </c>
      <c r="B401" s="1" t="s">
        <v>679</v>
      </c>
      <c r="C401" s="1" t="s">
        <v>20</v>
      </c>
      <c r="D401" s="1" t="s">
        <v>53</v>
      </c>
      <c r="E401" s="1" t="s">
        <v>22</v>
      </c>
      <c r="F401" s="1" t="s">
        <v>23</v>
      </c>
      <c r="G401" s="1" t="s">
        <v>10</v>
      </c>
      <c r="H401" s="1" t="s">
        <v>694</v>
      </c>
      <c r="I401" s="1" t="s">
        <v>695</v>
      </c>
      <c r="J401" s="1" t="s">
        <v>691</v>
      </c>
      <c r="K401" s="1" t="s">
        <v>696</v>
      </c>
      <c r="L401" s="1" t="s">
        <v>25</v>
      </c>
      <c r="M401" s="1" t="s">
        <v>26</v>
      </c>
      <c r="N401" s="1" t="s">
        <v>25</v>
      </c>
      <c r="O401" s="1" t="s">
        <v>326</v>
      </c>
      <c r="P401" s="1" t="s">
        <v>25</v>
      </c>
      <c r="Q401" s="1" t="s">
        <v>25</v>
      </c>
      <c r="R401" s="85" t="str">
        <f t="shared" si="24"/>
        <v>3745909</v>
      </c>
      <c r="S401" t="str">
        <f>VLOOKUP(A401,Data_NV!$A:$C,3,0)</f>
        <v>Trần Bảo Trâm</v>
      </c>
      <c r="T401" t="str">
        <f>VLOOKUP(A401,Data_NV!$A:$E,4,0)</f>
        <v>Kinh doanh</v>
      </c>
      <c r="U401" s="82">
        <f>DATEVALUE(Table2[[#This Row],[Ngày]])</f>
        <v>45909</v>
      </c>
      <c r="V401" t="str">
        <f>VLOOKUP(A401,Data_NV!$A:$E,5,0)</f>
        <v>Đang làm việc</v>
      </c>
      <c r="W401" s="10">
        <f>VLOOKUP(A401,Data_NV!$A:$I,8,0)</f>
        <v>0.33333333333333331</v>
      </c>
      <c r="X401" s="10">
        <f>VLOOKUP(A401,Data_NV!$A:$I,9,0)</f>
        <v>0.70833333333333337</v>
      </c>
      <c r="Y401" s="10">
        <f>IFERROR(TIMEVALUE(Table2[[#This Row],[Vào]]),0)</f>
        <v>0.33569444444444446</v>
      </c>
      <c r="Z401" s="10">
        <f>IFERROR(TIMEVALUE(Table2[[#This Row],[Ra]]),0)</f>
        <v>0.74746527777777783</v>
      </c>
      <c r="AA401" t="str">
        <f t="shared" si="25"/>
        <v>x</v>
      </c>
      <c r="AB401" s="105">
        <f t="shared" si="26"/>
        <v>3.4000000000000519</v>
      </c>
      <c r="AC401" s="12" t="str">
        <f>IF(VLOOKUP(A401,Data_NV!$A:$I,7,0)="Không","",IF(OR(AND(Y401=0,Z401=0),AND(Y401&lt;&gt;0,Z401&lt;&gt;0)),"","Quên chấm công"))</f>
        <v/>
      </c>
      <c r="AD401" s="12">
        <f>IF(VLOOKUP(A401,Data_NV!$A:$I,7,0)="Không",0,IF(AND(Y401=0,Z401=0),0,IF(X401&lt;=Z401,0,ROUNDDOWN((X401-Z401)*24*60,0))))</f>
        <v>0</v>
      </c>
      <c r="AE401" s="12">
        <f>IF(VLOOKUP(A401,Data_NV!$A:$I,6,0)="Không",0,IF(Z401&lt;=X401,0,ROUNDDOWN((Z401-X401)*24*60,0)))</f>
        <v>56</v>
      </c>
      <c r="AF401" s="26">
        <f t="shared" si="27"/>
        <v>0</v>
      </c>
      <c r="AG401" s="27" t="str">
        <f>IF(AC401="","",IF(COUNTIFS($AC$3:AC401,"Quên chấm công",$S$3:S401,S401)&gt;3,"Không chấm công do vi phạm quá 3 lần",IF(COUNTIFS($AC$3:AC401,"Quên chấm công",$S$3:S401,S401)&gt;2,"Trừ toàn bộ chuyên cần tháng do vi phạm lần 3",IF(COUNTIFS($AC$3:AC401,"Quên chấm công",$S$3:S401,S401)&gt;1,"Trừ 1/2 ngày lương",50000))))</f>
        <v/>
      </c>
      <c r="AH401" s="12" t="str">
        <f>IF(AF401=0,"",IF(COUNTIFS($AF$3:AF401,"&gt;0",$S$3:S401,S401)&gt;3,"Trừ toàn bộ chuyên cần tháng",""))</f>
        <v/>
      </c>
      <c r="AI401" s="12"/>
    </row>
    <row r="402" spans="1:35" x14ac:dyDescent="0.25">
      <c r="A402" s="4" t="s">
        <v>678</v>
      </c>
      <c r="B402" s="1" t="s">
        <v>679</v>
      </c>
      <c r="C402" s="1" t="s">
        <v>20</v>
      </c>
      <c r="D402" s="1" t="s">
        <v>58</v>
      </c>
      <c r="E402" s="1" t="s">
        <v>22</v>
      </c>
      <c r="F402" s="1" t="s">
        <v>23</v>
      </c>
      <c r="G402" s="1" t="s">
        <v>10</v>
      </c>
      <c r="H402" s="1" t="s">
        <v>697</v>
      </c>
      <c r="I402" s="1" t="s">
        <v>698</v>
      </c>
      <c r="J402" s="1" t="s">
        <v>699</v>
      </c>
      <c r="K402" s="1" t="s">
        <v>559</v>
      </c>
      <c r="L402" s="1" t="s">
        <v>25</v>
      </c>
      <c r="M402" s="1" t="s">
        <v>26</v>
      </c>
      <c r="N402" s="1" t="s">
        <v>25</v>
      </c>
      <c r="O402" s="1" t="s">
        <v>700</v>
      </c>
      <c r="P402" s="1" t="s">
        <v>25</v>
      </c>
      <c r="Q402" s="1" t="s">
        <v>25</v>
      </c>
      <c r="R402" s="85" t="str">
        <f t="shared" si="24"/>
        <v>3745910</v>
      </c>
      <c r="S402" t="str">
        <f>VLOOKUP(A402,Data_NV!$A:$C,3,0)</f>
        <v>Trần Bảo Trâm</v>
      </c>
      <c r="T402" t="str">
        <f>VLOOKUP(A402,Data_NV!$A:$E,4,0)</f>
        <v>Kinh doanh</v>
      </c>
      <c r="U402" s="82">
        <f>DATEVALUE(Table2[[#This Row],[Ngày]])</f>
        <v>45910</v>
      </c>
      <c r="V402" t="str">
        <f>VLOOKUP(A402,Data_NV!$A:$E,5,0)</f>
        <v>Đang làm việc</v>
      </c>
      <c r="W402" s="10">
        <f>VLOOKUP(A402,Data_NV!$A:$I,8,0)</f>
        <v>0.33333333333333331</v>
      </c>
      <c r="X402" s="10">
        <f>VLOOKUP(A402,Data_NV!$A:$I,9,0)</f>
        <v>0.70833333333333337</v>
      </c>
      <c r="Y402" s="10">
        <f>IFERROR(TIMEVALUE(Table2[[#This Row],[Vào]]),0)</f>
        <v>0.33909722222222222</v>
      </c>
      <c r="Z402" s="10">
        <f>IFERROR(TIMEVALUE(Table2[[#This Row],[Ra]]),0)</f>
        <v>0.74089120370370365</v>
      </c>
      <c r="AA402" t="str">
        <f t="shared" si="25"/>
        <v>x</v>
      </c>
      <c r="AB402" s="105">
        <f t="shared" si="26"/>
        <v>8.3000000000000185</v>
      </c>
      <c r="AC402" s="12" t="str">
        <f>IF(VLOOKUP(A402,Data_NV!$A:$I,7,0)="Không","",IF(OR(AND(Y402=0,Z402=0),AND(Y402&lt;&gt;0,Z402&lt;&gt;0)),"","Quên chấm công"))</f>
        <v/>
      </c>
      <c r="AD402" s="12">
        <f>IF(VLOOKUP(A402,Data_NV!$A:$I,7,0)="Không",0,IF(AND(Y402=0,Z402=0),0,IF(X402&lt;=Z402,0,ROUNDDOWN((X402-Z402)*24*60,0))))</f>
        <v>0</v>
      </c>
      <c r="AE402" s="12">
        <f>IF(VLOOKUP(A402,Data_NV!$A:$I,6,0)="Không",0,IF(Z402&lt;=X402,0,ROUNDDOWN((Z402-X402)*24*60,0)))</f>
        <v>46</v>
      </c>
      <c r="AF402" s="26">
        <f t="shared" si="27"/>
        <v>30000</v>
      </c>
      <c r="AG402" s="27" t="str">
        <f>IF(AC402="","",IF(COUNTIFS($AC$3:AC402,"Quên chấm công",$S$3:S402,S402)&gt;3,"Không chấm công do vi phạm quá 3 lần",IF(COUNTIFS($AC$3:AC402,"Quên chấm công",$S$3:S402,S402)&gt;2,"Trừ toàn bộ chuyên cần tháng do vi phạm lần 3",IF(COUNTIFS($AC$3:AC402,"Quên chấm công",$S$3:S402,S402)&gt;1,"Trừ 1/2 ngày lương",50000))))</f>
        <v/>
      </c>
      <c r="AH402" s="12" t="str">
        <f>IF(AF402=0,"",IF(COUNTIFS($AF$3:AF402,"&gt;0",$S$3:S402,S402)&gt;3,"Trừ toàn bộ chuyên cần tháng",""))</f>
        <v/>
      </c>
      <c r="AI402" s="12"/>
    </row>
    <row r="403" spans="1:35" x14ac:dyDescent="0.25">
      <c r="A403" s="4" t="s">
        <v>678</v>
      </c>
      <c r="B403" s="1" t="s">
        <v>679</v>
      </c>
      <c r="C403" s="1" t="s">
        <v>20</v>
      </c>
      <c r="D403" s="1" t="s">
        <v>63</v>
      </c>
      <c r="E403" s="1" t="s">
        <v>22</v>
      </c>
      <c r="F403" s="1" t="s">
        <v>23</v>
      </c>
      <c r="G403" s="1" t="s">
        <v>10</v>
      </c>
      <c r="H403" s="1" t="s">
        <v>701</v>
      </c>
      <c r="I403" s="1" t="s">
        <v>702</v>
      </c>
      <c r="J403" s="1" t="s">
        <v>691</v>
      </c>
      <c r="K403" s="1" t="s">
        <v>703</v>
      </c>
      <c r="L403" s="1" t="s">
        <v>25</v>
      </c>
      <c r="M403" s="1" t="s">
        <v>26</v>
      </c>
      <c r="N403" s="1" t="s">
        <v>25</v>
      </c>
      <c r="O403" s="1" t="s">
        <v>33</v>
      </c>
      <c r="P403" s="1" t="s">
        <v>683</v>
      </c>
      <c r="Q403" s="1" t="s">
        <v>25</v>
      </c>
      <c r="R403" s="85" t="str">
        <f t="shared" si="24"/>
        <v>3745911</v>
      </c>
      <c r="S403" t="str">
        <f>VLOOKUP(A403,Data_NV!$A:$C,3,0)</f>
        <v>Trần Bảo Trâm</v>
      </c>
      <c r="T403" t="str">
        <f>VLOOKUP(A403,Data_NV!$A:$E,4,0)</f>
        <v>Kinh doanh</v>
      </c>
      <c r="U403" s="82">
        <f>DATEVALUE(Table2[[#This Row],[Ngày]])</f>
        <v>45911</v>
      </c>
      <c r="V403" t="str">
        <f>VLOOKUP(A403,Data_NV!$A:$E,5,0)</f>
        <v>Đang làm việc</v>
      </c>
      <c r="W403" s="10">
        <f>VLOOKUP(A403,Data_NV!$A:$I,8,0)</f>
        <v>0.33333333333333331</v>
      </c>
      <c r="X403" s="10">
        <f>VLOOKUP(A403,Data_NV!$A:$I,9,0)</f>
        <v>0.70833333333333337</v>
      </c>
      <c r="Y403" s="10">
        <f>IFERROR(TIMEVALUE(Table2[[#This Row],[Vào]]),0)</f>
        <v>0.33574074074074073</v>
      </c>
      <c r="Z403" s="10">
        <f>IFERROR(TIMEVALUE(Table2[[#This Row],[Ra]]),0)</f>
        <v>0.80944444444444441</v>
      </c>
      <c r="AA403" t="str">
        <f t="shared" si="25"/>
        <v>x</v>
      </c>
      <c r="AB403" s="105">
        <f t="shared" si="26"/>
        <v>3.4666666666666757</v>
      </c>
      <c r="AC403" s="12" t="str">
        <f>IF(VLOOKUP(A403,Data_NV!$A:$I,7,0)="Không","",IF(OR(AND(Y403=0,Z403=0),AND(Y403&lt;&gt;0,Z403&lt;&gt;0)),"","Quên chấm công"))</f>
        <v/>
      </c>
      <c r="AD403" s="12">
        <f>IF(VLOOKUP(A403,Data_NV!$A:$I,7,0)="Không",0,IF(AND(Y403=0,Z403=0),0,IF(X403&lt;=Z403,0,ROUNDDOWN((X403-Z403)*24*60,0))))</f>
        <v>0</v>
      </c>
      <c r="AE403" s="12">
        <f>IF(VLOOKUP(A403,Data_NV!$A:$I,6,0)="Không",0,IF(Z403&lt;=X403,0,ROUNDDOWN((Z403-X403)*24*60,0)))</f>
        <v>145</v>
      </c>
      <c r="AF403" s="26">
        <f t="shared" si="27"/>
        <v>0</v>
      </c>
      <c r="AG403" s="27" t="str">
        <f>IF(AC403="","",IF(COUNTIFS($AC$3:AC403,"Quên chấm công",$S$3:S403,S403)&gt;3,"Không chấm công do vi phạm quá 3 lần",IF(COUNTIFS($AC$3:AC403,"Quên chấm công",$S$3:S403,S403)&gt;2,"Trừ toàn bộ chuyên cần tháng do vi phạm lần 3",IF(COUNTIFS($AC$3:AC403,"Quên chấm công",$S$3:S403,S403)&gt;1,"Trừ 1/2 ngày lương",50000))))</f>
        <v/>
      </c>
      <c r="AH403" s="12" t="str">
        <f>IF(AF403=0,"",IF(COUNTIFS($AF$3:AF403,"&gt;0",$S$3:S403,S403)&gt;3,"Trừ toàn bộ chuyên cần tháng",""))</f>
        <v/>
      </c>
      <c r="AI403" s="12"/>
    </row>
    <row r="404" spans="1:35" x14ac:dyDescent="0.25">
      <c r="A404" s="4" t="s">
        <v>678</v>
      </c>
      <c r="B404" s="1" t="s">
        <v>679</v>
      </c>
      <c r="C404" s="1" t="s">
        <v>20</v>
      </c>
      <c r="D404" s="1" t="s">
        <v>67</v>
      </c>
      <c r="E404" s="1" t="s">
        <v>22</v>
      </c>
      <c r="F404" s="1" t="s">
        <v>23</v>
      </c>
      <c r="G404" s="1" t="s">
        <v>29</v>
      </c>
      <c r="H404" s="1" t="s">
        <v>704</v>
      </c>
      <c r="I404" s="1" t="s">
        <v>705</v>
      </c>
      <c r="J404" s="1" t="s">
        <v>25</v>
      </c>
      <c r="K404" s="1" t="s">
        <v>706</v>
      </c>
      <c r="L404" s="1" t="s">
        <v>25</v>
      </c>
      <c r="M404" s="1" t="s">
        <v>26</v>
      </c>
      <c r="N404" s="1" t="s">
        <v>25</v>
      </c>
      <c r="O404" s="1" t="s">
        <v>707</v>
      </c>
      <c r="P404" s="1" t="s">
        <v>25</v>
      </c>
      <c r="Q404" s="1" t="s">
        <v>25</v>
      </c>
      <c r="R404" s="85" t="str">
        <f t="shared" si="24"/>
        <v>3745912</v>
      </c>
      <c r="S404" t="str">
        <f>VLOOKUP(A404,Data_NV!$A:$C,3,0)</f>
        <v>Trần Bảo Trâm</v>
      </c>
      <c r="T404" t="str">
        <f>VLOOKUP(A404,Data_NV!$A:$E,4,0)</f>
        <v>Kinh doanh</v>
      </c>
      <c r="U404" s="82">
        <f>DATEVALUE(Table2[[#This Row],[Ngày]])</f>
        <v>45912</v>
      </c>
      <c r="V404" t="str">
        <f>VLOOKUP(A404,Data_NV!$A:$E,5,0)</f>
        <v>Đang làm việc</v>
      </c>
      <c r="W404" s="10">
        <f>VLOOKUP(A404,Data_NV!$A:$I,8,0)</f>
        <v>0.33333333333333331</v>
      </c>
      <c r="X404" s="10">
        <f>VLOOKUP(A404,Data_NV!$A:$I,9,0)</f>
        <v>0.70833333333333337</v>
      </c>
      <c r="Y404" s="10">
        <f>IFERROR(TIMEVALUE(Table2[[#This Row],[Vào]]),0)</f>
        <v>0.28556712962962966</v>
      </c>
      <c r="Z404" s="10">
        <f>IFERROR(TIMEVALUE(Table2[[#This Row],[Ra]]),0)</f>
        <v>0.75284722222222222</v>
      </c>
      <c r="AA404" t="str">
        <f t="shared" si="25"/>
        <v>x</v>
      </c>
      <c r="AB404" s="105">
        <f t="shared" si="26"/>
        <v>0</v>
      </c>
      <c r="AC404" s="12" t="str">
        <f>IF(VLOOKUP(A404,Data_NV!$A:$I,7,0)="Không","",IF(OR(AND(Y404=0,Z404=0),AND(Y404&lt;&gt;0,Z404&lt;&gt;0)),"","Quên chấm công"))</f>
        <v/>
      </c>
      <c r="AD404" s="12">
        <f>IF(VLOOKUP(A404,Data_NV!$A:$I,7,0)="Không",0,IF(AND(Y404=0,Z404=0),0,IF(X404&lt;=Z404,0,ROUNDDOWN((X404-Z404)*24*60,0))))</f>
        <v>0</v>
      </c>
      <c r="AE404" s="12">
        <f>IF(VLOOKUP(A404,Data_NV!$A:$I,6,0)="Không",0,IF(Z404&lt;=X404,0,ROUNDDOWN((Z404-X404)*24*60,0)))</f>
        <v>64</v>
      </c>
      <c r="AF404" s="26">
        <f t="shared" si="27"/>
        <v>0</v>
      </c>
      <c r="AG404" s="27" t="str">
        <f>IF(AC404="","",IF(COUNTIFS($AC$3:AC404,"Quên chấm công",$S$3:S404,S404)&gt;3,"Không chấm công do vi phạm quá 3 lần",IF(COUNTIFS($AC$3:AC404,"Quên chấm công",$S$3:S404,S404)&gt;2,"Trừ toàn bộ chuyên cần tháng do vi phạm lần 3",IF(COUNTIFS($AC$3:AC404,"Quên chấm công",$S$3:S404,S404)&gt;1,"Trừ 1/2 ngày lương",50000))))</f>
        <v/>
      </c>
      <c r="AH404" s="12" t="str">
        <f>IF(AF404=0,"",IF(COUNTIFS($AF$3:AF404,"&gt;0",$S$3:S404,S404)&gt;3,"Trừ toàn bộ chuyên cần tháng",""))</f>
        <v/>
      </c>
      <c r="AI404" s="12"/>
    </row>
    <row r="405" spans="1:35" x14ac:dyDescent="0.25">
      <c r="A405" s="4" t="s">
        <v>678</v>
      </c>
      <c r="B405" s="1" t="s">
        <v>679</v>
      </c>
      <c r="C405" s="1" t="s">
        <v>20</v>
      </c>
      <c r="D405" s="1" t="s">
        <v>69</v>
      </c>
      <c r="E405" s="1" t="s">
        <v>22</v>
      </c>
      <c r="F405" s="1" t="s">
        <v>23</v>
      </c>
      <c r="G405" s="1" t="s">
        <v>10</v>
      </c>
      <c r="H405" s="1" t="s">
        <v>708</v>
      </c>
      <c r="I405" s="1" t="s">
        <v>709</v>
      </c>
      <c r="J405" s="1" t="s">
        <v>25</v>
      </c>
      <c r="K405" s="1" t="s">
        <v>710</v>
      </c>
      <c r="L405" s="1" t="s">
        <v>25</v>
      </c>
      <c r="M405" s="1" t="s">
        <v>26</v>
      </c>
      <c r="N405" s="1" t="s">
        <v>25</v>
      </c>
      <c r="O405" s="1" t="s">
        <v>251</v>
      </c>
      <c r="P405" s="1" t="s">
        <v>25</v>
      </c>
      <c r="Q405" s="1" t="s">
        <v>25</v>
      </c>
      <c r="R405" s="85" t="str">
        <f t="shared" si="24"/>
        <v>3745913</v>
      </c>
      <c r="S405" t="str">
        <f>VLOOKUP(A405,Data_NV!$A:$C,3,0)</f>
        <v>Trần Bảo Trâm</v>
      </c>
      <c r="T405" t="str">
        <f>VLOOKUP(A405,Data_NV!$A:$E,4,0)</f>
        <v>Kinh doanh</v>
      </c>
      <c r="U405" s="82">
        <f>DATEVALUE(Table2[[#This Row],[Ngày]])</f>
        <v>45913</v>
      </c>
      <c r="V405" t="str">
        <f>VLOOKUP(A405,Data_NV!$A:$E,5,0)</f>
        <v>Đang làm việc</v>
      </c>
      <c r="W405" s="10">
        <f>VLOOKUP(A405,Data_NV!$A:$I,8,0)</f>
        <v>0.33333333333333331</v>
      </c>
      <c r="X405" s="10">
        <f>VLOOKUP(A405,Data_NV!$A:$I,9,0)</f>
        <v>0.70833333333333337</v>
      </c>
      <c r="Y405" s="10">
        <f>IFERROR(TIMEVALUE(Table2[[#This Row],[Vào]]),0)</f>
        <v>0.33356481481481481</v>
      </c>
      <c r="Z405" s="10">
        <f>IFERROR(TIMEVALUE(Table2[[#This Row],[Ra]]),0)</f>
        <v>0.71091435185185181</v>
      </c>
      <c r="AA405" t="str">
        <f t="shared" si="25"/>
        <v>x</v>
      </c>
      <c r="AB405" s="105">
        <f t="shared" si="26"/>
        <v>0.33333333333335879</v>
      </c>
      <c r="AC405" s="12" t="str">
        <f>IF(VLOOKUP(A405,Data_NV!$A:$I,7,0)="Không","",IF(OR(AND(Y405=0,Z405=0),AND(Y405&lt;&gt;0,Z405&lt;&gt;0)),"","Quên chấm công"))</f>
        <v/>
      </c>
      <c r="AD405" s="12">
        <f>IF(VLOOKUP(A405,Data_NV!$A:$I,7,0)="Không",0,IF(AND(Y405=0,Z405=0),0,IF(X405&lt;=Z405,0,ROUNDDOWN((X405-Z405)*24*60,0))))</f>
        <v>0</v>
      </c>
      <c r="AE405" s="12">
        <f>IF(VLOOKUP(A405,Data_NV!$A:$I,6,0)="Không",0,IF(Z405&lt;=X405,0,ROUNDDOWN((Z405-X405)*24*60,0)))</f>
        <v>3</v>
      </c>
      <c r="AF405" s="26">
        <f t="shared" si="27"/>
        <v>0</v>
      </c>
      <c r="AG405" s="27" t="str">
        <f>IF(AC405="","",IF(COUNTIFS($AC$3:AC405,"Quên chấm công",$S$3:S405,S405)&gt;3,"Không chấm công do vi phạm quá 3 lần",IF(COUNTIFS($AC$3:AC405,"Quên chấm công",$S$3:S405,S405)&gt;2,"Trừ toàn bộ chuyên cần tháng do vi phạm lần 3",IF(COUNTIFS($AC$3:AC405,"Quên chấm công",$S$3:S405,S405)&gt;1,"Trừ 1/2 ngày lương",50000))))</f>
        <v/>
      </c>
      <c r="AH405" s="12" t="str">
        <f>IF(AF405=0,"",IF(COUNTIFS($AF$3:AF405,"&gt;0",$S$3:S405,S405)&gt;3,"Trừ toàn bộ chuyên cần tháng",""))</f>
        <v/>
      </c>
      <c r="AI405" s="12"/>
    </row>
    <row r="406" spans="1:35" x14ac:dyDescent="0.25">
      <c r="A406" s="4" t="s">
        <v>678</v>
      </c>
      <c r="B406" s="1" t="s">
        <v>679</v>
      </c>
      <c r="C406" s="1" t="s">
        <v>20</v>
      </c>
      <c r="D406" s="1" t="s">
        <v>74</v>
      </c>
      <c r="E406" s="1" t="s">
        <v>22</v>
      </c>
      <c r="F406" s="1" t="s">
        <v>23</v>
      </c>
      <c r="G406" s="1" t="s">
        <v>12</v>
      </c>
      <c r="H406" s="1" t="s">
        <v>24</v>
      </c>
      <c r="I406" s="1" t="s">
        <v>24</v>
      </c>
      <c r="J406" s="1" t="s">
        <v>25</v>
      </c>
      <c r="K406" s="1" t="s">
        <v>25</v>
      </c>
      <c r="L406" s="1" t="s">
        <v>26</v>
      </c>
      <c r="M406" s="1" t="s">
        <v>25</v>
      </c>
      <c r="N406" s="1" t="s">
        <v>25</v>
      </c>
      <c r="O406" s="1" t="s">
        <v>25</v>
      </c>
      <c r="P406" s="1" t="s">
        <v>25</v>
      </c>
      <c r="Q406" s="1" t="s">
        <v>25</v>
      </c>
      <c r="R406" s="85" t="str">
        <f t="shared" si="24"/>
        <v>3745914</v>
      </c>
      <c r="S406" t="str">
        <f>VLOOKUP(A406,Data_NV!$A:$C,3,0)</f>
        <v>Trần Bảo Trâm</v>
      </c>
      <c r="T406" t="str">
        <f>VLOOKUP(A406,Data_NV!$A:$E,4,0)</f>
        <v>Kinh doanh</v>
      </c>
      <c r="U406" s="82">
        <f>DATEVALUE(Table2[[#This Row],[Ngày]])</f>
        <v>45914</v>
      </c>
      <c r="V406" t="str">
        <f>VLOOKUP(A406,Data_NV!$A:$E,5,0)</f>
        <v>Đang làm việc</v>
      </c>
      <c r="W406" s="10">
        <f>VLOOKUP(A406,Data_NV!$A:$I,8,0)</f>
        <v>0.33333333333333331</v>
      </c>
      <c r="X406" s="10">
        <f>VLOOKUP(A406,Data_NV!$A:$I,9,0)</f>
        <v>0.70833333333333337</v>
      </c>
      <c r="Y406" s="10">
        <f>IFERROR(TIMEVALUE(Table2[[#This Row],[Vào]]),0)</f>
        <v>0</v>
      </c>
      <c r="Z406" s="10">
        <f>IFERROR(TIMEVALUE(Table2[[#This Row],[Ra]]),0)</f>
        <v>0</v>
      </c>
      <c r="AA406" t="str">
        <f t="shared" si="25"/>
        <v>Chủ nhật</v>
      </c>
      <c r="AB406" s="105">
        <f t="shared" si="26"/>
        <v>0</v>
      </c>
      <c r="AC406" s="12" t="str">
        <f>IF(VLOOKUP(A406,Data_NV!$A:$I,7,0)="Không","",IF(OR(AND(Y406=0,Z406=0),AND(Y406&lt;&gt;0,Z406&lt;&gt;0)),"","Quên chấm công"))</f>
        <v/>
      </c>
      <c r="AD406" s="12">
        <f>IF(VLOOKUP(A406,Data_NV!$A:$I,7,0)="Không",0,IF(AND(Y406=0,Z406=0),0,IF(X406&lt;=Z406,0,ROUNDDOWN((X406-Z406)*24*60,0))))</f>
        <v>0</v>
      </c>
      <c r="AE406" s="12">
        <f>IF(VLOOKUP(A406,Data_NV!$A:$I,6,0)="Không",0,IF(Z406&lt;=X406,0,ROUNDDOWN((Z406-X406)*24*60,0)))</f>
        <v>0</v>
      </c>
      <c r="AF406" s="26">
        <f t="shared" si="27"/>
        <v>0</v>
      </c>
      <c r="AG406" s="27" t="str">
        <f>IF(AC406="","",IF(COUNTIFS($AC$3:AC406,"Quên chấm công",$S$3:S406,S406)&gt;3,"Không chấm công do vi phạm quá 3 lần",IF(COUNTIFS($AC$3:AC406,"Quên chấm công",$S$3:S406,S406)&gt;2,"Trừ toàn bộ chuyên cần tháng do vi phạm lần 3",IF(COUNTIFS($AC$3:AC406,"Quên chấm công",$S$3:S406,S406)&gt;1,"Trừ 1/2 ngày lương",50000))))</f>
        <v/>
      </c>
      <c r="AH406" s="12" t="str">
        <f>IF(AF406=0,"",IF(COUNTIFS($AF$3:AF406,"&gt;0",$S$3:S406,S406)&gt;3,"Trừ toàn bộ chuyên cần tháng",""))</f>
        <v/>
      </c>
      <c r="AI406" s="12"/>
    </row>
    <row r="407" spans="1:35" x14ac:dyDescent="0.25">
      <c r="A407" s="4" t="s">
        <v>678</v>
      </c>
      <c r="B407" s="1" t="s">
        <v>679</v>
      </c>
      <c r="C407" s="1" t="s">
        <v>20</v>
      </c>
      <c r="D407" s="1" t="s">
        <v>75</v>
      </c>
      <c r="E407" s="1" t="s">
        <v>22</v>
      </c>
      <c r="F407" s="1" t="s">
        <v>23</v>
      </c>
      <c r="G407" s="1" t="s">
        <v>10</v>
      </c>
      <c r="H407" s="1" t="s">
        <v>711</v>
      </c>
      <c r="I407" s="1" t="s">
        <v>712</v>
      </c>
      <c r="J407" s="1" t="s">
        <v>177</v>
      </c>
      <c r="K407" s="1" t="s">
        <v>713</v>
      </c>
      <c r="L407" s="1" t="s">
        <v>25</v>
      </c>
      <c r="M407" s="1" t="s">
        <v>26</v>
      </c>
      <c r="N407" s="1" t="s">
        <v>25</v>
      </c>
      <c r="O407" s="1" t="s">
        <v>265</v>
      </c>
      <c r="P407" s="1" t="s">
        <v>25</v>
      </c>
      <c r="Q407" s="1" t="s">
        <v>25</v>
      </c>
      <c r="R407" s="85" t="str">
        <f t="shared" si="24"/>
        <v>3745915</v>
      </c>
      <c r="S407" t="str">
        <f>VLOOKUP(A407,Data_NV!$A:$C,3,0)</f>
        <v>Trần Bảo Trâm</v>
      </c>
      <c r="T407" t="str">
        <f>VLOOKUP(A407,Data_NV!$A:$E,4,0)</f>
        <v>Kinh doanh</v>
      </c>
      <c r="U407" s="82">
        <f>DATEVALUE(Table2[[#This Row],[Ngày]])</f>
        <v>45915</v>
      </c>
      <c r="V407" t="str">
        <f>VLOOKUP(A407,Data_NV!$A:$E,5,0)</f>
        <v>Đang làm việc</v>
      </c>
      <c r="W407" s="10">
        <f>VLOOKUP(A407,Data_NV!$A:$I,8,0)</f>
        <v>0.33333333333333331</v>
      </c>
      <c r="X407" s="10">
        <f>VLOOKUP(A407,Data_NV!$A:$I,9,0)</f>
        <v>0.70833333333333337</v>
      </c>
      <c r="Y407" s="10">
        <f>IFERROR(TIMEVALUE(Table2[[#This Row],[Vào]]),0)</f>
        <v>0.33737268518518521</v>
      </c>
      <c r="Z407" s="10">
        <f>IFERROR(TIMEVALUE(Table2[[#This Row],[Ra]]),0)</f>
        <v>0.73466435185185186</v>
      </c>
      <c r="AA407" t="str">
        <f t="shared" si="25"/>
        <v>x</v>
      </c>
      <c r="AB407" s="105">
        <f t="shared" si="26"/>
        <v>5.8166666666667233</v>
      </c>
      <c r="AC407" s="12" t="str">
        <f>IF(VLOOKUP(A407,Data_NV!$A:$I,7,0)="Không","",IF(OR(AND(Y407=0,Z407=0),AND(Y407&lt;&gt;0,Z407&lt;&gt;0)),"","Quên chấm công"))</f>
        <v/>
      </c>
      <c r="AD407" s="12">
        <f>IF(VLOOKUP(A407,Data_NV!$A:$I,7,0)="Không",0,IF(AND(Y407=0,Z407=0),0,IF(X407&lt;=Z407,0,ROUNDDOWN((X407-Z407)*24*60,0))))</f>
        <v>0</v>
      </c>
      <c r="AE407" s="12">
        <f>IF(VLOOKUP(A407,Data_NV!$A:$I,6,0)="Không",0,IF(Z407&lt;=X407,0,ROUNDDOWN((Z407-X407)*24*60,0)))</f>
        <v>37</v>
      </c>
      <c r="AF407" s="26">
        <f t="shared" si="27"/>
        <v>0</v>
      </c>
      <c r="AG407" s="27" t="str">
        <f>IF(AC407="","",IF(COUNTIFS($AC$3:AC407,"Quên chấm công",$S$3:S407,S407)&gt;3,"Không chấm công do vi phạm quá 3 lần",IF(COUNTIFS($AC$3:AC407,"Quên chấm công",$S$3:S407,S407)&gt;2,"Trừ toàn bộ chuyên cần tháng do vi phạm lần 3",IF(COUNTIFS($AC$3:AC407,"Quên chấm công",$S$3:S407,S407)&gt;1,"Trừ 1/2 ngày lương",50000))))</f>
        <v/>
      </c>
      <c r="AH407" s="12" t="str">
        <f>IF(AF407=0,"",IF(COUNTIFS($AF$3:AF407,"&gt;0",$S$3:S407,S407)&gt;3,"Trừ toàn bộ chuyên cần tháng",""))</f>
        <v/>
      </c>
      <c r="AI407" s="12"/>
    </row>
    <row r="408" spans="1:35" x14ac:dyDescent="0.25">
      <c r="A408" s="4" t="s">
        <v>678</v>
      </c>
      <c r="B408" s="1" t="s">
        <v>679</v>
      </c>
      <c r="C408" s="1" t="s">
        <v>20</v>
      </c>
      <c r="D408" s="1" t="s">
        <v>80</v>
      </c>
      <c r="E408" s="1" t="s">
        <v>22</v>
      </c>
      <c r="F408" s="1" t="s">
        <v>23</v>
      </c>
      <c r="G408" s="1" t="s">
        <v>10</v>
      </c>
      <c r="H408" s="1" t="s">
        <v>714</v>
      </c>
      <c r="I408" s="1" t="s">
        <v>715</v>
      </c>
      <c r="J408" s="1" t="s">
        <v>314</v>
      </c>
      <c r="K408" s="1" t="s">
        <v>716</v>
      </c>
      <c r="L408" s="1" t="s">
        <v>25</v>
      </c>
      <c r="M408" s="1" t="s">
        <v>26</v>
      </c>
      <c r="N408" s="1" t="s">
        <v>25</v>
      </c>
      <c r="O408" s="1" t="s">
        <v>33</v>
      </c>
      <c r="P408" s="1" t="s">
        <v>717</v>
      </c>
      <c r="Q408" s="1" t="s">
        <v>25</v>
      </c>
      <c r="R408" s="85" t="str">
        <f t="shared" si="24"/>
        <v>3745916</v>
      </c>
      <c r="S408" t="str">
        <f>VLOOKUP(A408,Data_NV!$A:$C,3,0)</f>
        <v>Trần Bảo Trâm</v>
      </c>
      <c r="T408" t="str">
        <f>VLOOKUP(A408,Data_NV!$A:$E,4,0)</f>
        <v>Kinh doanh</v>
      </c>
      <c r="U408" s="82">
        <f>DATEVALUE(Table2[[#This Row],[Ngày]])</f>
        <v>45916</v>
      </c>
      <c r="V408" t="str">
        <f>VLOOKUP(A408,Data_NV!$A:$E,5,0)</f>
        <v>Đang làm việc</v>
      </c>
      <c r="W408" s="10">
        <f>VLOOKUP(A408,Data_NV!$A:$I,8,0)</f>
        <v>0.33333333333333331</v>
      </c>
      <c r="X408" s="10">
        <f>VLOOKUP(A408,Data_NV!$A:$I,9,0)</f>
        <v>0.70833333333333337</v>
      </c>
      <c r="Y408" s="10">
        <f>IFERROR(TIMEVALUE(Table2[[#This Row],[Vào]]),0)</f>
        <v>0.33476851851851852</v>
      </c>
      <c r="Z408" s="10">
        <f>IFERROR(TIMEVALUE(Table2[[#This Row],[Ra]]),0)</f>
        <v>0.81480324074074073</v>
      </c>
      <c r="AA408" t="str">
        <f t="shared" si="25"/>
        <v>x</v>
      </c>
      <c r="AB408" s="105">
        <f t="shared" si="26"/>
        <v>2.0666666666666966</v>
      </c>
      <c r="AC408" s="12" t="str">
        <f>IF(VLOOKUP(A408,Data_NV!$A:$I,7,0)="Không","",IF(OR(AND(Y408=0,Z408=0),AND(Y408&lt;&gt;0,Z408&lt;&gt;0)),"","Quên chấm công"))</f>
        <v/>
      </c>
      <c r="AD408" s="12">
        <f>IF(VLOOKUP(A408,Data_NV!$A:$I,7,0)="Không",0,IF(AND(Y408=0,Z408=0),0,IF(X408&lt;=Z408,0,ROUNDDOWN((X408-Z408)*24*60,0))))</f>
        <v>0</v>
      </c>
      <c r="AE408" s="12">
        <f>IF(VLOOKUP(A408,Data_NV!$A:$I,6,0)="Không",0,IF(Z408&lt;=X408,0,ROUNDDOWN((Z408-X408)*24*60,0)))</f>
        <v>153</v>
      </c>
      <c r="AF408" s="26">
        <f t="shared" si="27"/>
        <v>0</v>
      </c>
      <c r="AG408" s="27" t="str">
        <f>IF(AC408="","",IF(COUNTIFS($AC$3:AC408,"Quên chấm công",$S$3:S408,S408)&gt;3,"Không chấm công do vi phạm quá 3 lần",IF(COUNTIFS($AC$3:AC408,"Quên chấm công",$S$3:S408,S408)&gt;2,"Trừ toàn bộ chuyên cần tháng do vi phạm lần 3",IF(COUNTIFS($AC$3:AC408,"Quên chấm công",$S$3:S408,S408)&gt;1,"Trừ 1/2 ngày lương",50000))))</f>
        <v/>
      </c>
      <c r="AH408" s="12" t="str">
        <f>IF(AF408=0,"",IF(COUNTIFS($AF$3:AF408,"&gt;0",$S$3:S408,S408)&gt;3,"Trừ toàn bộ chuyên cần tháng",""))</f>
        <v/>
      </c>
      <c r="AI408" s="12"/>
    </row>
    <row r="409" spans="1:35" x14ac:dyDescent="0.25">
      <c r="A409" s="4" t="s">
        <v>678</v>
      </c>
      <c r="B409" s="1" t="s">
        <v>679</v>
      </c>
      <c r="C409" s="1" t="s">
        <v>20</v>
      </c>
      <c r="D409" s="1" t="s">
        <v>85</v>
      </c>
      <c r="E409" s="1" t="s">
        <v>22</v>
      </c>
      <c r="F409" s="1" t="s">
        <v>23</v>
      </c>
      <c r="G409" s="1" t="s">
        <v>10</v>
      </c>
      <c r="H409" s="1" t="s">
        <v>718</v>
      </c>
      <c r="I409" s="1" t="s">
        <v>719</v>
      </c>
      <c r="J409" s="1" t="s">
        <v>691</v>
      </c>
      <c r="K409" s="1" t="s">
        <v>720</v>
      </c>
      <c r="L409" s="1" t="s">
        <v>25</v>
      </c>
      <c r="M409" s="1" t="s">
        <v>26</v>
      </c>
      <c r="N409" s="1" t="s">
        <v>25</v>
      </c>
      <c r="O409" s="1" t="s">
        <v>529</v>
      </c>
      <c r="P409" s="1" t="s">
        <v>25</v>
      </c>
      <c r="Q409" s="1" t="s">
        <v>25</v>
      </c>
      <c r="R409" s="85" t="str">
        <f t="shared" si="24"/>
        <v>3745917</v>
      </c>
      <c r="S409" t="str">
        <f>VLOOKUP(A409,Data_NV!$A:$C,3,0)</f>
        <v>Trần Bảo Trâm</v>
      </c>
      <c r="T409" t="str">
        <f>VLOOKUP(A409,Data_NV!$A:$E,4,0)</f>
        <v>Kinh doanh</v>
      </c>
      <c r="U409" s="82">
        <f>DATEVALUE(Table2[[#This Row],[Ngày]])</f>
        <v>45917</v>
      </c>
      <c r="V409" t="str">
        <f>VLOOKUP(A409,Data_NV!$A:$E,5,0)</f>
        <v>Đang làm việc</v>
      </c>
      <c r="W409" s="10">
        <f>VLOOKUP(A409,Data_NV!$A:$I,8,0)</f>
        <v>0.33333333333333331</v>
      </c>
      <c r="X409" s="10">
        <f>VLOOKUP(A409,Data_NV!$A:$I,9,0)</f>
        <v>0.70833333333333337</v>
      </c>
      <c r="Y409" s="10">
        <f>IFERROR(TIMEVALUE(Table2[[#This Row],[Vào]]),0)</f>
        <v>0.33552083333333332</v>
      </c>
      <c r="Z409" s="10">
        <f>IFERROR(TIMEVALUE(Table2[[#This Row],[Ra]]),0)</f>
        <v>0.76107638888888884</v>
      </c>
      <c r="AA409" t="str">
        <f t="shared" si="25"/>
        <v>x</v>
      </c>
      <c r="AB409" s="105">
        <f t="shared" si="26"/>
        <v>3.1500000000000128</v>
      </c>
      <c r="AC409" s="12" t="str">
        <f>IF(VLOOKUP(A409,Data_NV!$A:$I,7,0)="Không","",IF(OR(AND(Y409=0,Z409=0),AND(Y409&lt;&gt;0,Z409&lt;&gt;0)),"","Quên chấm công"))</f>
        <v/>
      </c>
      <c r="AD409" s="12">
        <f>IF(VLOOKUP(A409,Data_NV!$A:$I,7,0)="Không",0,IF(AND(Y409=0,Z409=0),0,IF(X409&lt;=Z409,0,ROUNDDOWN((X409-Z409)*24*60,0))))</f>
        <v>0</v>
      </c>
      <c r="AE409" s="12">
        <f>IF(VLOOKUP(A409,Data_NV!$A:$I,6,0)="Không",0,IF(Z409&lt;=X409,0,ROUNDDOWN((Z409-X409)*24*60,0)))</f>
        <v>75</v>
      </c>
      <c r="AF409" s="26">
        <f t="shared" si="27"/>
        <v>0</v>
      </c>
      <c r="AG409" s="27" t="str">
        <f>IF(AC409="","",IF(COUNTIFS($AC$3:AC409,"Quên chấm công",$S$3:S409,S409)&gt;3,"Không chấm công do vi phạm quá 3 lần",IF(COUNTIFS($AC$3:AC409,"Quên chấm công",$S$3:S409,S409)&gt;2,"Trừ toàn bộ chuyên cần tháng do vi phạm lần 3",IF(COUNTIFS($AC$3:AC409,"Quên chấm công",$S$3:S409,S409)&gt;1,"Trừ 1/2 ngày lương",50000))))</f>
        <v/>
      </c>
      <c r="AH409" s="12" t="str">
        <f>IF(AF409=0,"",IF(COUNTIFS($AF$3:AF409,"&gt;0",$S$3:S409,S409)&gt;3,"Trừ toàn bộ chuyên cần tháng",""))</f>
        <v/>
      </c>
      <c r="AI409" s="12"/>
    </row>
    <row r="410" spans="1:35" x14ac:dyDescent="0.25">
      <c r="A410" s="4" t="s">
        <v>678</v>
      </c>
      <c r="B410" s="1" t="s">
        <v>679</v>
      </c>
      <c r="C410" s="1" t="s">
        <v>20</v>
      </c>
      <c r="D410" s="1" t="s">
        <v>90</v>
      </c>
      <c r="E410" s="1" t="s">
        <v>22</v>
      </c>
      <c r="F410" s="1" t="s">
        <v>23</v>
      </c>
      <c r="G410" s="1" t="s">
        <v>10</v>
      </c>
      <c r="H410" s="1" t="s">
        <v>721</v>
      </c>
      <c r="I410" s="1" t="s">
        <v>722</v>
      </c>
      <c r="J410" s="1" t="s">
        <v>251</v>
      </c>
      <c r="K410" s="1" t="s">
        <v>109</v>
      </c>
      <c r="L410" s="1" t="s">
        <v>25</v>
      </c>
      <c r="M410" s="1" t="s">
        <v>26</v>
      </c>
      <c r="N410" s="1" t="s">
        <v>25</v>
      </c>
      <c r="O410" s="1" t="s">
        <v>94</v>
      </c>
      <c r="P410" s="1" t="s">
        <v>25</v>
      </c>
      <c r="Q410" s="1" t="s">
        <v>25</v>
      </c>
      <c r="R410" s="85" t="str">
        <f t="shared" si="24"/>
        <v>3745918</v>
      </c>
      <c r="S410" t="str">
        <f>VLOOKUP(A410,Data_NV!$A:$C,3,0)</f>
        <v>Trần Bảo Trâm</v>
      </c>
      <c r="T410" t="str">
        <f>VLOOKUP(A410,Data_NV!$A:$E,4,0)</f>
        <v>Kinh doanh</v>
      </c>
      <c r="U410" s="82">
        <f>DATEVALUE(Table2[[#This Row],[Ngày]])</f>
        <v>45918</v>
      </c>
      <c r="V410" t="str">
        <f>VLOOKUP(A410,Data_NV!$A:$E,5,0)</f>
        <v>Đang làm việc</v>
      </c>
      <c r="W410" s="10">
        <f>VLOOKUP(A410,Data_NV!$A:$I,8,0)</f>
        <v>0.33333333333333331</v>
      </c>
      <c r="X410" s="10">
        <f>VLOOKUP(A410,Data_NV!$A:$I,9,0)</f>
        <v>0.70833333333333337</v>
      </c>
      <c r="Y410" s="10">
        <f>IFERROR(TIMEVALUE(Table2[[#This Row],[Vào]]),0)</f>
        <v>0.33643518518518517</v>
      </c>
      <c r="Z410" s="10">
        <f>IFERROR(TIMEVALUE(Table2[[#This Row],[Ra]]),0)</f>
        <v>0.7663078703703704</v>
      </c>
      <c r="AA410" t="str">
        <f t="shared" si="25"/>
        <v>x</v>
      </c>
      <c r="AB410" s="105">
        <f t="shared" si="26"/>
        <v>4.4666666666666721</v>
      </c>
      <c r="AC410" s="12" t="str">
        <f>IF(VLOOKUP(A410,Data_NV!$A:$I,7,0)="Không","",IF(OR(AND(Y410=0,Z410=0),AND(Y410&lt;&gt;0,Z410&lt;&gt;0)),"","Quên chấm công"))</f>
        <v/>
      </c>
      <c r="AD410" s="12">
        <f>IF(VLOOKUP(A410,Data_NV!$A:$I,7,0)="Không",0,IF(AND(Y410=0,Z410=0),0,IF(X410&lt;=Z410,0,ROUNDDOWN((X410-Z410)*24*60,0))))</f>
        <v>0</v>
      </c>
      <c r="AE410" s="12">
        <f>IF(VLOOKUP(A410,Data_NV!$A:$I,6,0)="Không",0,IF(Z410&lt;=X410,0,ROUNDDOWN((Z410-X410)*24*60,0)))</f>
        <v>83</v>
      </c>
      <c r="AF410" s="26">
        <f t="shared" si="27"/>
        <v>0</v>
      </c>
      <c r="AG410" s="27" t="str">
        <f>IF(AC410="","",IF(COUNTIFS($AC$3:AC410,"Quên chấm công",$S$3:S410,S410)&gt;3,"Không chấm công do vi phạm quá 3 lần",IF(COUNTIFS($AC$3:AC410,"Quên chấm công",$S$3:S410,S410)&gt;2,"Trừ toàn bộ chuyên cần tháng do vi phạm lần 3",IF(COUNTIFS($AC$3:AC410,"Quên chấm công",$S$3:S410,S410)&gt;1,"Trừ 1/2 ngày lương",50000))))</f>
        <v/>
      </c>
      <c r="AH410" s="12" t="str">
        <f>IF(AF410=0,"",IF(COUNTIFS($AF$3:AF410,"&gt;0",$S$3:S410,S410)&gt;3,"Trừ toàn bộ chuyên cần tháng",""))</f>
        <v/>
      </c>
      <c r="AI410" s="12"/>
    </row>
    <row r="411" spans="1:35" x14ac:dyDescent="0.25">
      <c r="A411" s="4" t="s">
        <v>678</v>
      </c>
      <c r="B411" s="1" t="s">
        <v>679</v>
      </c>
      <c r="C411" s="1" t="s">
        <v>20</v>
      </c>
      <c r="D411" s="1" t="s">
        <v>95</v>
      </c>
      <c r="E411" s="1" t="s">
        <v>22</v>
      </c>
      <c r="F411" s="1" t="s">
        <v>23</v>
      </c>
      <c r="G411" s="1" t="s">
        <v>29</v>
      </c>
      <c r="H411" s="1" t="s">
        <v>723</v>
      </c>
      <c r="I411" s="1" t="s">
        <v>724</v>
      </c>
      <c r="J411" s="1" t="s">
        <v>25</v>
      </c>
      <c r="K411" s="1" t="s">
        <v>396</v>
      </c>
      <c r="L411" s="1" t="s">
        <v>25</v>
      </c>
      <c r="M411" s="1" t="s">
        <v>26</v>
      </c>
      <c r="N411" s="1" t="s">
        <v>25</v>
      </c>
      <c r="O411" s="1" t="s">
        <v>33</v>
      </c>
      <c r="P411" s="1" t="s">
        <v>613</v>
      </c>
      <c r="Q411" s="1" t="s">
        <v>25</v>
      </c>
      <c r="R411" s="85" t="str">
        <f t="shared" si="24"/>
        <v>3745919</v>
      </c>
      <c r="S411" t="str">
        <f>VLOOKUP(A411,Data_NV!$A:$C,3,0)</f>
        <v>Trần Bảo Trâm</v>
      </c>
      <c r="T411" t="str">
        <f>VLOOKUP(A411,Data_NV!$A:$E,4,0)</f>
        <v>Kinh doanh</v>
      </c>
      <c r="U411" s="82">
        <f>DATEVALUE(Table2[[#This Row],[Ngày]])</f>
        <v>45919</v>
      </c>
      <c r="V411" t="str">
        <f>VLOOKUP(A411,Data_NV!$A:$E,5,0)</f>
        <v>Đang làm việc</v>
      </c>
      <c r="W411" s="10">
        <f>VLOOKUP(A411,Data_NV!$A:$I,8,0)</f>
        <v>0.33333333333333331</v>
      </c>
      <c r="X411" s="10">
        <f>VLOOKUP(A411,Data_NV!$A:$I,9,0)</f>
        <v>0.70833333333333337</v>
      </c>
      <c r="Y411" s="10">
        <f>IFERROR(TIMEVALUE(Table2[[#This Row],[Vào]]),0)</f>
        <v>0.30353009259259262</v>
      </c>
      <c r="Z411" s="10">
        <f>IFERROR(TIMEVALUE(Table2[[#This Row],[Ra]]),0)</f>
        <v>0.80258101851851849</v>
      </c>
      <c r="AA411" t="str">
        <f t="shared" si="25"/>
        <v>x</v>
      </c>
      <c r="AB411" s="105">
        <f t="shared" si="26"/>
        <v>0</v>
      </c>
      <c r="AC411" s="12" t="str">
        <f>IF(VLOOKUP(A411,Data_NV!$A:$I,7,0)="Không","",IF(OR(AND(Y411=0,Z411=0),AND(Y411&lt;&gt;0,Z411&lt;&gt;0)),"","Quên chấm công"))</f>
        <v/>
      </c>
      <c r="AD411" s="12">
        <f>IF(VLOOKUP(A411,Data_NV!$A:$I,7,0)="Không",0,IF(AND(Y411=0,Z411=0),0,IF(X411&lt;=Z411,0,ROUNDDOWN((X411-Z411)*24*60,0))))</f>
        <v>0</v>
      </c>
      <c r="AE411" s="12">
        <f>IF(VLOOKUP(A411,Data_NV!$A:$I,6,0)="Không",0,IF(Z411&lt;=X411,0,ROUNDDOWN((Z411-X411)*24*60,0)))</f>
        <v>135</v>
      </c>
      <c r="AF411" s="26">
        <f t="shared" si="27"/>
        <v>0</v>
      </c>
      <c r="AG411" s="27" t="str">
        <f>IF(AC411="","",IF(COUNTIFS($AC$3:AC411,"Quên chấm công",$S$3:S411,S411)&gt;3,"Không chấm công do vi phạm quá 3 lần",IF(COUNTIFS($AC$3:AC411,"Quên chấm công",$S$3:S411,S411)&gt;2,"Trừ toàn bộ chuyên cần tháng do vi phạm lần 3",IF(COUNTIFS($AC$3:AC411,"Quên chấm công",$S$3:S411,S411)&gt;1,"Trừ 1/2 ngày lương",50000))))</f>
        <v/>
      </c>
      <c r="AH411" s="12" t="str">
        <f>IF(AF411=0,"",IF(COUNTIFS($AF$3:AF411,"&gt;0",$S$3:S411,S411)&gt;3,"Trừ toàn bộ chuyên cần tháng",""))</f>
        <v/>
      </c>
      <c r="AI411" s="12"/>
    </row>
    <row r="412" spans="1:35" x14ac:dyDescent="0.25">
      <c r="A412" s="4" t="s">
        <v>678</v>
      </c>
      <c r="B412" s="1" t="s">
        <v>679</v>
      </c>
      <c r="C412" s="1" t="s">
        <v>20</v>
      </c>
      <c r="D412" s="1" t="s">
        <v>100</v>
      </c>
      <c r="E412" s="1" t="s">
        <v>22</v>
      </c>
      <c r="F412" s="1" t="s">
        <v>23</v>
      </c>
      <c r="G412" s="1" t="s">
        <v>12</v>
      </c>
      <c r="H412" s="1" t="s">
        <v>24</v>
      </c>
      <c r="I412" s="1" t="s">
        <v>725</v>
      </c>
      <c r="J412" s="1" t="s">
        <v>25</v>
      </c>
      <c r="K412" s="1" t="s">
        <v>25</v>
      </c>
      <c r="L412" s="1" t="s">
        <v>26</v>
      </c>
      <c r="M412" s="1" t="s">
        <v>25</v>
      </c>
      <c r="N412" s="1" t="s">
        <v>25</v>
      </c>
      <c r="O412" s="1" t="s">
        <v>25</v>
      </c>
      <c r="P412" s="1" t="s">
        <v>25</v>
      </c>
      <c r="Q412" s="1" t="s">
        <v>25</v>
      </c>
      <c r="R412" s="85" t="str">
        <f t="shared" si="24"/>
        <v>3745920</v>
      </c>
      <c r="S412" t="str">
        <f>VLOOKUP(A412,Data_NV!$A:$C,3,0)</f>
        <v>Trần Bảo Trâm</v>
      </c>
      <c r="T412" t="str">
        <f>VLOOKUP(A412,Data_NV!$A:$E,4,0)</f>
        <v>Kinh doanh</v>
      </c>
      <c r="U412" s="82">
        <f>DATEVALUE(Table2[[#This Row],[Ngày]])</f>
        <v>45920</v>
      </c>
      <c r="V412" t="str">
        <f>VLOOKUP(A412,Data_NV!$A:$E,5,0)</f>
        <v>Đang làm việc</v>
      </c>
      <c r="W412" s="10">
        <f>VLOOKUP(A412,Data_NV!$A:$I,8,0)</f>
        <v>0.33333333333333331</v>
      </c>
      <c r="X412" s="10">
        <f>VLOOKUP(A412,Data_NV!$A:$I,9,0)</f>
        <v>0.70833333333333337</v>
      </c>
      <c r="Y412" s="10">
        <f>IFERROR(TIMEVALUE(Table2[[#This Row],[Vào]]),0)</f>
        <v>0</v>
      </c>
      <c r="Z412" s="10">
        <f>IFERROR(TIMEVALUE(Table2[[#This Row],[Ra]]),0)</f>
        <v>0.71006944444444442</v>
      </c>
      <c r="AA412" t="s">
        <v>1384</v>
      </c>
      <c r="AB412" s="105">
        <f t="shared" si="26"/>
        <v>0</v>
      </c>
      <c r="AD412" s="12">
        <f>IF(VLOOKUP(A412,Data_NV!$A:$I,7,0)="Không",0,IF(AND(Y412=0,Z412=0),0,IF(X412&lt;=Z412,0,ROUNDDOWN((X412-Z412)*24*60,0))))</f>
        <v>0</v>
      </c>
      <c r="AE412" s="12">
        <f>IF(VLOOKUP(A412,Data_NV!$A:$I,6,0)="Không",0,IF(Z412&lt;=X412,0,ROUNDDOWN((Z412-X412)*24*60,0)))</f>
        <v>2</v>
      </c>
      <c r="AF412" s="26"/>
      <c r="AG412" s="27" t="str">
        <f>IF(AC412="","",IF(COUNTIFS($AC$3:AC412,"Quên chấm công",$S$3:S412,S412)&gt;3,"Không chấm công do vi phạm quá 3 lần",IF(COUNTIFS($AC$3:AC412,"Quên chấm công",$S$3:S412,S412)&gt;2,"Trừ toàn bộ chuyên cần tháng do vi phạm lần 3",IF(COUNTIFS($AC$3:AC412,"Quên chấm công",$S$3:S412,S412)&gt;1,"Trừ 1/2 ngày lương",50000))))</f>
        <v/>
      </c>
      <c r="AH412" s="12" t="str">
        <f>IF(AF412=0,"",IF(COUNTIFS($AF$3:AF412,"&gt;0",$S$3:S412,S412)&gt;3,"Trừ toàn bộ chuyên cần tháng",""))</f>
        <v/>
      </c>
      <c r="AI412" s="12" t="s">
        <v>1388</v>
      </c>
    </row>
    <row r="413" spans="1:35" x14ac:dyDescent="0.25">
      <c r="A413" s="4" t="s">
        <v>678</v>
      </c>
      <c r="B413" s="1" t="s">
        <v>679</v>
      </c>
      <c r="C413" s="1" t="s">
        <v>20</v>
      </c>
      <c r="D413" s="1" t="s">
        <v>105</v>
      </c>
      <c r="E413" s="1" t="s">
        <v>22</v>
      </c>
      <c r="F413" s="1" t="s">
        <v>23</v>
      </c>
      <c r="G413" s="1" t="s">
        <v>12</v>
      </c>
      <c r="H413" s="1" t="s">
        <v>24</v>
      </c>
      <c r="I413" s="1" t="s">
        <v>24</v>
      </c>
      <c r="J413" s="1" t="s">
        <v>25</v>
      </c>
      <c r="K413" s="1" t="s">
        <v>25</v>
      </c>
      <c r="L413" s="1" t="s">
        <v>26</v>
      </c>
      <c r="M413" s="1" t="s">
        <v>25</v>
      </c>
      <c r="N413" s="1" t="s">
        <v>25</v>
      </c>
      <c r="O413" s="1" t="s">
        <v>25</v>
      </c>
      <c r="P413" s="1" t="s">
        <v>25</v>
      </c>
      <c r="Q413" s="1" t="s">
        <v>25</v>
      </c>
      <c r="R413" s="85" t="str">
        <f t="shared" si="24"/>
        <v>3745921</v>
      </c>
      <c r="S413" t="str">
        <f>VLOOKUP(A413,Data_NV!$A:$C,3,0)</f>
        <v>Trần Bảo Trâm</v>
      </c>
      <c r="T413" t="str">
        <f>VLOOKUP(A413,Data_NV!$A:$E,4,0)</f>
        <v>Kinh doanh</v>
      </c>
      <c r="U413" s="82">
        <f>DATEVALUE(Table2[[#This Row],[Ngày]])</f>
        <v>45921</v>
      </c>
      <c r="V413" t="str">
        <f>VLOOKUP(A413,Data_NV!$A:$E,5,0)</f>
        <v>Đang làm việc</v>
      </c>
      <c r="W413" s="10">
        <f>VLOOKUP(A413,Data_NV!$A:$I,8,0)</f>
        <v>0.33333333333333331</v>
      </c>
      <c r="X413" s="10">
        <f>VLOOKUP(A413,Data_NV!$A:$I,9,0)</f>
        <v>0.70833333333333337</v>
      </c>
      <c r="Y413" s="10">
        <f>IFERROR(TIMEVALUE(Table2[[#This Row],[Vào]]),0)</f>
        <v>0</v>
      </c>
      <c r="Z413" s="10">
        <f>IFERROR(TIMEVALUE(Table2[[#This Row],[Ra]]),0)</f>
        <v>0</v>
      </c>
      <c r="AA413" t="str">
        <f t="shared" si="25"/>
        <v>Chủ nhật</v>
      </c>
      <c r="AB413" s="105">
        <f t="shared" si="26"/>
        <v>0</v>
      </c>
      <c r="AC413" s="12" t="str">
        <f>IF(VLOOKUP(A413,Data_NV!$A:$I,7,0)="Không","",IF(OR(AND(Y413=0,Z413=0),AND(Y413&lt;&gt;0,Z413&lt;&gt;0)),"","Quên chấm công"))</f>
        <v/>
      </c>
      <c r="AD413" s="12">
        <f>IF(VLOOKUP(A413,Data_NV!$A:$I,7,0)="Không",0,IF(AND(Y413=0,Z413=0),0,IF(X413&lt;=Z413,0,ROUNDDOWN((X413-Z413)*24*60,0))))</f>
        <v>0</v>
      </c>
      <c r="AE413" s="12">
        <f>IF(VLOOKUP(A413,Data_NV!$A:$I,6,0)="Không",0,IF(Z413&lt;=X413,0,ROUNDDOWN((Z413-X413)*24*60,0)))</f>
        <v>0</v>
      </c>
      <c r="AF413" s="26">
        <f t="shared" si="27"/>
        <v>0</v>
      </c>
      <c r="AG413" s="27" t="str">
        <f>IF(AC413="","",IF(COUNTIFS($AC$3:AC413,"Quên chấm công",$S$3:S413,S413)&gt;3,"Không chấm công do vi phạm quá 3 lần",IF(COUNTIFS($AC$3:AC413,"Quên chấm công",$S$3:S413,S413)&gt;2,"Trừ toàn bộ chuyên cần tháng do vi phạm lần 3",IF(COUNTIFS($AC$3:AC413,"Quên chấm công",$S$3:S413,S413)&gt;1,"Trừ 1/2 ngày lương",50000))))</f>
        <v/>
      </c>
      <c r="AH413" s="12" t="str">
        <f>IF(AF413=0,"",IF(COUNTIFS($AF$3:AF413,"&gt;0",$S$3:S413,S413)&gt;3,"Trừ toàn bộ chuyên cần tháng",""))</f>
        <v/>
      </c>
      <c r="AI413" s="12"/>
    </row>
    <row r="414" spans="1:35" x14ac:dyDescent="0.25">
      <c r="A414" s="4" t="s">
        <v>678</v>
      </c>
      <c r="B414" s="1" t="s">
        <v>679</v>
      </c>
      <c r="C414" s="1" t="s">
        <v>20</v>
      </c>
      <c r="D414" s="1" t="s">
        <v>106</v>
      </c>
      <c r="E414" s="1" t="s">
        <v>22</v>
      </c>
      <c r="F414" s="1" t="s">
        <v>23</v>
      </c>
      <c r="G414" s="1" t="s">
        <v>10</v>
      </c>
      <c r="H414" s="1" t="s">
        <v>726</v>
      </c>
      <c r="I414" s="1" t="s">
        <v>727</v>
      </c>
      <c r="J414" s="1" t="s">
        <v>314</v>
      </c>
      <c r="K414" s="1" t="s">
        <v>728</v>
      </c>
      <c r="L414" s="1" t="s">
        <v>25</v>
      </c>
      <c r="M414" s="1" t="s">
        <v>26</v>
      </c>
      <c r="N414" s="1" t="s">
        <v>25</v>
      </c>
      <c r="O414" s="1" t="s">
        <v>281</v>
      </c>
      <c r="P414" s="1" t="s">
        <v>25</v>
      </c>
      <c r="Q414" s="1" t="s">
        <v>25</v>
      </c>
      <c r="R414" s="85" t="str">
        <f t="shared" si="24"/>
        <v>3745922</v>
      </c>
      <c r="S414" t="str">
        <f>VLOOKUP(A414,Data_NV!$A:$C,3,0)</f>
        <v>Trần Bảo Trâm</v>
      </c>
      <c r="T414" t="str">
        <f>VLOOKUP(A414,Data_NV!$A:$E,4,0)</f>
        <v>Kinh doanh</v>
      </c>
      <c r="U414" s="82">
        <f>DATEVALUE(Table2[[#This Row],[Ngày]])</f>
        <v>45922</v>
      </c>
      <c r="V414" t="str">
        <f>VLOOKUP(A414,Data_NV!$A:$E,5,0)</f>
        <v>Đang làm việc</v>
      </c>
      <c r="W414" s="10">
        <f>VLOOKUP(A414,Data_NV!$A:$I,8,0)</f>
        <v>0.33333333333333331</v>
      </c>
      <c r="X414" s="10">
        <f>VLOOKUP(A414,Data_NV!$A:$I,9,0)</f>
        <v>0.70833333333333337</v>
      </c>
      <c r="Y414" s="10">
        <f>IFERROR(TIMEVALUE(Table2[[#This Row],[Vào]]),0)</f>
        <v>0.33454861111111112</v>
      </c>
      <c r="Z414" s="10">
        <f>IFERROR(TIMEVALUE(Table2[[#This Row],[Ra]]),0)</f>
        <v>0.72563657407407411</v>
      </c>
      <c r="AA414" t="str">
        <f t="shared" si="25"/>
        <v>x</v>
      </c>
      <c r="AB414" s="105">
        <f t="shared" si="26"/>
        <v>1.7500000000000338</v>
      </c>
      <c r="AC414" s="12" t="str">
        <f>IF(VLOOKUP(A414,Data_NV!$A:$I,7,0)="Không","",IF(OR(AND(Y414=0,Z414=0),AND(Y414&lt;&gt;0,Z414&lt;&gt;0)),"","Quên chấm công"))</f>
        <v/>
      </c>
      <c r="AD414" s="12">
        <f>IF(VLOOKUP(A414,Data_NV!$A:$I,7,0)="Không",0,IF(AND(Y414=0,Z414=0),0,IF(X414&lt;=Z414,0,ROUNDDOWN((X414-Z414)*24*60,0))))</f>
        <v>0</v>
      </c>
      <c r="AE414" s="12">
        <f>IF(VLOOKUP(A414,Data_NV!$A:$I,6,0)="Không",0,IF(Z414&lt;=X414,0,ROUNDDOWN((Z414-X414)*24*60,0)))</f>
        <v>24</v>
      </c>
      <c r="AF414" s="26">
        <f t="shared" si="27"/>
        <v>0</v>
      </c>
      <c r="AG414" s="27" t="str">
        <f>IF(AC414="","",IF(COUNTIFS($AC$3:AC414,"Quên chấm công",$S$3:S414,S414)&gt;3,"Không chấm công do vi phạm quá 3 lần",IF(COUNTIFS($AC$3:AC414,"Quên chấm công",$S$3:S414,S414)&gt;2,"Trừ toàn bộ chuyên cần tháng do vi phạm lần 3",IF(COUNTIFS($AC$3:AC414,"Quên chấm công",$S$3:S414,S414)&gt;1,"Trừ 1/2 ngày lương",50000))))</f>
        <v/>
      </c>
      <c r="AH414" s="12" t="str">
        <f>IF(AF414=0,"",IF(COUNTIFS($AF$3:AF414,"&gt;0",$S$3:S414,S414)&gt;3,"Trừ toàn bộ chuyên cần tháng",""))</f>
        <v/>
      </c>
      <c r="AI414" s="12"/>
    </row>
    <row r="415" spans="1:35" x14ac:dyDescent="0.25">
      <c r="A415" s="4" t="s">
        <v>678</v>
      </c>
      <c r="B415" s="1" t="s">
        <v>679</v>
      </c>
      <c r="C415" s="1" t="s">
        <v>20</v>
      </c>
      <c r="D415" s="1" t="s">
        <v>111</v>
      </c>
      <c r="E415" s="1" t="s">
        <v>22</v>
      </c>
      <c r="F415" s="1" t="s">
        <v>23</v>
      </c>
      <c r="G415" s="1" t="s">
        <v>10</v>
      </c>
      <c r="H415" s="1" t="s">
        <v>729</v>
      </c>
      <c r="I415" s="1" t="s">
        <v>730</v>
      </c>
      <c r="J415" s="1" t="s">
        <v>358</v>
      </c>
      <c r="K415" s="1" t="s">
        <v>45</v>
      </c>
      <c r="L415" s="1" t="s">
        <v>25</v>
      </c>
      <c r="M415" s="1" t="s">
        <v>26</v>
      </c>
      <c r="N415" s="1" t="s">
        <v>25</v>
      </c>
      <c r="O415" s="1" t="s">
        <v>683</v>
      </c>
      <c r="P415" s="1" t="s">
        <v>25</v>
      </c>
      <c r="Q415" s="1" t="s">
        <v>25</v>
      </c>
      <c r="R415" s="85" t="str">
        <f t="shared" si="24"/>
        <v>3745923</v>
      </c>
      <c r="S415" t="str">
        <f>VLOOKUP(A415,Data_NV!$A:$C,3,0)</f>
        <v>Trần Bảo Trâm</v>
      </c>
      <c r="T415" t="str">
        <f>VLOOKUP(A415,Data_NV!$A:$E,4,0)</f>
        <v>Kinh doanh</v>
      </c>
      <c r="U415" s="82">
        <f>DATEVALUE(Table2[[#This Row],[Ngày]])</f>
        <v>45923</v>
      </c>
      <c r="V415" t="str">
        <f>VLOOKUP(A415,Data_NV!$A:$E,5,0)</f>
        <v>Đang làm việc</v>
      </c>
      <c r="W415" s="10">
        <f>VLOOKUP(A415,Data_NV!$A:$I,8,0)</f>
        <v>0.33333333333333331</v>
      </c>
      <c r="X415" s="10">
        <f>VLOOKUP(A415,Data_NV!$A:$I,9,0)</f>
        <v>0.70833333333333337</v>
      </c>
      <c r="Y415" s="10">
        <f>IFERROR(TIMEVALUE(Table2[[#This Row],[Vào]]),0)</f>
        <v>0.33392361111111113</v>
      </c>
      <c r="Z415" s="10">
        <f>IFERROR(TIMEVALUE(Table2[[#This Row],[Ra]]),0)</f>
        <v>0.74353009259259262</v>
      </c>
      <c r="AA415" t="str">
        <f t="shared" si="25"/>
        <v>x</v>
      </c>
      <c r="AB415" s="105">
        <f t="shared" si="26"/>
        <v>0.85000000000005294</v>
      </c>
      <c r="AC415" s="12" t="str">
        <f>IF(VLOOKUP(A415,Data_NV!$A:$I,7,0)="Không","",IF(OR(AND(Y415=0,Z415=0),AND(Y415&lt;&gt;0,Z415&lt;&gt;0)),"","Quên chấm công"))</f>
        <v/>
      </c>
      <c r="AD415" s="12">
        <f>IF(VLOOKUP(A415,Data_NV!$A:$I,7,0)="Không",0,IF(AND(Y415=0,Z415=0),0,IF(X415&lt;=Z415,0,ROUNDDOWN((X415-Z415)*24*60,0))))</f>
        <v>0</v>
      </c>
      <c r="AE415" s="12">
        <f>IF(VLOOKUP(A415,Data_NV!$A:$I,6,0)="Không",0,IF(Z415&lt;=X415,0,ROUNDDOWN((Z415-X415)*24*60,0)))</f>
        <v>50</v>
      </c>
      <c r="AF415" s="26">
        <f t="shared" si="27"/>
        <v>0</v>
      </c>
      <c r="AG415" s="27" t="str">
        <f>IF(AC415="","",IF(COUNTIFS($AC$3:AC415,"Quên chấm công",$S$3:S415,S415)&gt;3,"Không chấm công do vi phạm quá 3 lần",IF(COUNTIFS($AC$3:AC415,"Quên chấm công",$S$3:S415,S415)&gt;2,"Trừ toàn bộ chuyên cần tháng do vi phạm lần 3",IF(COUNTIFS($AC$3:AC415,"Quên chấm công",$S$3:S415,S415)&gt;1,"Trừ 1/2 ngày lương",50000))))</f>
        <v/>
      </c>
      <c r="AH415" s="12" t="str">
        <f>IF(AF415=0,"",IF(COUNTIFS($AF$3:AF415,"&gt;0",$S$3:S415,S415)&gt;3,"Trừ toàn bộ chuyên cần tháng",""))</f>
        <v/>
      </c>
      <c r="AI415" s="12"/>
    </row>
    <row r="416" spans="1:35" x14ac:dyDescent="0.25">
      <c r="A416" s="4" t="s">
        <v>678</v>
      </c>
      <c r="B416" s="1" t="s">
        <v>679</v>
      </c>
      <c r="C416" s="1" t="s">
        <v>20</v>
      </c>
      <c r="D416" s="1" t="s">
        <v>116</v>
      </c>
      <c r="E416" s="1" t="s">
        <v>22</v>
      </c>
      <c r="F416" s="1" t="s">
        <v>23</v>
      </c>
      <c r="G416" s="1" t="s">
        <v>29</v>
      </c>
      <c r="H416" s="1" t="s">
        <v>731</v>
      </c>
      <c r="I416" s="1" t="s">
        <v>732</v>
      </c>
      <c r="J416" s="1" t="s">
        <v>25</v>
      </c>
      <c r="K416" s="1" t="s">
        <v>359</v>
      </c>
      <c r="L416" s="1" t="s">
        <v>25</v>
      </c>
      <c r="M416" s="1" t="s">
        <v>26</v>
      </c>
      <c r="N416" s="1" t="s">
        <v>25</v>
      </c>
      <c r="O416" s="1" t="s">
        <v>733</v>
      </c>
      <c r="P416" s="1" t="s">
        <v>25</v>
      </c>
      <c r="Q416" s="1" t="s">
        <v>25</v>
      </c>
      <c r="R416" s="85" t="str">
        <f t="shared" si="24"/>
        <v>3745924</v>
      </c>
      <c r="S416" t="str">
        <f>VLOOKUP(A416,Data_NV!$A:$C,3,0)</f>
        <v>Trần Bảo Trâm</v>
      </c>
      <c r="T416" t="str">
        <f>VLOOKUP(A416,Data_NV!$A:$E,4,0)</f>
        <v>Kinh doanh</v>
      </c>
      <c r="U416" s="82">
        <f>DATEVALUE(Table2[[#This Row],[Ngày]])</f>
        <v>45924</v>
      </c>
      <c r="V416" t="str">
        <f>VLOOKUP(A416,Data_NV!$A:$E,5,0)</f>
        <v>Đang làm việc</v>
      </c>
      <c r="W416" s="10">
        <f>VLOOKUP(A416,Data_NV!$A:$I,8,0)</f>
        <v>0.33333333333333331</v>
      </c>
      <c r="X416" s="10">
        <f>VLOOKUP(A416,Data_NV!$A:$I,9,0)</f>
        <v>0.70833333333333337</v>
      </c>
      <c r="Y416" s="10">
        <f>IFERROR(TIMEVALUE(Table2[[#This Row],[Vào]]),0)</f>
        <v>0.32966435185185183</v>
      </c>
      <c r="Z416" s="10">
        <f>IFERROR(TIMEVALUE(Table2[[#This Row],[Ra]]),0)</f>
        <v>0.78086805555555561</v>
      </c>
      <c r="AA416" t="str">
        <f t="shared" si="25"/>
        <v>x</v>
      </c>
      <c r="AB416" s="105">
        <f t="shared" si="26"/>
        <v>0</v>
      </c>
      <c r="AC416" s="12" t="str">
        <f>IF(VLOOKUP(A416,Data_NV!$A:$I,7,0)="Không","",IF(OR(AND(Y416=0,Z416=0),AND(Y416&lt;&gt;0,Z416&lt;&gt;0)),"","Quên chấm công"))</f>
        <v/>
      </c>
      <c r="AD416" s="12">
        <f>IF(VLOOKUP(A416,Data_NV!$A:$I,7,0)="Không",0,IF(AND(Y416=0,Z416=0),0,IF(X416&lt;=Z416,0,ROUNDDOWN((X416-Z416)*24*60,0))))</f>
        <v>0</v>
      </c>
      <c r="AE416" s="12">
        <f>IF(VLOOKUP(A416,Data_NV!$A:$I,6,0)="Không",0,IF(Z416&lt;=X416,0,ROUNDDOWN((Z416-X416)*24*60,0)))</f>
        <v>104</v>
      </c>
      <c r="AF416" s="26">
        <f t="shared" si="27"/>
        <v>0</v>
      </c>
      <c r="AG416" s="27" t="str">
        <f>IF(AC416="","",IF(COUNTIFS($AC$3:AC416,"Quên chấm công",$S$3:S416,S416)&gt;3,"Không chấm công do vi phạm quá 3 lần",IF(COUNTIFS($AC$3:AC416,"Quên chấm công",$S$3:S416,S416)&gt;2,"Trừ toàn bộ chuyên cần tháng do vi phạm lần 3",IF(COUNTIFS($AC$3:AC416,"Quên chấm công",$S$3:S416,S416)&gt;1,"Trừ 1/2 ngày lương",50000))))</f>
        <v/>
      </c>
      <c r="AH416" s="12" t="str">
        <f>IF(AF416=0,"",IF(COUNTIFS($AF$3:AF416,"&gt;0",$S$3:S416,S416)&gt;3,"Trừ toàn bộ chuyên cần tháng",""))</f>
        <v/>
      </c>
      <c r="AI416" s="12"/>
    </row>
    <row r="417" spans="1:35" x14ac:dyDescent="0.25">
      <c r="A417" s="4" t="s">
        <v>678</v>
      </c>
      <c r="B417" s="1" t="s">
        <v>679</v>
      </c>
      <c r="C417" s="1" t="s">
        <v>20</v>
      </c>
      <c r="D417" s="1" t="s">
        <v>121</v>
      </c>
      <c r="E417" s="1" t="s">
        <v>22</v>
      </c>
      <c r="F417" s="1" t="s">
        <v>23</v>
      </c>
      <c r="G417" s="1" t="s">
        <v>10</v>
      </c>
      <c r="H417" s="1" t="s">
        <v>734</v>
      </c>
      <c r="I417" s="1" t="s">
        <v>735</v>
      </c>
      <c r="J417" s="1" t="s">
        <v>358</v>
      </c>
      <c r="K417" s="1" t="s">
        <v>736</v>
      </c>
      <c r="L417" s="1" t="s">
        <v>25</v>
      </c>
      <c r="M417" s="1" t="s">
        <v>26</v>
      </c>
      <c r="N417" s="1" t="s">
        <v>25</v>
      </c>
      <c r="O417" s="1" t="s">
        <v>272</v>
      </c>
      <c r="P417" s="1" t="s">
        <v>25</v>
      </c>
      <c r="Q417" s="1" t="s">
        <v>25</v>
      </c>
      <c r="R417" s="85" t="str">
        <f t="shared" si="24"/>
        <v>3745925</v>
      </c>
      <c r="S417" t="str">
        <f>VLOOKUP(A417,Data_NV!$A:$C,3,0)</f>
        <v>Trần Bảo Trâm</v>
      </c>
      <c r="T417" t="str">
        <f>VLOOKUP(A417,Data_NV!$A:$E,4,0)</f>
        <v>Kinh doanh</v>
      </c>
      <c r="U417" s="82">
        <f>DATEVALUE(Table2[[#This Row],[Ngày]])</f>
        <v>45925</v>
      </c>
      <c r="V417" t="str">
        <f>VLOOKUP(A417,Data_NV!$A:$E,5,0)</f>
        <v>Đang làm việc</v>
      </c>
      <c r="W417" s="10">
        <f>VLOOKUP(A417,Data_NV!$A:$I,8,0)</f>
        <v>0.33333333333333331</v>
      </c>
      <c r="X417" s="10">
        <f>VLOOKUP(A417,Data_NV!$A:$I,9,0)</f>
        <v>0.70833333333333337</v>
      </c>
      <c r="Y417" s="10">
        <f>IFERROR(TIMEVALUE(Table2[[#This Row],[Vào]]),0)</f>
        <v>0.33377314814814812</v>
      </c>
      <c r="Z417" s="10">
        <f>IFERROR(TIMEVALUE(Table2[[#This Row],[Ra]]),0)</f>
        <v>0.78197916666666667</v>
      </c>
      <c r="AA417" t="str">
        <f t="shared" si="25"/>
        <v>x</v>
      </c>
      <c r="AB417" s="105">
        <f t="shared" si="26"/>
        <v>0.63333333333332575</v>
      </c>
      <c r="AC417" s="12" t="str">
        <f>IF(VLOOKUP(A417,Data_NV!$A:$I,7,0)="Không","",IF(OR(AND(Y417=0,Z417=0),AND(Y417&lt;&gt;0,Z417&lt;&gt;0)),"","Quên chấm công"))</f>
        <v/>
      </c>
      <c r="AD417" s="12">
        <f>IF(VLOOKUP(A417,Data_NV!$A:$I,7,0)="Không",0,IF(AND(Y417=0,Z417=0),0,IF(X417&lt;=Z417,0,ROUNDDOWN((X417-Z417)*24*60,0))))</f>
        <v>0</v>
      </c>
      <c r="AE417" s="12">
        <f>IF(VLOOKUP(A417,Data_NV!$A:$I,6,0)="Không",0,IF(Z417&lt;=X417,0,ROUNDDOWN((Z417-X417)*24*60,0)))</f>
        <v>106</v>
      </c>
      <c r="AF417" s="26">
        <f t="shared" si="27"/>
        <v>0</v>
      </c>
      <c r="AG417" s="27" t="str">
        <f>IF(AC417="","",IF(COUNTIFS($AC$3:AC417,"Quên chấm công",$S$3:S417,S417)&gt;3,"Không chấm công do vi phạm quá 3 lần",IF(COUNTIFS($AC$3:AC417,"Quên chấm công",$S$3:S417,S417)&gt;2,"Trừ toàn bộ chuyên cần tháng do vi phạm lần 3",IF(COUNTIFS($AC$3:AC417,"Quên chấm công",$S$3:S417,S417)&gt;1,"Trừ 1/2 ngày lương",50000))))</f>
        <v/>
      </c>
      <c r="AH417" s="12" t="str">
        <f>IF(AF417=0,"",IF(COUNTIFS($AF$3:AF417,"&gt;0",$S$3:S417,S417)&gt;3,"Trừ toàn bộ chuyên cần tháng",""))</f>
        <v/>
      </c>
      <c r="AI417" s="12"/>
    </row>
    <row r="418" spans="1:35" x14ac:dyDescent="0.25">
      <c r="A418" s="4" t="s">
        <v>678</v>
      </c>
      <c r="B418" s="1" t="s">
        <v>679</v>
      </c>
      <c r="C418" s="1" t="s">
        <v>20</v>
      </c>
      <c r="D418" s="1" t="s">
        <v>123</v>
      </c>
      <c r="E418" s="1" t="s">
        <v>22</v>
      </c>
      <c r="F418" s="1" t="s">
        <v>23</v>
      </c>
      <c r="G418" s="1" t="s">
        <v>10</v>
      </c>
      <c r="H418" s="1" t="s">
        <v>737</v>
      </c>
      <c r="I418" s="1" t="s">
        <v>738</v>
      </c>
      <c r="J418" s="1" t="s">
        <v>682</v>
      </c>
      <c r="K418" s="1" t="s">
        <v>739</v>
      </c>
      <c r="L418" s="1" t="s">
        <v>25</v>
      </c>
      <c r="M418" s="1" t="s">
        <v>26</v>
      </c>
      <c r="N418" s="1" t="s">
        <v>25</v>
      </c>
      <c r="O418" s="1" t="s">
        <v>617</v>
      </c>
      <c r="P418" s="1" t="s">
        <v>25</v>
      </c>
      <c r="Q418" s="1" t="s">
        <v>25</v>
      </c>
      <c r="R418" s="85" t="str">
        <f t="shared" si="24"/>
        <v>3745926</v>
      </c>
      <c r="S418" t="str">
        <f>VLOOKUP(A418,Data_NV!$A:$C,3,0)</f>
        <v>Trần Bảo Trâm</v>
      </c>
      <c r="T418" t="str">
        <f>VLOOKUP(A418,Data_NV!$A:$E,4,0)</f>
        <v>Kinh doanh</v>
      </c>
      <c r="U418" s="82">
        <f>DATEVALUE(Table2[[#This Row],[Ngày]])</f>
        <v>45926</v>
      </c>
      <c r="V418" t="str">
        <f>VLOOKUP(A418,Data_NV!$A:$E,5,0)</f>
        <v>Đang làm việc</v>
      </c>
      <c r="W418" s="10">
        <f>VLOOKUP(A418,Data_NV!$A:$I,8,0)</f>
        <v>0.33333333333333331</v>
      </c>
      <c r="X418" s="10">
        <f>VLOOKUP(A418,Data_NV!$A:$I,9,0)</f>
        <v>0.70833333333333337</v>
      </c>
      <c r="Y418" s="10">
        <f>IFERROR(TIMEVALUE(Table2[[#This Row],[Vào]]),0)</f>
        <v>0.33684027777777775</v>
      </c>
      <c r="Z418" s="10">
        <f>IFERROR(TIMEVALUE(Table2[[#This Row],[Ra]]),0)</f>
        <v>0.72394675925925922</v>
      </c>
      <c r="AA418" t="str">
        <f t="shared" si="25"/>
        <v>x</v>
      </c>
      <c r="AB418" s="105">
        <f t="shared" si="26"/>
        <v>5.0499999999999901</v>
      </c>
      <c r="AC418" s="12" t="str">
        <f>IF(VLOOKUP(A418,Data_NV!$A:$I,7,0)="Không","",IF(OR(AND(Y418=0,Z418=0),AND(Y418&lt;&gt;0,Z418&lt;&gt;0)),"","Quên chấm công"))</f>
        <v/>
      </c>
      <c r="AD418" s="12">
        <f>IF(VLOOKUP(A418,Data_NV!$A:$I,7,0)="Không",0,IF(AND(Y418=0,Z418=0),0,IF(X418&lt;=Z418,0,ROUNDDOWN((X418-Z418)*24*60,0))))</f>
        <v>0</v>
      </c>
      <c r="AE418" s="12">
        <f>IF(VLOOKUP(A418,Data_NV!$A:$I,6,0)="Không",0,IF(Z418&lt;=X418,0,ROUNDDOWN((Z418-X418)*24*60,0)))</f>
        <v>22</v>
      </c>
      <c r="AF418" s="26">
        <f t="shared" si="27"/>
        <v>0</v>
      </c>
      <c r="AG418" s="27" t="str">
        <f>IF(AC418="","",IF(COUNTIFS($AC$3:AC418,"Quên chấm công",$S$3:S418,S418)&gt;3,"Không chấm công do vi phạm quá 3 lần",IF(COUNTIFS($AC$3:AC418,"Quên chấm công",$S$3:S418,S418)&gt;2,"Trừ toàn bộ chuyên cần tháng do vi phạm lần 3",IF(COUNTIFS($AC$3:AC418,"Quên chấm công",$S$3:S418,S418)&gt;1,"Trừ 1/2 ngày lương",50000))))</f>
        <v/>
      </c>
      <c r="AH418" s="12" t="str">
        <f>IF(AF418=0,"",IF(COUNTIFS($AF$3:AF418,"&gt;0",$S$3:S418,S418)&gt;3,"Trừ toàn bộ chuyên cần tháng",""))</f>
        <v/>
      </c>
      <c r="AI418" s="12"/>
    </row>
    <row r="419" spans="1:35" x14ac:dyDescent="0.25">
      <c r="A419" s="4" t="s">
        <v>678</v>
      </c>
      <c r="B419" s="1" t="s">
        <v>679</v>
      </c>
      <c r="C419" s="1" t="s">
        <v>20</v>
      </c>
      <c r="D419" s="1" t="s">
        <v>125</v>
      </c>
      <c r="E419" s="1" t="s">
        <v>22</v>
      </c>
      <c r="F419" s="1" t="s">
        <v>23</v>
      </c>
      <c r="G419" s="1" t="s">
        <v>10</v>
      </c>
      <c r="H419" s="1" t="s">
        <v>740</v>
      </c>
      <c r="I419" s="1" t="s">
        <v>741</v>
      </c>
      <c r="J419" s="1" t="s">
        <v>691</v>
      </c>
      <c r="K419" s="1" t="s">
        <v>325</v>
      </c>
      <c r="L419" s="1" t="s">
        <v>25</v>
      </c>
      <c r="M419" s="1" t="s">
        <v>26</v>
      </c>
      <c r="N419" s="1" t="s">
        <v>25</v>
      </c>
      <c r="O419" s="1" t="s">
        <v>742</v>
      </c>
      <c r="P419" s="1" t="s">
        <v>25</v>
      </c>
      <c r="Q419" s="1" t="s">
        <v>25</v>
      </c>
      <c r="R419" s="85" t="str">
        <f t="shared" si="24"/>
        <v>3745927</v>
      </c>
      <c r="S419" t="str">
        <f>VLOOKUP(A419,Data_NV!$A:$C,3,0)</f>
        <v>Trần Bảo Trâm</v>
      </c>
      <c r="T419" t="str">
        <f>VLOOKUP(A419,Data_NV!$A:$E,4,0)</f>
        <v>Kinh doanh</v>
      </c>
      <c r="U419" s="82">
        <f>DATEVALUE(Table2[[#This Row],[Ngày]])</f>
        <v>45927</v>
      </c>
      <c r="V419" t="str">
        <f>VLOOKUP(A419,Data_NV!$A:$E,5,0)</f>
        <v>Đang làm việc</v>
      </c>
      <c r="W419" s="10">
        <f>VLOOKUP(A419,Data_NV!$A:$I,8,0)</f>
        <v>0.33333333333333331</v>
      </c>
      <c r="X419" s="10">
        <f>VLOOKUP(A419,Data_NV!$A:$I,9,0)</f>
        <v>0.70833333333333337</v>
      </c>
      <c r="Y419" s="10">
        <f>IFERROR(TIMEVALUE(Table2[[#This Row],[Vào]]),0)</f>
        <v>0.33513888888888888</v>
      </c>
      <c r="Z419" s="10">
        <f>IFERROR(TIMEVALUE(Table2[[#This Row],[Ra]]),0)</f>
        <v>0.74918981481481484</v>
      </c>
      <c r="AA419" t="str">
        <f t="shared" si="25"/>
        <v>x</v>
      </c>
      <c r="AB419" s="105">
        <f t="shared" si="26"/>
        <v>2.6000000000000068</v>
      </c>
      <c r="AC419" s="12" t="str">
        <f>IF(VLOOKUP(A419,Data_NV!$A:$I,7,0)="Không","",IF(OR(AND(Y419=0,Z419=0),AND(Y419&lt;&gt;0,Z419&lt;&gt;0)),"","Quên chấm công"))</f>
        <v/>
      </c>
      <c r="AD419" s="12">
        <f>IF(VLOOKUP(A419,Data_NV!$A:$I,7,0)="Không",0,IF(AND(Y419=0,Z419=0),0,IF(X419&lt;=Z419,0,ROUNDDOWN((X419-Z419)*24*60,0))))</f>
        <v>0</v>
      </c>
      <c r="AE419" s="12">
        <f>IF(VLOOKUP(A419,Data_NV!$A:$I,6,0)="Không",0,IF(Z419&lt;=X419,0,ROUNDDOWN((Z419-X419)*24*60,0)))</f>
        <v>58</v>
      </c>
      <c r="AF419" s="26">
        <f t="shared" si="27"/>
        <v>0</v>
      </c>
      <c r="AG419" s="27" t="str">
        <f>IF(AC419="","",IF(COUNTIFS($AC$3:AC419,"Quên chấm công",$S$3:S419,S419)&gt;3,"Không chấm công do vi phạm quá 3 lần",IF(COUNTIFS($AC$3:AC419,"Quên chấm công",$S$3:S419,S419)&gt;2,"Trừ toàn bộ chuyên cần tháng do vi phạm lần 3",IF(COUNTIFS($AC$3:AC419,"Quên chấm công",$S$3:S419,S419)&gt;1,"Trừ 1/2 ngày lương",50000))))</f>
        <v/>
      </c>
      <c r="AH419" s="12" t="str">
        <f>IF(AF419=0,"",IF(COUNTIFS($AF$3:AF419,"&gt;0",$S$3:S419,S419)&gt;3,"Trừ toàn bộ chuyên cần tháng",""))</f>
        <v/>
      </c>
      <c r="AI419" s="12"/>
    </row>
    <row r="420" spans="1:35" x14ac:dyDescent="0.25">
      <c r="A420" s="4" t="s">
        <v>678</v>
      </c>
      <c r="B420" s="1" t="s">
        <v>679</v>
      </c>
      <c r="C420" s="1" t="s">
        <v>20</v>
      </c>
      <c r="D420" s="1" t="s">
        <v>130</v>
      </c>
      <c r="E420" s="1" t="s">
        <v>22</v>
      </c>
      <c r="F420" s="1" t="s">
        <v>23</v>
      </c>
      <c r="G420" s="1" t="s">
        <v>12</v>
      </c>
      <c r="H420" s="1" t="s">
        <v>24</v>
      </c>
      <c r="I420" s="1" t="s">
        <v>24</v>
      </c>
      <c r="J420" s="1" t="s">
        <v>25</v>
      </c>
      <c r="K420" s="1" t="s">
        <v>25</v>
      </c>
      <c r="L420" s="1" t="s">
        <v>26</v>
      </c>
      <c r="M420" s="1" t="s">
        <v>25</v>
      </c>
      <c r="N420" s="1" t="s">
        <v>25</v>
      </c>
      <c r="O420" s="1" t="s">
        <v>25</v>
      </c>
      <c r="P420" s="1" t="s">
        <v>25</v>
      </c>
      <c r="Q420" s="1" t="s">
        <v>25</v>
      </c>
      <c r="R420" s="85" t="str">
        <f t="shared" si="24"/>
        <v>3745928</v>
      </c>
      <c r="S420" t="str">
        <f>VLOOKUP(A420,Data_NV!$A:$C,3,0)</f>
        <v>Trần Bảo Trâm</v>
      </c>
      <c r="T420" t="str">
        <f>VLOOKUP(A420,Data_NV!$A:$E,4,0)</f>
        <v>Kinh doanh</v>
      </c>
      <c r="U420" s="82">
        <f>DATEVALUE(Table2[[#This Row],[Ngày]])</f>
        <v>45928</v>
      </c>
      <c r="V420" t="str">
        <f>VLOOKUP(A420,Data_NV!$A:$E,5,0)</f>
        <v>Đang làm việc</v>
      </c>
      <c r="W420" s="10">
        <f>VLOOKUP(A420,Data_NV!$A:$I,8,0)</f>
        <v>0.33333333333333331</v>
      </c>
      <c r="X420" s="10">
        <f>VLOOKUP(A420,Data_NV!$A:$I,9,0)</f>
        <v>0.70833333333333337</v>
      </c>
      <c r="Y420" s="10">
        <f>IFERROR(TIMEVALUE(Table2[[#This Row],[Vào]]),0)</f>
        <v>0</v>
      </c>
      <c r="Z420" s="10">
        <f>IFERROR(TIMEVALUE(Table2[[#This Row],[Ra]]),0)</f>
        <v>0</v>
      </c>
      <c r="AA420" t="str">
        <f t="shared" si="25"/>
        <v>Chủ nhật</v>
      </c>
      <c r="AB420" s="105">
        <f t="shared" si="26"/>
        <v>0</v>
      </c>
      <c r="AC420" s="12" t="str">
        <f>IF(VLOOKUP(A420,Data_NV!$A:$I,7,0)="Không","",IF(OR(AND(Y420=0,Z420=0),AND(Y420&lt;&gt;0,Z420&lt;&gt;0)),"","Quên chấm công"))</f>
        <v/>
      </c>
      <c r="AD420" s="12">
        <f>IF(VLOOKUP(A420,Data_NV!$A:$I,7,0)="Không",0,IF(AND(Y420=0,Z420=0),0,IF(X420&lt;=Z420,0,ROUNDDOWN((X420-Z420)*24*60,0))))</f>
        <v>0</v>
      </c>
      <c r="AE420" s="12">
        <f>IF(VLOOKUP(A420,Data_NV!$A:$I,6,0)="Không",0,IF(Z420&lt;=X420,0,ROUNDDOWN((Z420-X420)*24*60,0)))</f>
        <v>0</v>
      </c>
      <c r="AF420" s="26">
        <f t="shared" si="27"/>
        <v>0</v>
      </c>
      <c r="AG420" s="27" t="str">
        <f>IF(AC420="","",IF(COUNTIFS($AC$3:AC420,"Quên chấm công",$S$3:S420,S420)&gt;3,"Không chấm công do vi phạm quá 3 lần",IF(COUNTIFS($AC$3:AC420,"Quên chấm công",$S$3:S420,S420)&gt;2,"Trừ toàn bộ chuyên cần tháng do vi phạm lần 3",IF(COUNTIFS($AC$3:AC420,"Quên chấm công",$S$3:S420,S420)&gt;1,"Trừ 1/2 ngày lương",50000))))</f>
        <v/>
      </c>
      <c r="AH420" s="12" t="str">
        <f>IF(AF420=0,"",IF(COUNTIFS($AF$3:AF420,"&gt;0",$S$3:S420,S420)&gt;3,"Trừ toàn bộ chuyên cần tháng",""))</f>
        <v/>
      </c>
      <c r="AI420" s="12"/>
    </row>
    <row r="421" spans="1:35" x14ac:dyDescent="0.25">
      <c r="A421" s="4" t="s">
        <v>678</v>
      </c>
      <c r="B421" s="1" t="s">
        <v>679</v>
      </c>
      <c r="C421" s="1" t="s">
        <v>20</v>
      </c>
      <c r="D421" s="1" t="s">
        <v>131</v>
      </c>
      <c r="E421" s="1" t="s">
        <v>22</v>
      </c>
      <c r="F421" s="1" t="s">
        <v>23</v>
      </c>
      <c r="G421" s="1" t="s">
        <v>29</v>
      </c>
      <c r="H421" s="1" t="s">
        <v>743</v>
      </c>
      <c r="I421" s="1" t="s">
        <v>744</v>
      </c>
      <c r="J421" s="1" t="s">
        <v>25</v>
      </c>
      <c r="K421" s="1" t="s">
        <v>745</v>
      </c>
      <c r="L421" s="1" t="s">
        <v>25</v>
      </c>
      <c r="M421" s="1" t="s">
        <v>26</v>
      </c>
      <c r="N421" s="1" t="s">
        <v>25</v>
      </c>
      <c r="O421" s="1" t="s">
        <v>746</v>
      </c>
      <c r="P421" s="1" t="s">
        <v>25</v>
      </c>
      <c r="Q421" s="1" t="s">
        <v>25</v>
      </c>
      <c r="R421" s="85" t="str">
        <f t="shared" si="24"/>
        <v>3745929</v>
      </c>
      <c r="S421" t="str">
        <f>VLOOKUP(A421,Data_NV!$A:$C,3,0)</f>
        <v>Trần Bảo Trâm</v>
      </c>
      <c r="T421" t="str">
        <f>VLOOKUP(A421,Data_NV!$A:$E,4,0)</f>
        <v>Kinh doanh</v>
      </c>
      <c r="U421" s="82">
        <f>DATEVALUE(Table2[[#This Row],[Ngày]])</f>
        <v>45929</v>
      </c>
      <c r="V421" t="str">
        <f>VLOOKUP(A421,Data_NV!$A:$E,5,0)</f>
        <v>Đang làm việc</v>
      </c>
      <c r="W421" s="10">
        <f>VLOOKUP(A421,Data_NV!$A:$I,8,0)</f>
        <v>0.33333333333333331</v>
      </c>
      <c r="X421" s="10">
        <f>VLOOKUP(A421,Data_NV!$A:$I,9,0)</f>
        <v>0.70833333333333337</v>
      </c>
      <c r="Y421" s="10">
        <f>IFERROR(TIMEVALUE(Table2[[#This Row],[Vào]]),0)</f>
        <v>0.32884259259259258</v>
      </c>
      <c r="Z421" s="10">
        <f>IFERROR(TIMEVALUE(Table2[[#This Row],[Ra]]),0)</f>
        <v>0.76164351851851853</v>
      </c>
      <c r="AA421" t="str">
        <f t="shared" si="25"/>
        <v>x</v>
      </c>
      <c r="AB421" s="105">
        <f t="shared" si="26"/>
        <v>0</v>
      </c>
      <c r="AC421" s="12" t="str">
        <f>IF(VLOOKUP(A421,Data_NV!$A:$I,7,0)="Không","",IF(OR(AND(Y421=0,Z421=0),AND(Y421&lt;&gt;0,Z421&lt;&gt;0)),"","Quên chấm công"))</f>
        <v/>
      </c>
      <c r="AD421" s="12">
        <f>IF(VLOOKUP(A421,Data_NV!$A:$I,7,0)="Không",0,IF(AND(Y421=0,Z421=0),0,IF(X421&lt;=Z421,0,ROUNDDOWN((X421-Z421)*24*60,0))))</f>
        <v>0</v>
      </c>
      <c r="AE421" s="12">
        <f>IF(VLOOKUP(A421,Data_NV!$A:$I,6,0)="Không",0,IF(Z421&lt;=X421,0,ROUNDDOWN((Z421-X421)*24*60,0)))</f>
        <v>76</v>
      </c>
      <c r="AF421" s="26">
        <f t="shared" si="27"/>
        <v>0</v>
      </c>
      <c r="AG421" s="27" t="str">
        <f>IF(AC421="","",IF(COUNTIFS($AC$3:AC421,"Quên chấm công",$S$3:S421,S421)&gt;3,"Không chấm công do vi phạm quá 3 lần",IF(COUNTIFS($AC$3:AC421,"Quên chấm công",$S$3:S421,S421)&gt;2,"Trừ toàn bộ chuyên cần tháng do vi phạm lần 3",IF(COUNTIFS($AC$3:AC421,"Quên chấm công",$S$3:S421,S421)&gt;1,"Trừ 1/2 ngày lương",50000))))</f>
        <v/>
      </c>
      <c r="AH421" s="12" t="str">
        <f>IF(AF421=0,"",IF(COUNTIFS($AF$3:AF421,"&gt;0",$S$3:S421,S421)&gt;3,"Trừ toàn bộ chuyên cần tháng",""))</f>
        <v/>
      </c>
      <c r="AI421" s="12"/>
    </row>
    <row r="422" spans="1:35" x14ac:dyDescent="0.25">
      <c r="A422" s="4" t="s">
        <v>678</v>
      </c>
      <c r="B422" s="1" t="s">
        <v>679</v>
      </c>
      <c r="C422" s="1" t="s">
        <v>20</v>
      </c>
      <c r="D422" s="1" t="s">
        <v>136</v>
      </c>
      <c r="E422" s="1" t="s">
        <v>22</v>
      </c>
      <c r="F422" s="1" t="s">
        <v>23</v>
      </c>
      <c r="G422" s="1" t="s">
        <v>747</v>
      </c>
      <c r="H422" s="1" t="s">
        <v>748</v>
      </c>
      <c r="I422" s="1" t="s">
        <v>749</v>
      </c>
      <c r="J422" s="1" t="s">
        <v>699</v>
      </c>
      <c r="K422" s="1" t="s">
        <v>627</v>
      </c>
      <c r="L422" s="1" t="s">
        <v>628</v>
      </c>
      <c r="M422" s="1" t="s">
        <v>627</v>
      </c>
      <c r="N422" s="1" t="s">
        <v>25</v>
      </c>
      <c r="O422" s="1" t="s">
        <v>25</v>
      </c>
      <c r="P422" s="1" t="s">
        <v>25</v>
      </c>
      <c r="Q422" s="1" t="s">
        <v>25</v>
      </c>
      <c r="R422" s="85" t="str">
        <f t="shared" si="24"/>
        <v>3745930</v>
      </c>
      <c r="S422" t="str">
        <f>VLOOKUP(A422,Data_NV!$A:$C,3,0)</f>
        <v>Trần Bảo Trâm</v>
      </c>
      <c r="T422" t="str">
        <f>VLOOKUP(A422,Data_NV!$A:$E,4,0)</f>
        <v>Kinh doanh</v>
      </c>
      <c r="U422" s="82">
        <f>DATEVALUE(Table2[[#This Row],[Ngày]])</f>
        <v>45930</v>
      </c>
      <c r="V422" t="str">
        <f>VLOOKUP(A422,Data_NV!$A:$E,5,0)</f>
        <v>Đang làm việc</v>
      </c>
      <c r="W422" s="10">
        <f>VLOOKUP(A422,Data_NV!$A:$I,8,0)</f>
        <v>0.33333333333333331</v>
      </c>
      <c r="X422" s="10">
        <f>VLOOKUP(A422,Data_NV!$A:$I,9,0)</f>
        <v>0.70833333333333337</v>
      </c>
      <c r="Y422" s="10">
        <f>IFERROR(TIMEVALUE(Table2[[#This Row],[Vào]]),0)</f>
        <v>0.33913194444444444</v>
      </c>
      <c r="Z422" s="10">
        <f>IFERROR(TIMEVALUE(Table2[[#This Row],[Ra]]),0)</f>
        <v>0.70577546296296301</v>
      </c>
      <c r="AA422" t="str">
        <f t="shared" si="25"/>
        <v>x</v>
      </c>
      <c r="AB422" s="105">
        <f t="shared" si="26"/>
        <v>8.3500000000000263</v>
      </c>
      <c r="AC422" s="12" t="str">
        <f>IF(VLOOKUP(A422,Data_NV!$A:$I,7,0)="Không","",IF(OR(AND(Y422=0,Z422=0),AND(Y422&lt;&gt;0,Z422&lt;&gt;0)),"","Quên chấm công"))</f>
        <v/>
      </c>
      <c r="AD422" s="12">
        <f>IF(VLOOKUP(A422,Data_NV!$A:$I,7,0)="Không",0,IF(AND(Y422=0,Z422=0),0,IF(X422&lt;=Z422,0,ROUNDDOWN((X422-Z422)*24*60,0))))</f>
        <v>3</v>
      </c>
      <c r="AE422" s="12">
        <f>IF(VLOOKUP(A422,Data_NV!$A:$I,6,0)="Không",0,IF(Z422&lt;=X422,0,ROUNDDOWN((Z422-X422)*24*60,0)))</f>
        <v>0</v>
      </c>
      <c r="AF422" s="26">
        <f t="shared" si="27"/>
        <v>30000</v>
      </c>
      <c r="AG422" s="27" t="str">
        <f>IF(AC422="","",IF(COUNTIFS($AC$3:AC422,"Quên chấm công",$S$3:S422,S422)&gt;3,"Không chấm công do vi phạm quá 3 lần",IF(COUNTIFS($AC$3:AC422,"Quên chấm công",$S$3:S422,S422)&gt;2,"Trừ toàn bộ chuyên cần tháng do vi phạm lần 3",IF(COUNTIFS($AC$3:AC422,"Quên chấm công",$S$3:S422,S422)&gt;1,"Trừ 1/2 ngày lương",50000))))</f>
        <v/>
      </c>
      <c r="AH422" s="12" t="str">
        <f>IF(AF422=0,"",IF(COUNTIFS($AF$3:AF422,"&gt;0",$S$3:S422,S422)&gt;3,"Trừ toàn bộ chuyên cần tháng",""))</f>
        <v/>
      </c>
      <c r="AI422" s="12"/>
    </row>
    <row r="423" spans="1:35" x14ac:dyDescent="0.25">
      <c r="A423" s="4" t="s">
        <v>750</v>
      </c>
      <c r="B423" s="1" t="s">
        <v>677</v>
      </c>
      <c r="C423" s="1" t="s">
        <v>20</v>
      </c>
      <c r="D423" s="1" t="s">
        <v>21</v>
      </c>
      <c r="E423" s="1" t="s">
        <v>22</v>
      </c>
      <c r="F423" s="1" t="s">
        <v>23</v>
      </c>
      <c r="G423" s="1" t="s">
        <v>12</v>
      </c>
      <c r="H423" s="1" t="s">
        <v>24</v>
      </c>
      <c r="I423" s="1" t="s">
        <v>24</v>
      </c>
      <c r="J423" s="1" t="s">
        <v>25</v>
      </c>
      <c r="K423" s="1" t="s">
        <v>25</v>
      </c>
      <c r="L423" s="1" t="s">
        <v>26</v>
      </c>
      <c r="M423" s="1" t="s">
        <v>25</v>
      </c>
      <c r="N423" s="1" t="s">
        <v>25</v>
      </c>
      <c r="O423" s="1" t="s">
        <v>25</v>
      </c>
      <c r="P423" s="1" t="s">
        <v>25</v>
      </c>
      <c r="Q423" s="1" t="s">
        <v>25</v>
      </c>
      <c r="R423" s="85" t="str">
        <f t="shared" si="24"/>
        <v>3845901</v>
      </c>
      <c r="S423" t="str">
        <f>VLOOKUP(A423,Data_NV!$A:$C,3,0)</f>
        <v>Nguyễn Quốc Thái</v>
      </c>
      <c r="T423" t="str">
        <f>VLOOKUP(A423,Data_NV!$A:$E,4,0)</f>
        <v>Kinh doanh</v>
      </c>
      <c r="U423" s="82">
        <f>DATEVALUE(Table2[[#This Row],[Ngày]])</f>
        <v>45901</v>
      </c>
      <c r="V423" t="str">
        <f>VLOOKUP(A423,Data_NV!$A:$E,5,0)</f>
        <v>Đang làm việc</v>
      </c>
      <c r="W423" s="10">
        <f>VLOOKUP(A423,Data_NV!$A:$I,8,0)</f>
        <v>0.33333333333333331</v>
      </c>
      <c r="X423" s="10">
        <f>VLOOKUP(A423,Data_NV!$A:$I,9,0)</f>
        <v>0.70833333333333337</v>
      </c>
      <c r="Y423" s="10">
        <f>IFERROR(TIMEVALUE(Table2[[#This Row],[Vào]]),0)</f>
        <v>0</v>
      </c>
      <c r="Z423" s="10">
        <f>IFERROR(TIMEVALUE(Table2[[#This Row],[Ra]]),0)</f>
        <v>0</v>
      </c>
      <c r="AA423" s="97" t="s">
        <v>1349</v>
      </c>
      <c r="AB423" s="105">
        <f t="shared" si="26"/>
        <v>0</v>
      </c>
      <c r="AC423" s="12" t="str">
        <f>IF(VLOOKUP(A423,Data_NV!$A:$I,7,0)="Không","",IF(OR(AND(Y423=0,Z423=0),AND(Y423&lt;&gt;0,Z423&lt;&gt;0)),"","Quên chấm công"))</f>
        <v/>
      </c>
      <c r="AD423" s="12">
        <f>IF(VLOOKUP(A423,Data_NV!$A:$I,7,0)="Không",0,IF(AND(Y423=0,Z423=0),0,IF(X423&lt;=Z423,0,ROUNDDOWN((X423-Z423)*24*60,0))))</f>
        <v>0</v>
      </c>
      <c r="AE423" s="12">
        <f>IF(VLOOKUP(A423,Data_NV!$A:$I,6,0)="Không",0,IF(Z423&lt;=X423,0,ROUNDDOWN((Z423-X423)*24*60,0)))</f>
        <v>0</v>
      </c>
      <c r="AF423" s="26">
        <f t="shared" si="27"/>
        <v>0</v>
      </c>
      <c r="AG423" s="27" t="str">
        <f>IF(AC423="","",IF(COUNTIFS($AC$3:AC423,"Quên chấm công",$S$3:S423,S423)&gt;3,"Không chấm công do vi phạm quá 3 lần",IF(COUNTIFS($AC$3:AC423,"Quên chấm công",$S$3:S423,S423)&gt;2,"Trừ toàn bộ chuyên cần tháng do vi phạm lần 3",IF(COUNTIFS($AC$3:AC423,"Quên chấm công",$S$3:S423,S423)&gt;1,"Trừ 1/2 ngày lương",50000))))</f>
        <v/>
      </c>
      <c r="AH423" s="12" t="str">
        <f>IF(AF423=0,"",IF(COUNTIFS($AF$3:AF423,"&gt;0",$S$3:S423,S423)&gt;3,"Trừ toàn bộ chuyên cần tháng",""))</f>
        <v/>
      </c>
      <c r="AI423" s="98" t="s">
        <v>1369</v>
      </c>
    </row>
    <row r="424" spans="1:35" x14ac:dyDescent="0.25">
      <c r="A424" s="4" t="s">
        <v>750</v>
      </c>
      <c r="B424" s="1" t="s">
        <v>677</v>
      </c>
      <c r="C424" s="1" t="s">
        <v>20</v>
      </c>
      <c r="D424" s="1" t="s">
        <v>27</v>
      </c>
      <c r="E424" s="1" t="s">
        <v>22</v>
      </c>
      <c r="F424" s="1" t="s">
        <v>23</v>
      </c>
      <c r="G424" s="1" t="s">
        <v>12</v>
      </c>
      <c r="H424" s="1" t="s">
        <v>24</v>
      </c>
      <c r="I424" s="1" t="s">
        <v>24</v>
      </c>
      <c r="J424" s="1" t="s">
        <v>25</v>
      </c>
      <c r="K424" s="1" t="s">
        <v>25</v>
      </c>
      <c r="L424" s="1" t="s">
        <v>26</v>
      </c>
      <c r="M424" s="1" t="s">
        <v>25</v>
      </c>
      <c r="N424" s="1" t="s">
        <v>25</v>
      </c>
      <c r="O424" s="1" t="s">
        <v>25</v>
      </c>
      <c r="P424" s="1" t="s">
        <v>25</v>
      </c>
      <c r="Q424" s="1" t="s">
        <v>25</v>
      </c>
      <c r="R424" s="85" t="str">
        <f t="shared" si="24"/>
        <v>3845902</v>
      </c>
      <c r="S424" t="str">
        <f>VLOOKUP(A424,Data_NV!$A:$C,3,0)</f>
        <v>Nguyễn Quốc Thái</v>
      </c>
      <c r="T424" t="str">
        <f>VLOOKUP(A424,Data_NV!$A:$E,4,0)</f>
        <v>Kinh doanh</v>
      </c>
      <c r="U424" s="82">
        <f>DATEVALUE(Table2[[#This Row],[Ngày]])</f>
        <v>45902</v>
      </c>
      <c r="V424" t="str">
        <f>VLOOKUP(A424,Data_NV!$A:$E,5,0)</f>
        <v>Đang làm việc</v>
      </c>
      <c r="W424" s="10">
        <f>VLOOKUP(A424,Data_NV!$A:$I,8,0)</f>
        <v>0.33333333333333331</v>
      </c>
      <c r="X424" s="10">
        <f>VLOOKUP(A424,Data_NV!$A:$I,9,0)</f>
        <v>0.70833333333333337</v>
      </c>
      <c r="Y424" s="10">
        <f>IFERROR(TIMEVALUE(Table2[[#This Row],[Vào]]),0)</f>
        <v>0</v>
      </c>
      <c r="Z424" s="10">
        <f>IFERROR(TIMEVALUE(Table2[[#This Row],[Ra]]),0)</f>
        <v>0</v>
      </c>
      <c r="AA424" s="97" t="s">
        <v>1349</v>
      </c>
      <c r="AB424" s="105">
        <f t="shared" si="26"/>
        <v>0</v>
      </c>
      <c r="AC424" s="12" t="str">
        <f>IF(VLOOKUP(A424,Data_NV!$A:$I,7,0)="Không","",IF(OR(AND(Y424=0,Z424=0),AND(Y424&lt;&gt;0,Z424&lt;&gt;0)),"","Quên chấm công"))</f>
        <v/>
      </c>
      <c r="AD424" s="12">
        <f>IF(VLOOKUP(A424,Data_NV!$A:$I,7,0)="Không",0,IF(AND(Y424=0,Z424=0),0,IF(X424&lt;=Z424,0,ROUNDDOWN((X424-Z424)*24*60,0))))</f>
        <v>0</v>
      </c>
      <c r="AE424" s="12">
        <f>IF(VLOOKUP(A424,Data_NV!$A:$I,6,0)="Không",0,IF(Z424&lt;=X424,0,ROUNDDOWN((Z424-X424)*24*60,0)))</f>
        <v>0</v>
      </c>
      <c r="AF424" s="26">
        <f t="shared" si="27"/>
        <v>0</v>
      </c>
      <c r="AG424" s="27" t="str">
        <f>IF(AC424="","",IF(COUNTIFS($AC$3:AC424,"Quên chấm công",$S$3:S424,S424)&gt;3,"Không chấm công do vi phạm quá 3 lần",IF(COUNTIFS($AC$3:AC424,"Quên chấm công",$S$3:S424,S424)&gt;2,"Trừ toàn bộ chuyên cần tháng do vi phạm lần 3",IF(COUNTIFS($AC$3:AC424,"Quên chấm công",$S$3:S424,S424)&gt;1,"Trừ 1/2 ngày lương",50000))))</f>
        <v/>
      </c>
      <c r="AH424" s="12" t="str">
        <f>IF(AF424=0,"",IF(COUNTIFS($AF$3:AF424,"&gt;0",$S$3:S424,S424)&gt;3,"Trừ toàn bộ chuyên cần tháng",""))</f>
        <v/>
      </c>
      <c r="AI424" s="98" t="s">
        <v>1369</v>
      </c>
    </row>
    <row r="425" spans="1:35" x14ac:dyDescent="0.25">
      <c r="A425" s="4" t="s">
        <v>750</v>
      </c>
      <c r="B425" s="1" t="s">
        <v>677</v>
      </c>
      <c r="C425" s="1" t="s">
        <v>20</v>
      </c>
      <c r="D425" s="1" t="s">
        <v>28</v>
      </c>
      <c r="E425" s="1" t="s">
        <v>22</v>
      </c>
      <c r="F425" s="1" t="s">
        <v>23</v>
      </c>
      <c r="G425" s="1" t="s">
        <v>12</v>
      </c>
      <c r="H425" s="1" t="s">
        <v>751</v>
      </c>
      <c r="I425" s="1" t="s">
        <v>24</v>
      </c>
      <c r="J425" s="1" t="s">
        <v>25</v>
      </c>
      <c r="K425" s="1" t="s">
        <v>25</v>
      </c>
      <c r="L425" s="1" t="s">
        <v>26</v>
      </c>
      <c r="M425" s="1" t="s">
        <v>25</v>
      </c>
      <c r="N425" s="1" t="s">
        <v>25</v>
      </c>
      <c r="O425" s="1" t="s">
        <v>25</v>
      </c>
      <c r="P425" s="1" t="s">
        <v>25</v>
      </c>
      <c r="Q425" s="1" t="s">
        <v>25</v>
      </c>
      <c r="R425" s="85" t="str">
        <f t="shared" si="24"/>
        <v>3845903</v>
      </c>
      <c r="S425" t="str">
        <f>VLOOKUP(A425,Data_NV!$A:$C,3,0)</f>
        <v>Nguyễn Quốc Thái</v>
      </c>
      <c r="T425" t="str">
        <f>VLOOKUP(A425,Data_NV!$A:$E,4,0)</f>
        <v>Kinh doanh</v>
      </c>
      <c r="U425" s="82">
        <f>DATEVALUE(Table2[[#This Row],[Ngày]])</f>
        <v>45903</v>
      </c>
      <c r="V425" t="str">
        <f>VLOOKUP(A425,Data_NV!$A:$E,5,0)</f>
        <v>Đang làm việc</v>
      </c>
      <c r="W425" s="10">
        <f>VLOOKUP(A425,Data_NV!$A:$I,8,0)</f>
        <v>0.33333333333333331</v>
      </c>
      <c r="X425" s="10">
        <f>VLOOKUP(A425,Data_NV!$A:$I,9,0)</f>
        <v>0.70833333333333337</v>
      </c>
      <c r="Y425" s="10">
        <f>IFERROR(TIMEVALUE(Table2[[#This Row],[Vào]]),0)</f>
        <v>0.33082175925925927</v>
      </c>
      <c r="Z425" s="10">
        <f>IFERROR(TIMEVALUE(Table2[[#This Row],[Ra]]),0)</f>
        <v>0</v>
      </c>
      <c r="AA425" t="str">
        <f t="shared" si="25"/>
        <v>x</v>
      </c>
      <c r="AB425" s="105">
        <f t="shared" si="26"/>
        <v>0</v>
      </c>
      <c r="AC425" s="12" t="str">
        <f>IF(VLOOKUP(A425,Data_NV!$A:$I,7,0)="Không","",IF(OR(AND(Y425=0,Z425=0),AND(Y425&lt;&gt;0,Z425&lt;&gt;0)),"","Quên chấm công"))</f>
        <v/>
      </c>
      <c r="AD425" s="12">
        <f>IF(VLOOKUP(A425,Data_NV!$A:$I,7,0)="Không",0,IF(AND(Y425=0,Z425=0),0,IF(X425&lt;=Z425,0,ROUNDDOWN((X425-Z425)*24*60,0))))</f>
        <v>0</v>
      </c>
      <c r="AE425" s="12">
        <f>IF(VLOOKUP(A425,Data_NV!$A:$I,6,0)="Không",0,IF(Z425&lt;=X425,0,ROUNDDOWN((Z425-X425)*24*60,0)))</f>
        <v>0</v>
      </c>
      <c r="AF425" s="26">
        <f t="shared" si="27"/>
        <v>0</v>
      </c>
      <c r="AG425" s="27" t="str">
        <f>IF(AC425="","",IF(COUNTIFS($AC$3:AC425,"Quên chấm công",$S$3:S425,S425)&gt;3,"Không chấm công do vi phạm quá 3 lần",IF(COUNTIFS($AC$3:AC425,"Quên chấm công",$S$3:S425,S425)&gt;2,"Trừ toàn bộ chuyên cần tháng do vi phạm lần 3",IF(COUNTIFS($AC$3:AC425,"Quên chấm công",$S$3:S425,S425)&gt;1,"Trừ 1/2 ngày lương",50000))))</f>
        <v/>
      </c>
      <c r="AH425" s="12" t="str">
        <f>IF(AF425=0,"",IF(COUNTIFS($AF$3:AF425,"&gt;0",$S$3:S425,S425)&gt;3,"Trừ toàn bộ chuyên cần tháng",""))</f>
        <v/>
      </c>
      <c r="AI425" s="12"/>
    </row>
    <row r="426" spans="1:35" x14ac:dyDescent="0.25">
      <c r="A426" s="4" t="s">
        <v>750</v>
      </c>
      <c r="B426" s="1" t="s">
        <v>677</v>
      </c>
      <c r="C426" s="1" t="s">
        <v>20</v>
      </c>
      <c r="D426" s="1" t="s">
        <v>35</v>
      </c>
      <c r="E426" s="1" t="s">
        <v>22</v>
      </c>
      <c r="F426" s="1" t="s">
        <v>23</v>
      </c>
      <c r="G426" s="1" t="s">
        <v>12</v>
      </c>
      <c r="H426" s="1" t="s">
        <v>752</v>
      </c>
      <c r="I426" s="1" t="s">
        <v>24</v>
      </c>
      <c r="J426" s="1" t="s">
        <v>25</v>
      </c>
      <c r="K426" s="1" t="s">
        <v>25</v>
      </c>
      <c r="L426" s="1" t="s">
        <v>26</v>
      </c>
      <c r="M426" s="1" t="s">
        <v>25</v>
      </c>
      <c r="N426" s="1" t="s">
        <v>25</v>
      </c>
      <c r="O426" s="1" t="s">
        <v>25</v>
      </c>
      <c r="P426" s="1" t="s">
        <v>25</v>
      </c>
      <c r="Q426" s="1" t="s">
        <v>25</v>
      </c>
      <c r="R426" s="85" t="str">
        <f t="shared" si="24"/>
        <v>3845904</v>
      </c>
      <c r="S426" t="str">
        <f>VLOOKUP(A426,Data_NV!$A:$C,3,0)</f>
        <v>Nguyễn Quốc Thái</v>
      </c>
      <c r="T426" t="str">
        <f>VLOOKUP(A426,Data_NV!$A:$E,4,0)</f>
        <v>Kinh doanh</v>
      </c>
      <c r="U426" s="82">
        <f>DATEVALUE(Table2[[#This Row],[Ngày]])</f>
        <v>45904</v>
      </c>
      <c r="V426" t="str">
        <f>VLOOKUP(A426,Data_NV!$A:$E,5,0)</f>
        <v>Đang làm việc</v>
      </c>
      <c r="W426" s="10">
        <f>VLOOKUP(A426,Data_NV!$A:$I,8,0)</f>
        <v>0.33333333333333331</v>
      </c>
      <c r="X426" s="10">
        <f>VLOOKUP(A426,Data_NV!$A:$I,9,0)</f>
        <v>0.70833333333333337</v>
      </c>
      <c r="Y426" s="10">
        <f>IFERROR(TIMEVALUE(Table2[[#This Row],[Vào]]),0)</f>
        <v>0.33193287037037039</v>
      </c>
      <c r="Z426" s="10">
        <f>IFERROR(TIMEVALUE(Table2[[#This Row],[Ra]]),0)</f>
        <v>0</v>
      </c>
      <c r="AA426" t="str">
        <f t="shared" si="25"/>
        <v>x</v>
      </c>
      <c r="AB426" s="105">
        <f t="shared" si="26"/>
        <v>0</v>
      </c>
      <c r="AC426" s="12" t="str">
        <f>IF(VLOOKUP(A426,Data_NV!$A:$I,7,0)="Không","",IF(OR(AND(Y426=0,Z426=0),AND(Y426&lt;&gt;0,Z426&lt;&gt;0)),"","Quên chấm công"))</f>
        <v/>
      </c>
      <c r="AD426" s="12">
        <f>IF(VLOOKUP(A426,Data_NV!$A:$I,7,0)="Không",0,IF(AND(Y426=0,Z426=0),0,IF(X426&lt;=Z426,0,ROUNDDOWN((X426-Z426)*24*60,0))))</f>
        <v>0</v>
      </c>
      <c r="AE426" s="12">
        <f>IF(VLOOKUP(A426,Data_NV!$A:$I,6,0)="Không",0,IF(Z426&lt;=X426,0,ROUNDDOWN((Z426-X426)*24*60,0)))</f>
        <v>0</v>
      </c>
      <c r="AF426" s="26">
        <f t="shared" si="27"/>
        <v>0</v>
      </c>
      <c r="AG426" s="27" t="str">
        <f>IF(AC426="","",IF(COUNTIFS($AC$3:AC426,"Quên chấm công",$S$3:S426,S426)&gt;3,"Không chấm công do vi phạm quá 3 lần",IF(COUNTIFS($AC$3:AC426,"Quên chấm công",$S$3:S426,S426)&gt;2,"Trừ toàn bộ chuyên cần tháng do vi phạm lần 3",IF(COUNTIFS($AC$3:AC426,"Quên chấm công",$S$3:S426,S426)&gt;1,"Trừ 1/2 ngày lương",50000))))</f>
        <v/>
      </c>
      <c r="AH426" s="12" t="str">
        <f>IF(AF426=0,"",IF(COUNTIFS($AF$3:AF426,"&gt;0",$S$3:S426,S426)&gt;3,"Trừ toàn bộ chuyên cần tháng",""))</f>
        <v/>
      </c>
      <c r="AI426" s="12"/>
    </row>
    <row r="427" spans="1:35" x14ac:dyDescent="0.25">
      <c r="A427" s="4" t="s">
        <v>750</v>
      </c>
      <c r="B427" s="1" t="s">
        <v>677</v>
      </c>
      <c r="C427" s="1" t="s">
        <v>20</v>
      </c>
      <c r="D427" s="1" t="s">
        <v>37</v>
      </c>
      <c r="E427" s="1" t="s">
        <v>22</v>
      </c>
      <c r="F427" s="1" t="s">
        <v>23</v>
      </c>
      <c r="G427" s="1" t="s">
        <v>12</v>
      </c>
      <c r="H427" s="1" t="s">
        <v>753</v>
      </c>
      <c r="I427" s="1" t="s">
        <v>24</v>
      </c>
      <c r="J427" s="1" t="s">
        <v>25</v>
      </c>
      <c r="K427" s="1" t="s">
        <v>25</v>
      </c>
      <c r="L427" s="1" t="s">
        <v>26</v>
      </c>
      <c r="M427" s="1" t="s">
        <v>25</v>
      </c>
      <c r="N427" s="1" t="s">
        <v>25</v>
      </c>
      <c r="O427" s="1" t="s">
        <v>25</v>
      </c>
      <c r="P427" s="1" t="s">
        <v>25</v>
      </c>
      <c r="Q427" s="1" t="s">
        <v>25</v>
      </c>
      <c r="R427" s="85" t="str">
        <f t="shared" si="24"/>
        <v>3845905</v>
      </c>
      <c r="S427" t="str">
        <f>VLOOKUP(A427,Data_NV!$A:$C,3,0)</f>
        <v>Nguyễn Quốc Thái</v>
      </c>
      <c r="T427" t="str">
        <f>VLOOKUP(A427,Data_NV!$A:$E,4,0)</f>
        <v>Kinh doanh</v>
      </c>
      <c r="U427" s="82">
        <f>DATEVALUE(Table2[[#This Row],[Ngày]])</f>
        <v>45905</v>
      </c>
      <c r="V427" t="str">
        <f>VLOOKUP(A427,Data_NV!$A:$E,5,0)</f>
        <v>Đang làm việc</v>
      </c>
      <c r="W427" s="10">
        <f>VLOOKUP(A427,Data_NV!$A:$I,8,0)</f>
        <v>0.33333333333333331</v>
      </c>
      <c r="X427" s="10">
        <f>VLOOKUP(A427,Data_NV!$A:$I,9,0)</f>
        <v>0.70833333333333337</v>
      </c>
      <c r="Y427" s="10">
        <f>IFERROR(TIMEVALUE(Table2[[#This Row],[Vào]]),0)</f>
        <v>0.32472222222222225</v>
      </c>
      <c r="Z427" s="10">
        <f>IFERROR(TIMEVALUE(Table2[[#This Row],[Ra]]),0)</f>
        <v>0</v>
      </c>
      <c r="AA427" t="str">
        <f t="shared" si="25"/>
        <v>x</v>
      </c>
      <c r="AB427" s="105">
        <f t="shared" si="26"/>
        <v>0</v>
      </c>
      <c r="AC427" s="12" t="str">
        <f>IF(VLOOKUP(A427,Data_NV!$A:$I,7,0)="Không","",IF(OR(AND(Y427=0,Z427=0),AND(Y427&lt;&gt;0,Z427&lt;&gt;0)),"","Quên chấm công"))</f>
        <v/>
      </c>
      <c r="AD427" s="12">
        <f>IF(VLOOKUP(A427,Data_NV!$A:$I,7,0)="Không",0,IF(AND(Y427=0,Z427=0),0,IF(X427&lt;=Z427,0,ROUNDDOWN((X427-Z427)*24*60,0))))</f>
        <v>0</v>
      </c>
      <c r="AE427" s="12">
        <f>IF(VLOOKUP(A427,Data_NV!$A:$I,6,0)="Không",0,IF(Z427&lt;=X427,0,ROUNDDOWN((Z427-X427)*24*60,0)))</f>
        <v>0</v>
      </c>
      <c r="AF427" s="26">
        <f t="shared" si="27"/>
        <v>0</v>
      </c>
      <c r="AG427" s="27" t="str">
        <f>IF(AC427="","",IF(COUNTIFS($AC$3:AC427,"Quên chấm công",$S$3:S427,S427)&gt;3,"Không chấm công do vi phạm quá 3 lần",IF(COUNTIFS($AC$3:AC427,"Quên chấm công",$S$3:S427,S427)&gt;2,"Trừ toàn bộ chuyên cần tháng do vi phạm lần 3",IF(COUNTIFS($AC$3:AC427,"Quên chấm công",$S$3:S427,S427)&gt;1,"Trừ 1/2 ngày lương",50000))))</f>
        <v/>
      </c>
      <c r="AH427" s="12" t="str">
        <f>IF(AF427=0,"",IF(COUNTIFS($AF$3:AF427,"&gt;0",$S$3:S427,S427)&gt;3,"Trừ toàn bộ chuyên cần tháng",""))</f>
        <v/>
      </c>
      <c r="AI427" s="12"/>
    </row>
    <row r="428" spans="1:35" x14ac:dyDescent="0.25">
      <c r="A428" s="4" t="s">
        <v>750</v>
      </c>
      <c r="B428" s="1" t="s">
        <v>677</v>
      </c>
      <c r="C428" s="1" t="s">
        <v>20</v>
      </c>
      <c r="D428" s="1" t="s">
        <v>42</v>
      </c>
      <c r="E428" s="1" t="s">
        <v>22</v>
      </c>
      <c r="F428" s="1" t="s">
        <v>23</v>
      </c>
      <c r="G428" s="1" t="s">
        <v>12</v>
      </c>
      <c r="H428" s="1" t="s">
        <v>754</v>
      </c>
      <c r="I428" s="1" t="s">
        <v>24</v>
      </c>
      <c r="J428" s="1" t="s">
        <v>25</v>
      </c>
      <c r="K428" s="1" t="s">
        <v>25</v>
      </c>
      <c r="L428" s="1" t="s">
        <v>26</v>
      </c>
      <c r="M428" s="1" t="s">
        <v>25</v>
      </c>
      <c r="N428" s="1" t="s">
        <v>25</v>
      </c>
      <c r="O428" s="1" t="s">
        <v>25</v>
      </c>
      <c r="P428" s="1" t="s">
        <v>25</v>
      </c>
      <c r="Q428" s="1" t="s">
        <v>25</v>
      </c>
      <c r="R428" s="85" t="str">
        <f t="shared" si="24"/>
        <v>3845906</v>
      </c>
      <c r="S428" t="str">
        <f>VLOOKUP(A428,Data_NV!$A:$C,3,0)</f>
        <v>Nguyễn Quốc Thái</v>
      </c>
      <c r="T428" t="str">
        <f>VLOOKUP(A428,Data_NV!$A:$E,4,0)</f>
        <v>Kinh doanh</v>
      </c>
      <c r="U428" s="82">
        <f>DATEVALUE(Table2[[#This Row],[Ngày]])</f>
        <v>45906</v>
      </c>
      <c r="V428" t="str">
        <f>VLOOKUP(A428,Data_NV!$A:$E,5,0)</f>
        <v>Đang làm việc</v>
      </c>
      <c r="W428" s="10">
        <f>VLOOKUP(A428,Data_NV!$A:$I,8,0)</f>
        <v>0.33333333333333331</v>
      </c>
      <c r="X428" s="10">
        <f>VLOOKUP(A428,Data_NV!$A:$I,9,0)</f>
        <v>0.70833333333333337</v>
      </c>
      <c r="Y428" s="10">
        <f>IFERROR(TIMEVALUE(Table2[[#This Row],[Vào]]),0)</f>
        <v>0.32024305555555554</v>
      </c>
      <c r="Z428" s="10">
        <f>IFERROR(TIMEVALUE(Table2[[#This Row],[Ra]]),0)</f>
        <v>0</v>
      </c>
      <c r="AA428" t="str">
        <f t="shared" si="25"/>
        <v>x</v>
      </c>
      <c r="AB428" s="105">
        <f t="shared" si="26"/>
        <v>0</v>
      </c>
      <c r="AC428" s="12" t="str">
        <f>IF(VLOOKUP(A428,Data_NV!$A:$I,7,0)="Không","",IF(OR(AND(Y428=0,Z428=0),AND(Y428&lt;&gt;0,Z428&lt;&gt;0)),"","Quên chấm công"))</f>
        <v/>
      </c>
      <c r="AD428" s="12">
        <f>IF(VLOOKUP(A428,Data_NV!$A:$I,7,0)="Không",0,IF(AND(Y428=0,Z428=0),0,IF(X428&lt;=Z428,0,ROUNDDOWN((X428-Z428)*24*60,0))))</f>
        <v>0</v>
      </c>
      <c r="AE428" s="12">
        <f>IF(VLOOKUP(A428,Data_NV!$A:$I,6,0)="Không",0,IF(Z428&lt;=X428,0,ROUNDDOWN((Z428-X428)*24*60,0)))</f>
        <v>0</v>
      </c>
      <c r="AF428" s="26">
        <f t="shared" si="27"/>
        <v>0</v>
      </c>
      <c r="AG428" s="27" t="str">
        <f>IF(AC428="","",IF(COUNTIFS($AC$3:AC428,"Quên chấm công",$S$3:S428,S428)&gt;3,"Không chấm công do vi phạm quá 3 lần",IF(COUNTIFS($AC$3:AC428,"Quên chấm công",$S$3:S428,S428)&gt;2,"Trừ toàn bộ chuyên cần tháng do vi phạm lần 3",IF(COUNTIFS($AC$3:AC428,"Quên chấm công",$S$3:S428,S428)&gt;1,"Trừ 1/2 ngày lương",50000))))</f>
        <v/>
      </c>
      <c r="AH428" s="12" t="str">
        <f>IF(AF428=0,"",IF(COUNTIFS($AF$3:AF428,"&gt;0",$S$3:S428,S428)&gt;3,"Trừ toàn bộ chuyên cần tháng",""))</f>
        <v/>
      </c>
      <c r="AI428" s="12"/>
    </row>
    <row r="429" spans="1:35" x14ac:dyDescent="0.25">
      <c r="A429" s="4" t="s">
        <v>750</v>
      </c>
      <c r="B429" s="1" t="s">
        <v>677</v>
      </c>
      <c r="C429" s="1" t="s">
        <v>20</v>
      </c>
      <c r="D429" s="1" t="s">
        <v>47</v>
      </c>
      <c r="E429" s="1" t="s">
        <v>22</v>
      </c>
      <c r="F429" s="1" t="s">
        <v>23</v>
      </c>
      <c r="G429" s="1" t="s">
        <v>12</v>
      </c>
      <c r="H429" s="1" t="s">
        <v>24</v>
      </c>
      <c r="I429" s="1" t="s">
        <v>24</v>
      </c>
      <c r="J429" s="1" t="s">
        <v>25</v>
      </c>
      <c r="K429" s="1" t="s">
        <v>25</v>
      </c>
      <c r="L429" s="1" t="s">
        <v>26</v>
      </c>
      <c r="M429" s="1" t="s">
        <v>25</v>
      </c>
      <c r="N429" s="1" t="s">
        <v>25</v>
      </c>
      <c r="O429" s="1" t="s">
        <v>25</v>
      </c>
      <c r="P429" s="1" t="s">
        <v>25</v>
      </c>
      <c r="Q429" s="1" t="s">
        <v>25</v>
      </c>
      <c r="R429" s="85" t="str">
        <f t="shared" si="24"/>
        <v>3845907</v>
      </c>
      <c r="S429" t="str">
        <f>VLOOKUP(A429,Data_NV!$A:$C,3,0)</f>
        <v>Nguyễn Quốc Thái</v>
      </c>
      <c r="T429" t="str">
        <f>VLOOKUP(A429,Data_NV!$A:$E,4,0)</f>
        <v>Kinh doanh</v>
      </c>
      <c r="U429" s="82">
        <f>DATEVALUE(Table2[[#This Row],[Ngày]])</f>
        <v>45907</v>
      </c>
      <c r="V429" t="str">
        <f>VLOOKUP(A429,Data_NV!$A:$E,5,0)</f>
        <v>Đang làm việc</v>
      </c>
      <c r="W429" s="10">
        <f>VLOOKUP(A429,Data_NV!$A:$I,8,0)</f>
        <v>0.33333333333333331</v>
      </c>
      <c r="X429" s="10">
        <f>VLOOKUP(A429,Data_NV!$A:$I,9,0)</f>
        <v>0.70833333333333337</v>
      </c>
      <c r="Y429" s="10">
        <f>IFERROR(TIMEVALUE(Table2[[#This Row],[Vào]]),0)</f>
        <v>0</v>
      </c>
      <c r="Z429" s="10">
        <f>IFERROR(TIMEVALUE(Table2[[#This Row],[Ra]]),0)</f>
        <v>0</v>
      </c>
      <c r="AA429" t="str">
        <f t="shared" si="25"/>
        <v>Chủ nhật</v>
      </c>
      <c r="AB429" s="105">
        <f t="shared" si="26"/>
        <v>0</v>
      </c>
      <c r="AC429" s="12" t="str">
        <f>IF(VLOOKUP(A429,Data_NV!$A:$I,7,0)="Không","",IF(OR(AND(Y429=0,Z429=0),AND(Y429&lt;&gt;0,Z429&lt;&gt;0)),"","Quên chấm công"))</f>
        <v/>
      </c>
      <c r="AD429" s="12">
        <f>IF(VLOOKUP(A429,Data_NV!$A:$I,7,0)="Không",0,IF(AND(Y429=0,Z429=0),0,IF(X429&lt;=Z429,0,ROUNDDOWN((X429-Z429)*24*60,0))))</f>
        <v>0</v>
      </c>
      <c r="AE429" s="12">
        <f>IF(VLOOKUP(A429,Data_NV!$A:$I,6,0)="Không",0,IF(Z429&lt;=X429,0,ROUNDDOWN((Z429-X429)*24*60,0)))</f>
        <v>0</v>
      </c>
      <c r="AF429" s="26">
        <f t="shared" si="27"/>
        <v>0</v>
      </c>
      <c r="AG429" s="27" t="str">
        <f>IF(AC429="","",IF(COUNTIFS($AC$3:AC429,"Quên chấm công",$S$3:S429,S429)&gt;3,"Không chấm công do vi phạm quá 3 lần",IF(COUNTIFS($AC$3:AC429,"Quên chấm công",$S$3:S429,S429)&gt;2,"Trừ toàn bộ chuyên cần tháng do vi phạm lần 3",IF(COUNTIFS($AC$3:AC429,"Quên chấm công",$S$3:S429,S429)&gt;1,"Trừ 1/2 ngày lương",50000))))</f>
        <v/>
      </c>
      <c r="AH429" s="12" t="str">
        <f>IF(AF429=0,"",IF(COUNTIFS($AF$3:AF429,"&gt;0",$S$3:S429,S429)&gt;3,"Trừ toàn bộ chuyên cần tháng",""))</f>
        <v/>
      </c>
      <c r="AI429" s="12"/>
    </row>
    <row r="430" spans="1:35" x14ac:dyDescent="0.25">
      <c r="A430" s="4" t="s">
        <v>750</v>
      </c>
      <c r="B430" s="1" t="s">
        <v>677</v>
      </c>
      <c r="C430" s="1" t="s">
        <v>20</v>
      </c>
      <c r="D430" s="1" t="s">
        <v>48</v>
      </c>
      <c r="E430" s="1" t="s">
        <v>22</v>
      </c>
      <c r="F430" s="1" t="s">
        <v>23</v>
      </c>
      <c r="G430" s="1" t="s">
        <v>12</v>
      </c>
      <c r="H430" s="1" t="s">
        <v>755</v>
      </c>
      <c r="I430" s="1" t="s">
        <v>24</v>
      </c>
      <c r="J430" s="1" t="s">
        <v>358</v>
      </c>
      <c r="K430" s="1" t="s">
        <v>25</v>
      </c>
      <c r="L430" s="1" t="s">
        <v>26</v>
      </c>
      <c r="M430" s="1" t="s">
        <v>25</v>
      </c>
      <c r="N430" s="1" t="s">
        <v>25</v>
      </c>
      <c r="O430" s="1" t="s">
        <v>25</v>
      </c>
      <c r="P430" s="1" t="s">
        <v>25</v>
      </c>
      <c r="Q430" s="1" t="s">
        <v>25</v>
      </c>
      <c r="R430" s="85" t="str">
        <f t="shared" si="24"/>
        <v>3845908</v>
      </c>
      <c r="S430" t="str">
        <f>VLOOKUP(A430,Data_NV!$A:$C,3,0)</f>
        <v>Nguyễn Quốc Thái</v>
      </c>
      <c r="T430" t="str">
        <f>VLOOKUP(A430,Data_NV!$A:$E,4,0)</f>
        <v>Kinh doanh</v>
      </c>
      <c r="U430" s="82">
        <f>DATEVALUE(Table2[[#This Row],[Ngày]])</f>
        <v>45908</v>
      </c>
      <c r="V430" t="str">
        <f>VLOOKUP(A430,Data_NV!$A:$E,5,0)</f>
        <v>Đang làm việc</v>
      </c>
      <c r="W430" s="10">
        <f>VLOOKUP(A430,Data_NV!$A:$I,8,0)</f>
        <v>0.33333333333333331</v>
      </c>
      <c r="X430" s="10">
        <f>VLOOKUP(A430,Data_NV!$A:$I,9,0)</f>
        <v>0.70833333333333337</v>
      </c>
      <c r="Y430" s="10">
        <f>IFERROR(TIMEVALUE(Table2[[#This Row],[Vào]]),0)</f>
        <v>0.3338888888888889</v>
      </c>
      <c r="Z430" s="10">
        <f>IFERROR(TIMEVALUE(Table2[[#This Row],[Ra]]),0)</f>
        <v>0</v>
      </c>
      <c r="AA430" t="str">
        <f t="shared" si="25"/>
        <v>x</v>
      </c>
      <c r="AB430" s="105">
        <f t="shared" si="26"/>
        <v>0.80000000000004512</v>
      </c>
      <c r="AC430" s="12" t="str">
        <f>IF(VLOOKUP(A430,Data_NV!$A:$I,7,0)="Không","",IF(OR(AND(Y430=0,Z430=0),AND(Y430&lt;&gt;0,Z430&lt;&gt;0)),"","Quên chấm công"))</f>
        <v/>
      </c>
      <c r="AD430" s="12">
        <f>IF(VLOOKUP(A430,Data_NV!$A:$I,7,0)="Không",0,IF(AND(Y430=0,Z430=0),0,IF(X430&lt;=Z430,0,ROUNDDOWN((X430-Z430)*24*60,0))))</f>
        <v>0</v>
      </c>
      <c r="AE430" s="12">
        <f>IF(VLOOKUP(A430,Data_NV!$A:$I,6,0)="Không",0,IF(Z430&lt;=X430,0,ROUNDDOWN((Z430-X430)*24*60,0)))</f>
        <v>0</v>
      </c>
      <c r="AF430" s="26">
        <f t="shared" si="27"/>
        <v>0</v>
      </c>
      <c r="AG430" s="27" t="str">
        <f>IF(AC430="","",IF(COUNTIFS($AC$3:AC430,"Quên chấm công",$S$3:S430,S430)&gt;3,"Không chấm công do vi phạm quá 3 lần",IF(COUNTIFS($AC$3:AC430,"Quên chấm công",$S$3:S430,S430)&gt;2,"Trừ toàn bộ chuyên cần tháng do vi phạm lần 3",IF(COUNTIFS($AC$3:AC430,"Quên chấm công",$S$3:S430,S430)&gt;1,"Trừ 1/2 ngày lương",50000))))</f>
        <v/>
      </c>
      <c r="AH430" s="12" t="str">
        <f>IF(AF430=0,"",IF(COUNTIFS($AF$3:AF430,"&gt;0",$S$3:S430,S430)&gt;3,"Trừ toàn bộ chuyên cần tháng",""))</f>
        <v/>
      </c>
      <c r="AI430" s="12"/>
    </row>
    <row r="431" spans="1:35" x14ac:dyDescent="0.25">
      <c r="A431" s="4" t="s">
        <v>750</v>
      </c>
      <c r="B431" s="1" t="s">
        <v>677</v>
      </c>
      <c r="C431" s="1" t="s">
        <v>20</v>
      </c>
      <c r="D431" s="1" t="s">
        <v>53</v>
      </c>
      <c r="E431" s="1" t="s">
        <v>22</v>
      </c>
      <c r="F431" s="1" t="s">
        <v>23</v>
      </c>
      <c r="G431" s="1" t="s">
        <v>12</v>
      </c>
      <c r="H431" s="1" t="s">
        <v>756</v>
      </c>
      <c r="I431" s="1" t="s">
        <v>24</v>
      </c>
      <c r="J431" s="1" t="s">
        <v>682</v>
      </c>
      <c r="K431" s="1" t="s">
        <v>25</v>
      </c>
      <c r="L431" s="1" t="s">
        <v>26</v>
      </c>
      <c r="M431" s="1" t="s">
        <v>25</v>
      </c>
      <c r="N431" s="1" t="s">
        <v>25</v>
      </c>
      <c r="O431" s="1" t="s">
        <v>25</v>
      </c>
      <c r="P431" s="1" t="s">
        <v>25</v>
      </c>
      <c r="Q431" s="1" t="s">
        <v>25</v>
      </c>
      <c r="R431" s="85" t="str">
        <f t="shared" si="24"/>
        <v>3845909</v>
      </c>
      <c r="S431" t="str">
        <f>VLOOKUP(A431,Data_NV!$A:$C,3,0)</f>
        <v>Nguyễn Quốc Thái</v>
      </c>
      <c r="T431" t="str">
        <f>VLOOKUP(A431,Data_NV!$A:$E,4,0)</f>
        <v>Kinh doanh</v>
      </c>
      <c r="U431" s="82">
        <f>DATEVALUE(Table2[[#This Row],[Ngày]])</f>
        <v>45909</v>
      </c>
      <c r="V431" t="str">
        <f>VLOOKUP(A431,Data_NV!$A:$E,5,0)</f>
        <v>Đang làm việc</v>
      </c>
      <c r="W431" s="10">
        <f>VLOOKUP(A431,Data_NV!$A:$I,8,0)</f>
        <v>0.33333333333333331</v>
      </c>
      <c r="X431" s="10">
        <f>VLOOKUP(A431,Data_NV!$A:$I,9,0)</f>
        <v>0.70833333333333337</v>
      </c>
      <c r="Y431" s="10">
        <f>IFERROR(TIMEVALUE(Table2[[#This Row],[Vào]]),0)</f>
        <v>0.33696759259259257</v>
      </c>
      <c r="Z431" s="10">
        <f>IFERROR(TIMEVALUE(Table2[[#This Row],[Ra]]),0)</f>
        <v>0</v>
      </c>
      <c r="AA431" t="str">
        <f t="shared" si="25"/>
        <v>x</v>
      </c>
      <c r="AB431" s="105">
        <f t="shared" si="26"/>
        <v>5.2333333333333254</v>
      </c>
      <c r="AC431" s="12" t="str">
        <f>IF(VLOOKUP(A431,Data_NV!$A:$I,7,0)="Không","",IF(OR(AND(Y431=0,Z431=0),AND(Y431&lt;&gt;0,Z431&lt;&gt;0)),"","Quên chấm công"))</f>
        <v/>
      </c>
      <c r="AD431" s="12">
        <f>IF(VLOOKUP(A431,Data_NV!$A:$I,7,0)="Không",0,IF(AND(Y431=0,Z431=0),0,IF(X431&lt;=Z431,0,ROUNDDOWN((X431-Z431)*24*60,0))))</f>
        <v>0</v>
      </c>
      <c r="AE431" s="12">
        <f>IF(VLOOKUP(A431,Data_NV!$A:$I,6,0)="Không",0,IF(Z431&lt;=X431,0,ROUNDDOWN((Z431-X431)*24*60,0)))</f>
        <v>0</v>
      </c>
      <c r="AF431" s="26">
        <f t="shared" si="27"/>
        <v>0</v>
      </c>
      <c r="AG431" s="27" t="str">
        <f>IF(AC431="","",IF(COUNTIFS($AC$3:AC431,"Quên chấm công",$S$3:S431,S431)&gt;3,"Không chấm công do vi phạm quá 3 lần",IF(COUNTIFS($AC$3:AC431,"Quên chấm công",$S$3:S431,S431)&gt;2,"Trừ toàn bộ chuyên cần tháng do vi phạm lần 3",IF(COUNTIFS($AC$3:AC431,"Quên chấm công",$S$3:S431,S431)&gt;1,"Trừ 1/2 ngày lương",50000))))</f>
        <v/>
      </c>
      <c r="AH431" s="12" t="str">
        <f>IF(AF431=0,"",IF(COUNTIFS($AF$3:AF431,"&gt;0",$S$3:S431,S431)&gt;3,"Trừ toàn bộ chuyên cần tháng",""))</f>
        <v/>
      </c>
      <c r="AI431" s="12"/>
    </row>
    <row r="432" spans="1:35" x14ac:dyDescent="0.25">
      <c r="A432" s="4" t="s">
        <v>750</v>
      </c>
      <c r="B432" s="1" t="s">
        <v>677</v>
      </c>
      <c r="C432" s="1" t="s">
        <v>20</v>
      </c>
      <c r="D432" s="1" t="s">
        <v>58</v>
      </c>
      <c r="E432" s="1" t="s">
        <v>22</v>
      </c>
      <c r="F432" s="1" t="s">
        <v>23</v>
      </c>
      <c r="G432" s="1" t="s">
        <v>12</v>
      </c>
      <c r="H432" s="1" t="s">
        <v>757</v>
      </c>
      <c r="I432" s="1" t="s">
        <v>24</v>
      </c>
      <c r="J432" s="1" t="s">
        <v>691</v>
      </c>
      <c r="K432" s="1" t="s">
        <v>25</v>
      </c>
      <c r="L432" s="1" t="s">
        <v>26</v>
      </c>
      <c r="M432" s="1" t="s">
        <v>25</v>
      </c>
      <c r="N432" s="1" t="s">
        <v>25</v>
      </c>
      <c r="O432" s="1" t="s">
        <v>25</v>
      </c>
      <c r="P432" s="1" t="s">
        <v>25</v>
      </c>
      <c r="Q432" s="1" t="s">
        <v>25</v>
      </c>
      <c r="R432" s="85" t="str">
        <f t="shared" si="24"/>
        <v>3845910</v>
      </c>
      <c r="S432" t="str">
        <f>VLOOKUP(A432,Data_NV!$A:$C,3,0)</f>
        <v>Nguyễn Quốc Thái</v>
      </c>
      <c r="T432" t="str">
        <f>VLOOKUP(A432,Data_NV!$A:$E,4,0)</f>
        <v>Kinh doanh</v>
      </c>
      <c r="U432" s="82">
        <f>DATEVALUE(Table2[[#This Row],[Ngày]])</f>
        <v>45910</v>
      </c>
      <c r="V432" t="str">
        <f>VLOOKUP(A432,Data_NV!$A:$E,5,0)</f>
        <v>Đang làm việc</v>
      </c>
      <c r="W432" s="10">
        <f>VLOOKUP(A432,Data_NV!$A:$I,8,0)</f>
        <v>0.33333333333333331</v>
      </c>
      <c r="X432" s="10">
        <f>VLOOKUP(A432,Data_NV!$A:$I,9,0)</f>
        <v>0.70833333333333337</v>
      </c>
      <c r="Y432" s="10">
        <f>IFERROR(TIMEVALUE(Table2[[#This Row],[Vào]]),0)</f>
        <v>0.3351851851851852</v>
      </c>
      <c r="Z432" s="10">
        <f>IFERROR(TIMEVALUE(Table2[[#This Row],[Ra]]),0)</f>
        <v>0</v>
      </c>
      <c r="AA432" t="str">
        <f t="shared" si="25"/>
        <v>x</v>
      </c>
      <c r="AB432" s="105">
        <f t="shared" si="26"/>
        <v>2.6666666666667105</v>
      </c>
      <c r="AC432" s="12" t="str">
        <f>IF(VLOOKUP(A432,Data_NV!$A:$I,7,0)="Không","",IF(OR(AND(Y432=0,Z432=0),AND(Y432&lt;&gt;0,Z432&lt;&gt;0)),"","Quên chấm công"))</f>
        <v/>
      </c>
      <c r="AD432" s="12">
        <f>IF(VLOOKUP(A432,Data_NV!$A:$I,7,0)="Không",0,IF(AND(Y432=0,Z432=0),0,IF(X432&lt;=Z432,0,ROUNDDOWN((X432-Z432)*24*60,0))))</f>
        <v>0</v>
      </c>
      <c r="AE432" s="12">
        <f>IF(VLOOKUP(A432,Data_NV!$A:$I,6,0)="Không",0,IF(Z432&lt;=X432,0,ROUNDDOWN((Z432-X432)*24*60,0)))</f>
        <v>0</v>
      </c>
      <c r="AF432" s="26">
        <f t="shared" si="27"/>
        <v>0</v>
      </c>
      <c r="AG432" s="27" t="str">
        <f>IF(AC432="","",IF(COUNTIFS($AC$3:AC432,"Quên chấm công",$S$3:S432,S432)&gt;3,"Không chấm công do vi phạm quá 3 lần",IF(COUNTIFS($AC$3:AC432,"Quên chấm công",$S$3:S432,S432)&gt;2,"Trừ toàn bộ chuyên cần tháng do vi phạm lần 3",IF(COUNTIFS($AC$3:AC432,"Quên chấm công",$S$3:S432,S432)&gt;1,"Trừ 1/2 ngày lương",50000))))</f>
        <v/>
      </c>
      <c r="AH432" s="12" t="str">
        <f>IF(AF432=0,"",IF(COUNTIFS($AF$3:AF432,"&gt;0",$S$3:S432,S432)&gt;3,"Trừ toàn bộ chuyên cần tháng",""))</f>
        <v/>
      </c>
      <c r="AI432" s="12"/>
    </row>
    <row r="433" spans="1:35" x14ac:dyDescent="0.25">
      <c r="A433" s="4" t="s">
        <v>750</v>
      </c>
      <c r="B433" s="1" t="s">
        <v>677</v>
      </c>
      <c r="C433" s="1" t="s">
        <v>20</v>
      </c>
      <c r="D433" s="1" t="s">
        <v>63</v>
      </c>
      <c r="E433" s="1" t="s">
        <v>22</v>
      </c>
      <c r="F433" s="1" t="s">
        <v>23</v>
      </c>
      <c r="G433" s="1" t="s">
        <v>12</v>
      </c>
      <c r="H433" s="1" t="s">
        <v>758</v>
      </c>
      <c r="I433" s="1" t="s">
        <v>24</v>
      </c>
      <c r="J433" s="1" t="s">
        <v>25</v>
      </c>
      <c r="K433" s="1" t="s">
        <v>25</v>
      </c>
      <c r="L433" s="1" t="s">
        <v>26</v>
      </c>
      <c r="M433" s="1" t="s">
        <v>25</v>
      </c>
      <c r="N433" s="1" t="s">
        <v>25</v>
      </c>
      <c r="O433" s="1" t="s">
        <v>25</v>
      </c>
      <c r="P433" s="1" t="s">
        <v>25</v>
      </c>
      <c r="Q433" s="1" t="s">
        <v>25</v>
      </c>
      <c r="R433" s="85" t="str">
        <f t="shared" si="24"/>
        <v>3845911</v>
      </c>
      <c r="S433" t="str">
        <f>VLOOKUP(A433,Data_NV!$A:$C,3,0)</f>
        <v>Nguyễn Quốc Thái</v>
      </c>
      <c r="T433" t="str">
        <f>VLOOKUP(A433,Data_NV!$A:$E,4,0)</f>
        <v>Kinh doanh</v>
      </c>
      <c r="U433" s="82">
        <f>DATEVALUE(Table2[[#This Row],[Ngày]])</f>
        <v>45911</v>
      </c>
      <c r="V433" t="str">
        <f>VLOOKUP(A433,Data_NV!$A:$E,5,0)</f>
        <v>Đang làm việc</v>
      </c>
      <c r="W433" s="10">
        <f>VLOOKUP(A433,Data_NV!$A:$I,8,0)</f>
        <v>0.33333333333333331</v>
      </c>
      <c r="X433" s="10">
        <f>VLOOKUP(A433,Data_NV!$A:$I,9,0)</f>
        <v>0.70833333333333337</v>
      </c>
      <c r="Y433" s="10">
        <f>IFERROR(TIMEVALUE(Table2[[#This Row],[Vào]]),0)</f>
        <v>0.33013888888888887</v>
      </c>
      <c r="Z433" s="10">
        <f>IFERROR(TIMEVALUE(Table2[[#This Row],[Ra]]),0)</f>
        <v>0</v>
      </c>
      <c r="AA433" t="str">
        <f t="shared" si="25"/>
        <v>x</v>
      </c>
      <c r="AB433" s="105">
        <f t="shared" si="26"/>
        <v>0</v>
      </c>
      <c r="AC433" s="12" t="str">
        <f>IF(VLOOKUP(A433,Data_NV!$A:$I,7,0)="Không","",IF(OR(AND(Y433=0,Z433=0),AND(Y433&lt;&gt;0,Z433&lt;&gt;0)),"","Quên chấm công"))</f>
        <v/>
      </c>
      <c r="AD433" s="12">
        <f>IF(VLOOKUP(A433,Data_NV!$A:$I,7,0)="Không",0,IF(AND(Y433=0,Z433=0),0,IF(X433&lt;=Z433,0,ROUNDDOWN((X433-Z433)*24*60,0))))</f>
        <v>0</v>
      </c>
      <c r="AE433" s="12">
        <f>IF(VLOOKUP(A433,Data_NV!$A:$I,6,0)="Không",0,IF(Z433&lt;=X433,0,ROUNDDOWN((Z433-X433)*24*60,0)))</f>
        <v>0</v>
      </c>
      <c r="AF433" s="26">
        <f t="shared" si="27"/>
        <v>0</v>
      </c>
      <c r="AG433" s="27" t="str">
        <f>IF(AC433="","",IF(COUNTIFS($AC$3:AC433,"Quên chấm công",$S$3:S433,S433)&gt;3,"Không chấm công do vi phạm quá 3 lần",IF(COUNTIFS($AC$3:AC433,"Quên chấm công",$S$3:S433,S433)&gt;2,"Trừ toàn bộ chuyên cần tháng do vi phạm lần 3",IF(COUNTIFS($AC$3:AC433,"Quên chấm công",$S$3:S433,S433)&gt;1,"Trừ 1/2 ngày lương",50000))))</f>
        <v/>
      </c>
      <c r="AH433" s="12" t="str">
        <f>IF(AF433=0,"",IF(COUNTIFS($AF$3:AF433,"&gt;0",$S$3:S433,S433)&gt;3,"Trừ toàn bộ chuyên cần tháng",""))</f>
        <v/>
      </c>
      <c r="AI433" s="12"/>
    </row>
    <row r="434" spans="1:35" x14ac:dyDescent="0.25">
      <c r="A434" s="4" t="s">
        <v>750</v>
      </c>
      <c r="B434" s="1" t="s">
        <v>677</v>
      </c>
      <c r="C434" s="1" t="s">
        <v>20</v>
      </c>
      <c r="D434" s="1" t="s">
        <v>67</v>
      </c>
      <c r="E434" s="1" t="s">
        <v>22</v>
      </c>
      <c r="F434" s="1" t="s">
        <v>23</v>
      </c>
      <c r="G434" s="1" t="s">
        <v>12</v>
      </c>
      <c r="H434" s="1" t="s">
        <v>759</v>
      </c>
      <c r="I434" s="1" t="s">
        <v>24</v>
      </c>
      <c r="J434" s="1" t="s">
        <v>177</v>
      </c>
      <c r="K434" s="1" t="s">
        <v>25</v>
      </c>
      <c r="L434" s="1" t="s">
        <v>26</v>
      </c>
      <c r="M434" s="1" t="s">
        <v>25</v>
      </c>
      <c r="N434" s="1" t="s">
        <v>25</v>
      </c>
      <c r="O434" s="1" t="s">
        <v>25</v>
      </c>
      <c r="P434" s="1" t="s">
        <v>25</v>
      </c>
      <c r="Q434" s="1" t="s">
        <v>25</v>
      </c>
      <c r="R434" s="85" t="str">
        <f t="shared" si="24"/>
        <v>3845912</v>
      </c>
      <c r="S434" t="str">
        <f>VLOOKUP(A434,Data_NV!$A:$C,3,0)</f>
        <v>Nguyễn Quốc Thái</v>
      </c>
      <c r="T434" t="str">
        <f>VLOOKUP(A434,Data_NV!$A:$E,4,0)</f>
        <v>Kinh doanh</v>
      </c>
      <c r="U434" s="82">
        <f>DATEVALUE(Table2[[#This Row],[Ngày]])</f>
        <v>45912</v>
      </c>
      <c r="V434" t="str">
        <f>VLOOKUP(A434,Data_NV!$A:$E,5,0)</f>
        <v>Đang làm việc</v>
      </c>
      <c r="W434" s="10">
        <f>VLOOKUP(A434,Data_NV!$A:$I,8,0)</f>
        <v>0.33333333333333331</v>
      </c>
      <c r="X434" s="10">
        <f>VLOOKUP(A434,Data_NV!$A:$I,9,0)</f>
        <v>0.70833333333333337</v>
      </c>
      <c r="Y434" s="10">
        <f>IFERROR(TIMEVALUE(Table2[[#This Row],[Vào]]),0)</f>
        <v>0.33763888888888888</v>
      </c>
      <c r="Z434" s="10">
        <f>IFERROR(TIMEVALUE(Table2[[#This Row],[Ra]]),0)</f>
        <v>0</v>
      </c>
      <c r="AA434" t="str">
        <f t="shared" si="25"/>
        <v>x</v>
      </c>
      <c r="AB434" s="105">
        <f t="shared" si="26"/>
        <v>6.2000000000000099</v>
      </c>
      <c r="AC434" s="12" t="str">
        <f>IF(VLOOKUP(A434,Data_NV!$A:$I,7,0)="Không","",IF(OR(AND(Y434=0,Z434=0),AND(Y434&lt;&gt;0,Z434&lt;&gt;0)),"","Quên chấm công"))</f>
        <v/>
      </c>
      <c r="AD434" s="12">
        <f>IF(VLOOKUP(A434,Data_NV!$A:$I,7,0)="Không",0,IF(AND(Y434=0,Z434=0),0,IF(X434&lt;=Z434,0,ROUNDDOWN((X434-Z434)*24*60,0))))</f>
        <v>0</v>
      </c>
      <c r="AE434" s="12">
        <f>IF(VLOOKUP(A434,Data_NV!$A:$I,6,0)="Không",0,IF(Z434&lt;=X434,0,ROUNDDOWN((Z434-X434)*24*60,0)))</f>
        <v>0</v>
      </c>
      <c r="AF434" s="26">
        <f t="shared" si="27"/>
        <v>30000</v>
      </c>
      <c r="AG434" s="27" t="str">
        <f>IF(AC434="","",IF(COUNTIFS($AC$3:AC434,"Quên chấm công",$S$3:S434,S434)&gt;3,"Không chấm công do vi phạm quá 3 lần",IF(COUNTIFS($AC$3:AC434,"Quên chấm công",$S$3:S434,S434)&gt;2,"Trừ toàn bộ chuyên cần tháng do vi phạm lần 3",IF(COUNTIFS($AC$3:AC434,"Quên chấm công",$S$3:S434,S434)&gt;1,"Trừ 1/2 ngày lương",50000))))</f>
        <v/>
      </c>
      <c r="AH434" s="12" t="str">
        <f>IF(AF434=0,"",IF(COUNTIFS($AF$3:AF434,"&gt;0",$S$3:S434,S434)&gt;3,"Trừ toàn bộ chuyên cần tháng",""))</f>
        <v/>
      </c>
      <c r="AI434" s="12" t="s">
        <v>1414</v>
      </c>
    </row>
    <row r="435" spans="1:35" x14ac:dyDescent="0.25">
      <c r="A435" s="4" t="s">
        <v>750</v>
      </c>
      <c r="B435" s="1" t="s">
        <v>677</v>
      </c>
      <c r="C435" s="1" t="s">
        <v>20</v>
      </c>
      <c r="D435" s="1" t="s">
        <v>69</v>
      </c>
      <c r="E435" s="1" t="s">
        <v>22</v>
      </c>
      <c r="F435" s="1" t="s">
        <v>23</v>
      </c>
      <c r="G435" s="1" t="s">
        <v>12</v>
      </c>
      <c r="H435" s="1" t="s">
        <v>760</v>
      </c>
      <c r="I435" s="1" t="s">
        <v>24</v>
      </c>
      <c r="J435" s="1" t="s">
        <v>25</v>
      </c>
      <c r="K435" s="1" t="s">
        <v>25</v>
      </c>
      <c r="L435" s="1" t="s">
        <v>26</v>
      </c>
      <c r="M435" s="1" t="s">
        <v>25</v>
      </c>
      <c r="N435" s="1" t="s">
        <v>25</v>
      </c>
      <c r="O435" s="1" t="s">
        <v>25</v>
      </c>
      <c r="P435" s="1" t="s">
        <v>25</v>
      </c>
      <c r="Q435" s="1" t="s">
        <v>25</v>
      </c>
      <c r="R435" s="85" t="str">
        <f t="shared" si="24"/>
        <v>3845913</v>
      </c>
      <c r="S435" t="str">
        <f>VLOOKUP(A435,Data_NV!$A:$C,3,0)</f>
        <v>Nguyễn Quốc Thái</v>
      </c>
      <c r="T435" t="str">
        <f>VLOOKUP(A435,Data_NV!$A:$E,4,0)</f>
        <v>Kinh doanh</v>
      </c>
      <c r="U435" s="82">
        <f>DATEVALUE(Table2[[#This Row],[Ngày]])</f>
        <v>45913</v>
      </c>
      <c r="V435" t="str">
        <f>VLOOKUP(A435,Data_NV!$A:$E,5,0)</f>
        <v>Đang làm việc</v>
      </c>
      <c r="W435" s="10">
        <f>VLOOKUP(A435,Data_NV!$A:$I,8,0)</f>
        <v>0.33333333333333331</v>
      </c>
      <c r="X435" s="10">
        <f>VLOOKUP(A435,Data_NV!$A:$I,9,0)</f>
        <v>0.70833333333333337</v>
      </c>
      <c r="Y435" s="10">
        <f>IFERROR(TIMEVALUE(Table2[[#This Row],[Vào]]),0)</f>
        <v>0.32596064814814812</v>
      </c>
      <c r="Z435" s="10">
        <f>IFERROR(TIMEVALUE(Table2[[#This Row],[Ra]]),0)</f>
        <v>0</v>
      </c>
      <c r="AA435" t="str">
        <f t="shared" si="25"/>
        <v>x</v>
      </c>
      <c r="AB435" s="105">
        <f t="shared" si="26"/>
        <v>0</v>
      </c>
      <c r="AC435" s="12" t="str">
        <f>IF(VLOOKUP(A435,Data_NV!$A:$I,7,0)="Không","",IF(OR(AND(Y435=0,Z435=0),AND(Y435&lt;&gt;0,Z435&lt;&gt;0)),"","Quên chấm công"))</f>
        <v/>
      </c>
      <c r="AD435" s="12">
        <f>IF(VLOOKUP(A435,Data_NV!$A:$I,7,0)="Không",0,IF(AND(Y435=0,Z435=0),0,IF(X435&lt;=Z435,0,ROUNDDOWN((X435-Z435)*24*60,0))))</f>
        <v>0</v>
      </c>
      <c r="AE435" s="12">
        <f>IF(VLOOKUP(A435,Data_NV!$A:$I,6,0)="Không",0,IF(Z435&lt;=X435,0,ROUNDDOWN((Z435-X435)*24*60,0)))</f>
        <v>0</v>
      </c>
      <c r="AF435" s="26">
        <f t="shared" si="27"/>
        <v>0</v>
      </c>
      <c r="AG435" s="27" t="str">
        <f>IF(AC435="","",IF(COUNTIFS($AC$3:AC435,"Quên chấm công",$S$3:S435,S435)&gt;3,"Không chấm công do vi phạm quá 3 lần",IF(COUNTIFS($AC$3:AC435,"Quên chấm công",$S$3:S435,S435)&gt;2,"Trừ toàn bộ chuyên cần tháng do vi phạm lần 3",IF(COUNTIFS($AC$3:AC435,"Quên chấm công",$S$3:S435,S435)&gt;1,"Trừ 1/2 ngày lương",50000))))</f>
        <v/>
      </c>
      <c r="AH435" s="12" t="str">
        <f>IF(AF435=0,"",IF(COUNTIFS($AF$3:AF435,"&gt;0",$S$3:S435,S435)&gt;3,"Trừ toàn bộ chuyên cần tháng",""))</f>
        <v/>
      </c>
      <c r="AI435" s="12"/>
    </row>
    <row r="436" spans="1:35" x14ac:dyDescent="0.25">
      <c r="A436" s="4" t="s">
        <v>750</v>
      </c>
      <c r="B436" s="1" t="s">
        <v>677</v>
      </c>
      <c r="C436" s="1" t="s">
        <v>20</v>
      </c>
      <c r="D436" s="1" t="s">
        <v>74</v>
      </c>
      <c r="E436" s="1" t="s">
        <v>22</v>
      </c>
      <c r="F436" s="1" t="s">
        <v>23</v>
      </c>
      <c r="G436" s="1" t="s">
        <v>12</v>
      </c>
      <c r="H436" s="1" t="s">
        <v>24</v>
      </c>
      <c r="I436" s="1" t="s">
        <v>24</v>
      </c>
      <c r="J436" s="1" t="s">
        <v>25</v>
      </c>
      <c r="K436" s="1" t="s">
        <v>25</v>
      </c>
      <c r="L436" s="1" t="s">
        <v>26</v>
      </c>
      <c r="M436" s="1" t="s">
        <v>25</v>
      </c>
      <c r="N436" s="1" t="s">
        <v>25</v>
      </c>
      <c r="O436" s="1" t="s">
        <v>25</v>
      </c>
      <c r="P436" s="1" t="s">
        <v>25</v>
      </c>
      <c r="Q436" s="1" t="s">
        <v>25</v>
      </c>
      <c r="R436" s="85" t="str">
        <f t="shared" si="24"/>
        <v>3845914</v>
      </c>
      <c r="S436" t="str">
        <f>VLOOKUP(A436,Data_NV!$A:$C,3,0)</f>
        <v>Nguyễn Quốc Thái</v>
      </c>
      <c r="T436" t="str">
        <f>VLOOKUP(A436,Data_NV!$A:$E,4,0)</f>
        <v>Kinh doanh</v>
      </c>
      <c r="U436" s="82">
        <f>DATEVALUE(Table2[[#This Row],[Ngày]])</f>
        <v>45914</v>
      </c>
      <c r="V436" t="str">
        <f>VLOOKUP(A436,Data_NV!$A:$E,5,0)</f>
        <v>Đang làm việc</v>
      </c>
      <c r="W436" s="10">
        <f>VLOOKUP(A436,Data_NV!$A:$I,8,0)</f>
        <v>0.33333333333333331</v>
      </c>
      <c r="X436" s="10">
        <f>VLOOKUP(A436,Data_NV!$A:$I,9,0)</f>
        <v>0.70833333333333337</v>
      </c>
      <c r="Y436" s="10">
        <f>IFERROR(TIMEVALUE(Table2[[#This Row],[Vào]]),0)</f>
        <v>0</v>
      </c>
      <c r="Z436" s="10">
        <f>IFERROR(TIMEVALUE(Table2[[#This Row],[Ra]]),0)</f>
        <v>0</v>
      </c>
      <c r="AA436" t="str">
        <f t="shared" si="25"/>
        <v>Chủ nhật</v>
      </c>
      <c r="AB436" s="105">
        <f t="shared" si="26"/>
        <v>0</v>
      </c>
      <c r="AC436" s="12" t="str">
        <f>IF(VLOOKUP(A436,Data_NV!$A:$I,7,0)="Không","",IF(OR(AND(Y436=0,Z436=0),AND(Y436&lt;&gt;0,Z436&lt;&gt;0)),"","Quên chấm công"))</f>
        <v/>
      </c>
      <c r="AD436" s="12">
        <f>IF(VLOOKUP(A436,Data_NV!$A:$I,7,0)="Không",0,IF(AND(Y436=0,Z436=0),0,IF(X436&lt;=Z436,0,ROUNDDOWN((X436-Z436)*24*60,0))))</f>
        <v>0</v>
      </c>
      <c r="AE436" s="12">
        <f>IF(VLOOKUP(A436,Data_NV!$A:$I,6,0)="Không",0,IF(Z436&lt;=X436,0,ROUNDDOWN((Z436-X436)*24*60,0)))</f>
        <v>0</v>
      </c>
      <c r="AF436" s="26">
        <f t="shared" si="27"/>
        <v>0</v>
      </c>
      <c r="AG436" s="27" t="str">
        <f>IF(AC436="","",IF(COUNTIFS($AC$3:AC436,"Quên chấm công",$S$3:S436,S436)&gt;3,"Không chấm công do vi phạm quá 3 lần",IF(COUNTIFS($AC$3:AC436,"Quên chấm công",$S$3:S436,S436)&gt;2,"Trừ toàn bộ chuyên cần tháng do vi phạm lần 3",IF(COUNTIFS($AC$3:AC436,"Quên chấm công",$S$3:S436,S436)&gt;1,"Trừ 1/2 ngày lương",50000))))</f>
        <v/>
      </c>
      <c r="AH436" s="12" t="str">
        <f>IF(AF436=0,"",IF(COUNTIFS($AF$3:AF436,"&gt;0",$S$3:S436,S436)&gt;3,"Trừ toàn bộ chuyên cần tháng",""))</f>
        <v/>
      </c>
      <c r="AI436" s="12"/>
    </row>
    <row r="437" spans="1:35" x14ac:dyDescent="0.25">
      <c r="A437" s="4" t="s">
        <v>750</v>
      </c>
      <c r="B437" s="1" t="s">
        <v>677</v>
      </c>
      <c r="C437" s="1" t="s">
        <v>20</v>
      </c>
      <c r="D437" s="1" t="s">
        <v>75</v>
      </c>
      <c r="E437" s="1" t="s">
        <v>22</v>
      </c>
      <c r="F437" s="1" t="s">
        <v>23</v>
      </c>
      <c r="G437" s="1" t="s">
        <v>12</v>
      </c>
      <c r="H437" s="1" t="s">
        <v>761</v>
      </c>
      <c r="I437" s="1" t="s">
        <v>24</v>
      </c>
      <c r="J437" s="1" t="s">
        <v>358</v>
      </c>
      <c r="K437" s="1" t="s">
        <v>25</v>
      </c>
      <c r="L437" s="1" t="s">
        <v>26</v>
      </c>
      <c r="M437" s="1" t="s">
        <v>25</v>
      </c>
      <c r="N437" s="1" t="s">
        <v>25</v>
      </c>
      <c r="O437" s="1" t="s">
        <v>25</v>
      </c>
      <c r="P437" s="1" t="s">
        <v>25</v>
      </c>
      <c r="Q437" s="1" t="s">
        <v>25</v>
      </c>
      <c r="R437" s="85" t="str">
        <f t="shared" si="24"/>
        <v>3845915</v>
      </c>
      <c r="S437" t="str">
        <f>VLOOKUP(A437,Data_NV!$A:$C,3,0)</f>
        <v>Nguyễn Quốc Thái</v>
      </c>
      <c r="T437" t="str">
        <f>VLOOKUP(A437,Data_NV!$A:$E,4,0)</f>
        <v>Kinh doanh</v>
      </c>
      <c r="U437" s="82">
        <f>DATEVALUE(Table2[[#This Row],[Ngày]])</f>
        <v>45915</v>
      </c>
      <c r="V437" t="str">
        <f>VLOOKUP(A437,Data_NV!$A:$E,5,0)</f>
        <v>Đang làm việc</v>
      </c>
      <c r="W437" s="10">
        <f>VLOOKUP(A437,Data_NV!$A:$I,8,0)</f>
        <v>0.33333333333333331</v>
      </c>
      <c r="X437" s="10">
        <f>VLOOKUP(A437,Data_NV!$A:$I,9,0)</f>
        <v>0.70833333333333337</v>
      </c>
      <c r="Y437" s="10">
        <f>IFERROR(TIMEVALUE(Table2[[#This Row],[Vào]]),0)</f>
        <v>0.33410879629629631</v>
      </c>
      <c r="Z437" s="10">
        <f>IFERROR(TIMEVALUE(Table2[[#This Row],[Ra]]),0)</f>
        <v>0</v>
      </c>
      <c r="AA437" t="str">
        <f t="shared" si="25"/>
        <v>x</v>
      </c>
      <c r="AB437" s="105">
        <f t="shared" si="26"/>
        <v>1.116666666666708</v>
      </c>
      <c r="AC437" s="12" t="str">
        <f>IF(VLOOKUP(A437,Data_NV!$A:$I,7,0)="Không","",IF(OR(AND(Y437=0,Z437=0),AND(Y437&lt;&gt;0,Z437&lt;&gt;0)),"","Quên chấm công"))</f>
        <v/>
      </c>
      <c r="AD437" s="12">
        <f>IF(VLOOKUP(A437,Data_NV!$A:$I,7,0)="Không",0,IF(AND(Y437=0,Z437=0),0,IF(X437&lt;=Z437,0,ROUNDDOWN((X437-Z437)*24*60,0))))</f>
        <v>0</v>
      </c>
      <c r="AE437" s="12">
        <f>IF(VLOOKUP(A437,Data_NV!$A:$I,6,0)="Không",0,IF(Z437&lt;=X437,0,ROUNDDOWN((Z437-X437)*24*60,0)))</f>
        <v>0</v>
      </c>
      <c r="AF437" s="26">
        <f t="shared" si="27"/>
        <v>0</v>
      </c>
      <c r="AG437" s="27" t="str">
        <f>IF(AC437="","",IF(COUNTIFS($AC$3:AC437,"Quên chấm công",$S$3:S437,S437)&gt;3,"Không chấm công do vi phạm quá 3 lần",IF(COUNTIFS($AC$3:AC437,"Quên chấm công",$S$3:S437,S437)&gt;2,"Trừ toàn bộ chuyên cần tháng do vi phạm lần 3",IF(COUNTIFS($AC$3:AC437,"Quên chấm công",$S$3:S437,S437)&gt;1,"Trừ 1/2 ngày lương",50000))))</f>
        <v/>
      </c>
      <c r="AH437" s="12" t="str">
        <f>IF(AF437=0,"",IF(COUNTIFS($AF$3:AF437,"&gt;0",$S$3:S437,S437)&gt;3,"Trừ toàn bộ chuyên cần tháng",""))</f>
        <v/>
      </c>
      <c r="AI437" s="12"/>
    </row>
    <row r="438" spans="1:35" x14ac:dyDescent="0.25">
      <c r="A438" s="4" t="s">
        <v>750</v>
      </c>
      <c r="B438" s="1" t="s">
        <v>677</v>
      </c>
      <c r="C438" s="1" t="s">
        <v>20</v>
      </c>
      <c r="D438" s="1" t="s">
        <v>80</v>
      </c>
      <c r="E438" s="1" t="s">
        <v>22</v>
      </c>
      <c r="F438" s="1" t="s">
        <v>23</v>
      </c>
      <c r="G438" s="1" t="s">
        <v>12</v>
      </c>
      <c r="H438" s="1" t="s">
        <v>762</v>
      </c>
      <c r="I438" s="1" t="s">
        <v>24</v>
      </c>
      <c r="J438" s="1" t="s">
        <v>25</v>
      </c>
      <c r="K438" s="1" t="s">
        <v>25</v>
      </c>
      <c r="L438" s="1" t="s">
        <v>26</v>
      </c>
      <c r="M438" s="1" t="s">
        <v>25</v>
      </c>
      <c r="N438" s="1" t="s">
        <v>25</v>
      </c>
      <c r="O438" s="1" t="s">
        <v>25</v>
      </c>
      <c r="P438" s="1" t="s">
        <v>25</v>
      </c>
      <c r="Q438" s="1" t="s">
        <v>25</v>
      </c>
      <c r="R438" s="85" t="str">
        <f t="shared" si="24"/>
        <v>3845916</v>
      </c>
      <c r="S438" t="str">
        <f>VLOOKUP(A438,Data_NV!$A:$C,3,0)</f>
        <v>Nguyễn Quốc Thái</v>
      </c>
      <c r="T438" t="str">
        <f>VLOOKUP(A438,Data_NV!$A:$E,4,0)</f>
        <v>Kinh doanh</v>
      </c>
      <c r="U438" s="82">
        <f>DATEVALUE(Table2[[#This Row],[Ngày]])</f>
        <v>45916</v>
      </c>
      <c r="V438" t="str">
        <f>VLOOKUP(A438,Data_NV!$A:$E,5,0)</f>
        <v>Đang làm việc</v>
      </c>
      <c r="W438" s="10">
        <f>VLOOKUP(A438,Data_NV!$A:$I,8,0)</f>
        <v>0.33333333333333331</v>
      </c>
      <c r="X438" s="10">
        <f>VLOOKUP(A438,Data_NV!$A:$I,9,0)</f>
        <v>0.70833333333333337</v>
      </c>
      <c r="Y438" s="10">
        <f>IFERROR(TIMEVALUE(Table2[[#This Row],[Vào]]),0)</f>
        <v>0.32937499999999997</v>
      </c>
      <c r="Z438" s="10">
        <f>IFERROR(TIMEVALUE(Table2[[#This Row],[Ra]]),0)</f>
        <v>0</v>
      </c>
      <c r="AA438" t="str">
        <f t="shared" si="25"/>
        <v>x</v>
      </c>
      <c r="AB438" s="105">
        <f t="shared" si="26"/>
        <v>0</v>
      </c>
      <c r="AC438" s="12" t="str">
        <f>IF(VLOOKUP(A438,Data_NV!$A:$I,7,0)="Không","",IF(OR(AND(Y438=0,Z438=0),AND(Y438&lt;&gt;0,Z438&lt;&gt;0)),"","Quên chấm công"))</f>
        <v/>
      </c>
      <c r="AD438" s="12">
        <f>IF(VLOOKUP(A438,Data_NV!$A:$I,7,0)="Không",0,IF(AND(Y438=0,Z438=0),0,IF(X438&lt;=Z438,0,ROUNDDOWN((X438-Z438)*24*60,0))))</f>
        <v>0</v>
      </c>
      <c r="AE438" s="12">
        <f>IF(VLOOKUP(A438,Data_NV!$A:$I,6,0)="Không",0,IF(Z438&lt;=X438,0,ROUNDDOWN((Z438-X438)*24*60,0)))</f>
        <v>0</v>
      </c>
      <c r="AF438" s="26">
        <f t="shared" si="27"/>
        <v>0</v>
      </c>
      <c r="AG438" s="27" t="str">
        <f>IF(AC438="","",IF(COUNTIFS($AC$3:AC438,"Quên chấm công",$S$3:S438,S438)&gt;3,"Không chấm công do vi phạm quá 3 lần",IF(COUNTIFS($AC$3:AC438,"Quên chấm công",$S$3:S438,S438)&gt;2,"Trừ toàn bộ chuyên cần tháng do vi phạm lần 3",IF(COUNTIFS($AC$3:AC438,"Quên chấm công",$S$3:S438,S438)&gt;1,"Trừ 1/2 ngày lương",50000))))</f>
        <v/>
      </c>
      <c r="AH438" s="12" t="str">
        <f>IF(AF438=0,"",IF(COUNTIFS($AF$3:AF438,"&gt;0",$S$3:S438,S438)&gt;3,"Trừ toàn bộ chuyên cần tháng",""))</f>
        <v/>
      </c>
      <c r="AI438" s="12"/>
    </row>
    <row r="439" spans="1:35" x14ac:dyDescent="0.25">
      <c r="A439" s="4" t="s">
        <v>750</v>
      </c>
      <c r="B439" s="1" t="s">
        <v>677</v>
      </c>
      <c r="C439" s="1" t="s">
        <v>20</v>
      </c>
      <c r="D439" s="1" t="s">
        <v>85</v>
      </c>
      <c r="E439" s="1" t="s">
        <v>22</v>
      </c>
      <c r="F439" s="1" t="s">
        <v>23</v>
      </c>
      <c r="G439" s="1" t="s">
        <v>12</v>
      </c>
      <c r="H439" s="1" t="s">
        <v>763</v>
      </c>
      <c r="I439" s="1" t="s">
        <v>24</v>
      </c>
      <c r="J439" s="1" t="s">
        <v>25</v>
      </c>
      <c r="K439" s="1" t="s">
        <v>25</v>
      </c>
      <c r="L439" s="1" t="s">
        <v>26</v>
      </c>
      <c r="M439" s="1" t="s">
        <v>25</v>
      </c>
      <c r="N439" s="1" t="s">
        <v>25</v>
      </c>
      <c r="O439" s="1" t="s">
        <v>25</v>
      </c>
      <c r="P439" s="1" t="s">
        <v>25</v>
      </c>
      <c r="Q439" s="1" t="s">
        <v>25</v>
      </c>
      <c r="R439" s="85" t="str">
        <f t="shared" si="24"/>
        <v>3845917</v>
      </c>
      <c r="S439" t="str">
        <f>VLOOKUP(A439,Data_NV!$A:$C,3,0)</f>
        <v>Nguyễn Quốc Thái</v>
      </c>
      <c r="T439" t="str">
        <f>VLOOKUP(A439,Data_NV!$A:$E,4,0)</f>
        <v>Kinh doanh</v>
      </c>
      <c r="U439" s="82">
        <f>DATEVALUE(Table2[[#This Row],[Ngày]])</f>
        <v>45917</v>
      </c>
      <c r="V439" t="str">
        <f>VLOOKUP(A439,Data_NV!$A:$E,5,0)</f>
        <v>Đang làm việc</v>
      </c>
      <c r="W439" s="10">
        <f>VLOOKUP(A439,Data_NV!$A:$I,8,0)</f>
        <v>0.33333333333333331</v>
      </c>
      <c r="X439" s="10">
        <f>VLOOKUP(A439,Data_NV!$A:$I,9,0)</f>
        <v>0.70833333333333337</v>
      </c>
      <c r="Y439" s="10">
        <f>IFERROR(TIMEVALUE(Table2[[#This Row],[Vào]]),0)</f>
        <v>0.32971064814814816</v>
      </c>
      <c r="Z439" s="10">
        <f>IFERROR(TIMEVALUE(Table2[[#This Row],[Ra]]),0)</f>
        <v>0</v>
      </c>
      <c r="AA439" t="str">
        <f t="shared" si="25"/>
        <v>x</v>
      </c>
      <c r="AB439" s="105">
        <f t="shared" si="26"/>
        <v>0</v>
      </c>
      <c r="AC439" s="12" t="str">
        <f>IF(VLOOKUP(A439,Data_NV!$A:$I,7,0)="Không","",IF(OR(AND(Y439=0,Z439=0),AND(Y439&lt;&gt;0,Z439&lt;&gt;0)),"","Quên chấm công"))</f>
        <v/>
      </c>
      <c r="AD439" s="12">
        <f>IF(VLOOKUP(A439,Data_NV!$A:$I,7,0)="Không",0,IF(AND(Y439=0,Z439=0),0,IF(X439&lt;=Z439,0,ROUNDDOWN((X439-Z439)*24*60,0))))</f>
        <v>0</v>
      </c>
      <c r="AE439" s="12">
        <f>IF(VLOOKUP(A439,Data_NV!$A:$I,6,0)="Không",0,IF(Z439&lt;=X439,0,ROUNDDOWN((Z439-X439)*24*60,0)))</f>
        <v>0</v>
      </c>
      <c r="AF439" s="26">
        <f t="shared" si="27"/>
        <v>0</v>
      </c>
      <c r="AG439" s="27" t="str">
        <f>IF(AC439="","",IF(COUNTIFS($AC$3:AC439,"Quên chấm công",$S$3:S439,S439)&gt;3,"Không chấm công do vi phạm quá 3 lần",IF(COUNTIFS($AC$3:AC439,"Quên chấm công",$S$3:S439,S439)&gt;2,"Trừ toàn bộ chuyên cần tháng do vi phạm lần 3",IF(COUNTIFS($AC$3:AC439,"Quên chấm công",$S$3:S439,S439)&gt;1,"Trừ 1/2 ngày lương",50000))))</f>
        <v/>
      </c>
      <c r="AH439" s="12" t="str">
        <f>IF(AF439=0,"",IF(COUNTIFS($AF$3:AF439,"&gt;0",$S$3:S439,S439)&gt;3,"Trừ toàn bộ chuyên cần tháng",""))</f>
        <v/>
      </c>
      <c r="AI439" s="12"/>
    </row>
    <row r="440" spans="1:35" x14ac:dyDescent="0.25">
      <c r="A440" s="4" t="s">
        <v>750</v>
      </c>
      <c r="B440" s="1" t="s">
        <v>677</v>
      </c>
      <c r="C440" s="1" t="s">
        <v>20</v>
      </c>
      <c r="D440" s="1" t="s">
        <v>90</v>
      </c>
      <c r="E440" s="1" t="s">
        <v>22</v>
      </c>
      <c r="F440" s="1" t="s">
        <v>23</v>
      </c>
      <c r="G440" s="1" t="s">
        <v>12</v>
      </c>
      <c r="H440" s="1" t="s">
        <v>764</v>
      </c>
      <c r="I440" s="1" t="s">
        <v>24</v>
      </c>
      <c r="J440" s="1" t="s">
        <v>25</v>
      </c>
      <c r="K440" s="1" t="s">
        <v>25</v>
      </c>
      <c r="L440" s="1" t="s">
        <v>26</v>
      </c>
      <c r="M440" s="1" t="s">
        <v>25</v>
      </c>
      <c r="N440" s="1" t="s">
        <v>25</v>
      </c>
      <c r="O440" s="1" t="s">
        <v>25</v>
      </c>
      <c r="P440" s="1" t="s">
        <v>25</v>
      </c>
      <c r="Q440" s="1" t="s">
        <v>25</v>
      </c>
      <c r="R440" s="85" t="str">
        <f t="shared" si="24"/>
        <v>3845918</v>
      </c>
      <c r="S440" t="str">
        <f>VLOOKUP(A440,Data_NV!$A:$C,3,0)</f>
        <v>Nguyễn Quốc Thái</v>
      </c>
      <c r="T440" t="str">
        <f>VLOOKUP(A440,Data_NV!$A:$E,4,0)</f>
        <v>Kinh doanh</v>
      </c>
      <c r="U440" s="82">
        <f>DATEVALUE(Table2[[#This Row],[Ngày]])</f>
        <v>45918</v>
      </c>
      <c r="V440" t="str">
        <f>VLOOKUP(A440,Data_NV!$A:$E,5,0)</f>
        <v>Đang làm việc</v>
      </c>
      <c r="W440" s="10">
        <f>VLOOKUP(A440,Data_NV!$A:$I,8,0)</f>
        <v>0.33333333333333331</v>
      </c>
      <c r="X440" s="10">
        <f>VLOOKUP(A440,Data_NV!$A:$I,9,0)</f>
        <v>0.70833333333333337</v>
      </c>
      <c r="Y440" s="10">
        <f>IFERROR(TIMEVALUE(Table2[[#This Row],[Vào]]),0)</f>
        <v>0.33282407407407405</v>
      </c>
      <c r="Z440" s="10">
        <f>IFERROR(TIMEVALUE(Table2[[#This Row],[Ra]]),0)</f>
        <v>0</v>
      </c>
      <c r="AA440" t="str">
        <f t="shared" si="25"/>
        <v>x</v>
      </c>
      <c r="AB440" s="105">
        <f t="shared" si="26"/>
        <v>0</v>
      </c>
      <c r="AC440" s="12" t="str">
        <f>IF(VLOOKUP(A440,Data_NV!$A:$I,7,0)="Không","",IF(OR(AND(Y440=0,Z440=0),AND(Y440&lt;&gt;0,Z440&lt;&gt;0)),"","Quên chấm công"))</f>
        <v/>
      </c>
      <c r="AD440" s="12">
        <f>IF(VLOOKUP(A440,Data_NV!$A:$I,7,0)="Không",0,IF(AND(Y440=0,Z440=0),0,IF(X440&lt;=Z440,0,ROUNDDOWN((X440-Z440)*24*60,0))))</f>
        <v>0</v>
      </c>
      <c r="AE440" s="12">
        <f>IF(VLOOKUP(A440,Data_NV!$A:$I,6,0)="Không",0,IF(Z440&lt;=X440,0,ROUNDDOWN((Z440-X440)*24*60,0)))</f>
        <v>0</v>
      </c>
      <c r="AF440" s="26">
        <f t="shared" si="27"/>
        <v>0</v>
      </c>
      <c r="AG440" s="27" t="str">
        <f>IF(AC440="","",IF(COUNTIFS($AC$3:AC440,"Quên chấm công",$S$3:S440,S440)&gt;3,"Không chấm công do vi phạm quá 3 lần",IF(COUNTIFS($AC$3:AC440,"Quên chấm công",$S$3:S440,S440)&gt;2,"Trừ toàn bộ chuyên cần tháng do vi phạm lần 3",IF(COUNTIFS($AC$3:AC440,"Quên chấm công",$S$3:S440,S440)&gt;1,"Trừ 1/2 ngày lương",50000))))</f>
        <v/>
      </c>
      <c r="AH440" s="12" t="str">
        <f>IF(AF440=0,"",IF(COUNTIFS($AF$3:AF440,"&gt;0",$S$3:S440,S440)&gt;3,"Trừ toàn bộ chuyên cần tháng",""))</f>
        <v/>
      </c>
      <c r="AI440" s="12"/>
    </row>
    <row r="441" spans="1:35" x14ac:dyDescent="0.25">
      <c r="A441" s="4" t="s">
        <v>750</v>
      </c>
      <c r="B441" s="1" t="s">
        <v>677</v>
      </c>
      <c r="C441" s="1" t="s">
        <v>20</v>
      </c>
      <c r="D441" s="1" t="s">
        <v>95</v>
      </c>
      <c r="E441" s="1" t="s">
        <v>22</v>
      </c>
      <c r="F441" s="1" t="s">
        <v>23</v>
      </c>
      <c r="G441" s="1" t="s">
        <v>12</v>
      </c>
      <c r="H441" s="1" t="s">
        <v>765</v>
      </c>
      <c r="I441" s="1" t="s">
        <v>24</v>
      </c>
      <c r="J441" s="1" t="s">
        <v>25</v>
      </c>
      <c r="K441" s="1" t="s">
        <v>25</v>
      </c>
      <c r="L441" s="1" t="s">
        <v>26</v>
      </c>
      <c r="M441" s="1" t="s">
        <v>25</v>
      </c>
      <c r="N441" s="1" t="s">
        <v>25</v>
      </c>
      <c r="O441" s="1" t="s">
        <v>25</v>
      </c>
      <c r="P441" s="1" t="s">
        <v>25</v>
      </c>
      <c r="Q441" s="1" t="s">
        <v>25</v>
      </c>
      <c r="R441" s="85" t="str">
        <f t="shared" si="24"/>
        <v>3845919</v>
      </c>
      <c r="S441" t="str">
        <f>VLOOKUP(A441,Data_NV!$A:$C,3,0)</f>
        <v>Nguyễn Quốc Thái</v>
      </c>
      <c r="T441" t="str">
        <f>VLOOKUP(A441,Data_NV!$A:$E,4,0)</f>
        <v>Kinh doanh</v>
      </c>
      <c r="U441" s="82">
        <f>DATEVALUE(Table2[[#This Row],[Ngày]])</f>
        <v>45919</v>
      </c>
      <c r="V441" t="str">
        <f>VLOOKUP(A441,Data_NV!$A:$E,5,0)</f>
        <v>Đang làm việc</v>
      </c>
      <c r="W441" s="10">
        <f>VLOOKUP(A441,Data_NV!$A:$I,8,0)</f>
        <v>0.33333333333333331</v>
      </c>
      <c r="X441" s="10">
        <f>VLOOKUP(A441,Data_NV!$A:$I,9,0)</f>
        <v>0.70833333333333337</v>
      </c>
      <c r="Y441" s="10">
        <f>IFERROR(TIMEVALUE(Table2[[#This Row],[Vào]]),0)</f>
        <v>0.32643518518518516</v>
      </c>
      <c r="Z441" s="10">
        <f>IFERROR(TIMEVALUE(Table2[[#This Row],[Ra]]),0)</f>
        <v>0</v>
      </c>
      <c r="AA441" t="str">
        <f t="shared" si="25"/>
        <v>x</v>
      </c>
      <c r="AB441" s="105">
        <f t="shared" si="26"/>
        <v>0</v>
      </c>
      <c r="AC441" s="12" t="str">
        <f>IF(VLOOKUP(A441,Data_NV!$A:$I,7,0)="Không","",IF(OR(AND(Y441=0,Z441=0),AND(Y441&lt;&gt;0,Z441&lt;&gt;0)),"","Quên chấm công"))</f>
        <v/>
      </c>
      <c r="AD441" s="12">
        <f>IF(VLOOKUP(A441,Data_NV!$A:$I,7,0)="Không",0,IF(AND(Y441=0,Z441=0),0,IF(X441&lt;=Z441,0,ROUNDDOWN((X441-Z441)*24*60,0))))</f>
        <v>0</v>
      </c>
      <c r="AE441" s="12">
        <f>IF(VLOOKUP(A441,Data_NV!$A:$I,6,0)="Không",0,IF(Z441&lt;=X441,0,ROUNDDOWN((Z441-X441)*24*60,0)))</f>
        <v>0</v>
      </c>
      <c r="AF441" s="26">
        <f t="shared" si="27"/>
        <v>0</v>
      </c>
      <c r="AG441" s="27" t="str">
        <f>IF(AC441="","",IF(COUNTIFS($AC$3:AC441,"Quên chấm công",$S$3:S441,S441)&gt;3,"Không chấm công do vi phạm quá 3 lần",IF(COUNTIFS($AC$3:AC441,"Quên chấm công",$S$3:S441,S441)&gt;2,"Trừ toàn bộ chuyên cần tháng do vi phạm lần 3",IF(COUNTIFS($AC$3:AC441,"Quên chấm công",$S$3:S441,S441)&gt;1,"Trừ 1/2 ngày lương",50000))))</f>
        <v/>
      </c>
      <c r="AH441" s="12" t="str">
        <f>IF(AF441=0,"",IF(COUNTIFS($AF$3:AF441,"&gt;0",$S$3:S441,S441)&gt;3,"Trừ toàn bộ chuyên cần tháng",""))</f>
        <v/>
      </c>
      <c r="AI441" s="12"/>
    </row>
    <row r="442" spans="1:35" x14ac:dyDescent="0.25">
      <c r="A442" s="4" t="s">
        <v>750</v>
      </c>
      <c r="B442" s="1" t="s">
        <v>677</v>
      </c>
      <c r="C442" s="1" t="s">
        <v>20</v>
      </c>
      <c r="D442" s="1" t="s">
        <v>100</v>
      </c>
      <c r="E442" s="1" t="s">
        <v>22</v>
      </c>
      <c r="F442" s="1" t="s">
        <v>23</v>
      </c>
      <c r="G442" s="1" t="s">
        <v>12</v>
      </c>
      <c r="H442" s="1" t="s">
        <v>24</v>
      </c>
      <c r="I442" s="1" t="s">
        <v>24</v>
      </c>
      <c r="J442" s="1" t="s">
        <v>25</v>
      </c>
      <c r="K442" s="1" t="s">
        <v>25</v>
      </c>
      <c r="L442" s="1" t="s">
        <v>26</v>
      </c>
      <c r="M442" s="1" t="s">
        <v>25</v>
      </c>
      <c r="N442" s="1" t="s">
        <v>25</v>
      </c>
      <c r="O442" s="1" t="s">
        <v>25</v>
      </c>
      <c r="P442" s="1" t="s">
        <v>25</v>
      </c>
      <c r="Q442" s="1" t="s">
        <v>25</v>
      </c>
      <c r="R442" s="85" t="str">
        <f t="shared" si="24"/>
        <v>3845920</v>
      </c>
      <c r="S442" t="str">
        <f>VLOOKUP(A442,Data_NV!$A:$C,3,0)</f>
        <v>Nguyễn Quốc Thái</v>
      </c>
      <c r="T442" t="str">
        <f>VLOOKUP(A442,Data_NV!$A:$E,4,0)</f>
        <v>Kinh doanh</v>
      </c>
      <c r="U442" s="82">
        <f>DATEVALUE(Table2[[#This Row],[Ngày]])</f>
        <v>45920</v>
      </c>
      <c r="V442" t="str">
        <f>VLOOKUP(A442,Data_NV!$A:$E,5,0)</f>
        <v>Đang làm việc</v>
      </c>
      <c r="W442" s="10">
        <f>VLOOKUP(A442,Data_NV!$A:$I,8,0)</f>
        <v>0.33333333333333331</v>
      </c>
      <c r="X442" s="10">
        <f>VLOOKUP(A442,Data_NV!$A:$I,9,0)</f>
        <v>0.70833333333333337</v>
      </c>
      <c r="Y442" s="10">
        <f>IFERROR(TIMEVALUE(Table2[[#This Row],[Vào]]),0)</f>
        <v>0</v>
      </c>
      <c r="Z442" s="10">
        <f>IFERROR(TIMEVALUE(Table2[[#This Row],[Ra]]),0)</f>
        <v>0</v>
      </c>
      <c r="AA442" t="s">
        <v>1384</v>
      </c>
      <c r="AB442" s="105">
        <f t="shared" si="26"/>
        <v>0</v>
      </c>
      <c r="AC442" s="12" t="str">
        <f>IF(VLOOKUP(A442,Data_NV!$A:$I,7,0)="Không","",IF(OR(AND(Y442=0,Z442=0),AND(Y442&lt;&gt;0,Z442&lt;&gt;0)),"","Quên chấm công"))</f>
        <v/>
      </c>
      <c r="AD442" s="12">
        <f>IF(VLOOKUP(A442,Data_NV!$A:$I,7,0)="Không",0,IF(AND(Y442=0,Z442=0),0,IF(X442&lt;=Z442,0,ROUNDDOWN((X442-Z442)*24*60,0))))</f>
        <v>0</v>
      </c>
      <c r="AE442" s="12">
        <f>IF(VLOOKUP(A442,Data_NV!$A:$I,6,0)="Không",0,IF(Z442&lt;=X442,0,ROUNDDOWN((Z442-X442)*24*60,0)))</f>
        <v>0</v>
      </c>
      <c r="AF442" s="26">
        <f t="shared" si="27"/>
        <v>0</v>
      </c>
      <c r="AG442" s="27" t="str">
        <f>IF(AC442="","",IF(COUNTIFS($AC$3:AC442,"Quên chấm công",$S$3:S442,S442)&gt;3,"Không chấm công do vi phạm quá 3 lần",IF(COUNTIFS($AC$3:AC442,"Quên chấm công",$S$3:S442,S442)&gt;2,"Trừ toàn bộ chuyên cần tháng do vi phạm lần 3",IF(COUNTIFS($AC$3:AC442,"Quên chấm công",$S$3:S442,S442)&gt;1,"Trừ 1/2 ngày lương",50000))))</f>
        <v/>
      </c>
      <c r="AH442" s="12" t="str">
        <f>IF(AF442=0,"",IF(COUNTIFS($AF$3:AF442,"&gt;0",$S$3:S442,S442)&gt;3,"Trừ toàn bộ chuyên cần tháng",""))</f>
        <v/>
      </c>
      <c r="AI442" s="12" t="s">
        <v>1380</v>
      </c>
    </row>
    <row r="443" spans="1:35" x14ac:dyDescent="0.25">
      <c r="A443" s="4" t="s">
        <v>750</v>
      </c>
      <c r="B443" s="1" t="s">
        <v>677</v>
      </c>
      <c r="C443" s="1" t="s">
        <v>20</v>
      </c>
      <c r="D443" s="1" t="s">
        <v>105</v>
      </c>
      <c r="E443" s="1" t="s">
        <v>22</v>
      </c>
      <c r="F443" s="1" t="s">
        <v>23</v>
      </c>
      <c r="G443" s="1" t="s">
        <v>12</v>
      </c>
      <c r="H443" s="1" t="s">
        <v>24</v>
      </c>
      <c r="I443" s="1" t="s">
        <v>24</v>
      </c>
      <c r="J443" s="1" t="s">
        <v>25</v>
      </c>
      <c r="K443" s="1" t="s">
        <v>25</v>
      </c>
      <c r="L443" s="1" t="s">
        <v>26</v>
      </c>
      <c r="M443" s="1" t="s">
        <v>25</v>
      </c>
      <c r="N443" s="1" t="s">
        <v>25</v>
      </c>
      <c r="O443" s="1" t="s">
        <v>25</v>
      </c>
      <c r="P443" s="1" t="s">
        <v>25</v>
      </c>
      <c r="Q443" s="1" t="s">
        <v>25</v>
      </c>
      <c r="R443" s="85" t="str">
        <f t="shared" si="24"/>
        <v>3845921</v>
      </c>
      <c r="S443" t="str">
        <f>VLOOKUP(A443,Data_NV!$A:$C,3,0)</f>
        <v>Nguyễn Quốc Thái</v>
      </c>
      <c r="T443" t="str">
        <f>VLOOKUP(A443,Data_NV!$A:$E,4,0)</f>
        <v>Kinh doanh</v>
      </c>
      <c r="U443" s="82">
        <f>DATEVALUE(Table2[[#This Row],[Ngày]])</f>
        <v>45921</v>
      </c>
      <c r="V443" t="str">
        <f>VLOOKUP(A443,Data_NV!$A:$E,5,0)</f>
        <v>Đang làm việc</v>
      </c>
      <c r="W443" s="10">
        <f>VLOOKUP(A443,Data_NV!$A:$I,8,0)</f>
        <v>0.33333333333333331</v>
      </c>
      <c r="X443" s="10">
        <f>VLOOKUP(A443,Data_NV!$A:$I,9,0)</f>
        <v>0.70833333333333337</v>
      </c>
      <c r="Y443" s="10">
        <f>IFERROR(TIMEVALUE(Table2[[#This Row],[Vào]]),0)</f>
        <v>0</v>
      </c>
      <c r="Z443" s="10">
        <f>IFERROR(TIMEVALUE(Table2[[#This Row],[Ra]]),0)</f>
        <v>0</v>
      </c>
      <c r="AA443" t="str">
        <f t="shared" si="25"/>
        <v>Chủ nhật</v>
      </c>
      <c r="AB443" s="105">
        <f t="shared" si="26"/>
        <v>0</v>
      </c>
      <c r="AC443" s="12" t="str">
        <f>IF(VLOOKUP(A443,Data_NV!$A:$I,7,0)="Không","",IF(OR(AND(Y443=0,Z443=0),AND(Y443&lt;&gt;0,Z443&lt;&gt;0)),"","Quên chấm công"))</f>
        <v/>
      </c>
      <c r="AD443" s="12">
        <f>IF(VLOOKUP(A443,Data_NV!$A:$I,7,0)="Không",0,IF(AND(Y443=0,Z443=0),0,IF(X443&lt;=Z443,0,ROUNDDOWN((X443-Z443)*24*60,0))))</f>
        <v>0</v>
      </c>
      <c r="AE443" s="12">
        <f>IF(VLOOKUP(A443,Data_NV!$A:$I,6,0)="Không",0,IF(Z443&lt;=X443,0,ROUNDDOWN((Z443-X443)*24*60,0)))</f>
        <v>0</v>
      </c>
      <c r="AF443" s="26">
        <f t="shared" si="27"/>
        <v>0</v>
      </c>
      <c r="AG443" s="27" t="str">
        <f>IF(AC443="","",IF(COUNTIFS($AC$3:AC443,"Quên chấm công",$S$3:S443,S443)&gt;3,"Không chấm công do vi phạm quá 3 lần",IF(COUNTIFS($AC$3:AC443,"Quên chấm công",$S$3:S443,S443)&gt;2,"Trừ toàn bộ chuyên cần tháng do vi phạm lần 3",IF(COUNTIFS($AC$3:AC443,"Quên chấm công",$S$3:S443,S443)&gt;1,"Trừ 1/2 ngày lương",50000))))</f>
        <v/>
      </c>
      <c r="AH443" s="12" t="str">
        <f>IF(AF443=0,"",IF(COUNTIFS($AF$3:AF443,"&gt;0",$S$3:S443,S443)&gt;3,"Trừ toàn bộ chuyên cần tháng",""))</f>
        <v/>
      </c>
      <c r="AI443" s="12"/>
    </row>
    <row r="444" spans="1:35" x14ac:dyDescent="0.25">
      <c r="A444" s="4" t="s">
        <v>750</v>
      </c>
      <c r="B444" s="1" t="s">
        <v>677</v>
      </c>
      <c r="C444" s="1" t="s">
        <v>20</v>
      </c>
      <c r="D444" s="1" t="s">
        <v>106</v>
      </c>
      <c r="E444" s="1" t="s">
        <v>22</v>
      </c>
      <c r="F444" s="1" t="s">
        <v>23</v>
      </c>
      <c r="G444" s="1" t="s">
        <v>12</v>
      </c>
      <c r="H444" s="1" t="s">
        <v>766</v>
      </c>
      <c r="I444" s="1" t="s">
        <v>24</v>
      </c>
      <c r="J444" s="1" t="s">
        <v>25</v>
      </c>
      <c r="K444" s="1" t="s">
        <v>25</v>
      </c>
      <c r="L444" s="1" t="s">
        <v>26</v>
      </c>
      <c r="M444" s="1" t="s">
        <v>25</v>
      </c>
      <c r="N444" s="1" t="s">
        <v>25</v>
      </c>
      <c r="O444" s="1" t="s">
        <v>25</v>
      </c>
      <c r="P444" s="1" t="s">
        <v>25</v>
      </c>
      <c r="Q444" s="1" t="s">
        <v>25</v>
      </c>
      <c r="R444" s="85" t="str">
        <f t="shared" si="24"/>
        <v>3845922</v>
      </c>
      <c r="S444" t="str">
        <f>VLOOKUP(A444,Data_NV!$A:$C,3,0)</f>
        <v>Nguyễn Quốc Thái</v>
      </c>
      <c r="T444" t="str">
        <f>VLOOKUP(A444,Data_NV!$A:$E,4,0)</f>
        <v>Kinh doanh</v>
      </c>
      <c r="U444" s="82">
        <f>DATEVALUE(Table2[[#This Row],[Ngày]])</f>
        <v>45922</v>
      </c>
      <c r="V444" t="str">
        <f>VLOOKUP(A444,Data_NV!$A:$E,5,0)</f>
        <v>Đang làm việc</v>
      </c>
      <c r="W444" s="10">
        <f>VLOOKUP(A444,Data_NV!$A:$I,8,0)</f>
        <v>0.33333333333333331</v>
      </c>
      <c r="X444" s="10">
        <f>VLOOKUP(A444,Data_NV!$A:$I,9,0)</f>
        <v>0.70833333333333337</v>
      </c>
      <c r="Y444" s="10">
        <f>IFERROR(TIMEVALUE(Table2[[#This Row],[Vào]]),0)</f>
        <v>0.32677083333333334</v>
      </c>
      <c r="Z444" s="10">
        <f>IFERROR(TIMEVALUE(Table2[[#This Row],[Ra]]),0)</f>
        <v>0</v>
      </c>
      <c r="AA444" t="str">
        <f t="shared" si="25"/>
        <v>x</v>
      </c>
      <c r="AB444" s="105">
        <f t="shared" si="26"/>
        <v>0</v>
      </c>
      <c r="AC444" s="12" t="str">
        <f>IF(VLOOKUP(A444,Data_NV!$A:$I,7,0)="Không","",IF(OR(AND(Y444=0,Z444=0),AND(Y444&lt;&gt;0,Z444&lt;&gt;0)),"","Quên chấm công"))</f>
        <v/>
      </c>
      <c r="AD444" s="12">
        <f>IF(VLOOKUP(A444,Data_NV!$A:$I,7,0)="Không",0,IF(AND(Y444=0,Z444=0),0,IF(X444&lt;=Z444,0,ROUNDDOWN((X444-Z444)*24*60,0))))</f>
        <v>0</v>
      </c>
      <c r="AE444" s="12">
        <f>IF(VLOOKUP(A444,Data_NV!$A:$I,6,0)="Không",0,IF(Z444&lt;=X444,0,ROUNDDOWN((Z444-X444)*24*60,0)))</f>
        <v>0</v>
      </c>
      <c r="AF444" s="26">
        <f t="shared" si="27"/>
        <v>0</v>
      </c>
      <c r="AG444" s="27" t="str">
        <f>IF(AC444="","",IF(COUNTIFS($AC$3:AC444,"Quên chấm công",$S$3:S444,S444)&gt;3,"Không chấm công do vi phạm quá 3 lần",IF(COUNTIFS($AC$3:AC444,"Quên chấm công",$S$3:S444,S444)&gt;2,"Trừ toàn bộ chuyên cần tháng do vi phạm lần 3",IF(COUNTIFS($AC$3:AC444,"Quên chấm công",$S$3:S444,S444)&gt;1,"Trừ 1/2 ngày lương",50000))))</f>
        <v/>
      </c>
      <c r="AH444" s="12" t="str">
        <f>IF(AF444=0,"",IF(COUNTIFS($AF$3:AF444,"&gt;0",$S$3:S444,S444)&gt;3,"Trừ toàn bộ chuyên cần tháng",""))</f>
        <v/>
      </c>
      <c r="AI444" s="12"/>
    </row>
    <row r="445" spans="1:35" x14ac:dyDescent="0.25">
      <c r="A445" s="4" t="s">
        <v>750</v>
      </c>
      <c r="B445" s="1" t="s">
        <v>677</v>
      </c>
      <c r="C445" s="1" t="s">
        <v>20</v>
      </c>
      <c r="D445" s="1" t="s">
        <v>111</v>
      </c>
      <c r="E445" s="1" t="s">
        <v>22</v>
      </c>
      <c r="F445" s="1" t="s">
        <v>23</v>
      </c>
      <c r="G445" s="1" t="s">
        <v>12</v>
      </c>
      <c r="H445" s="1" t="s">
        <v>767</v>
      </c>
      <c r="I445" s="1" t="s">
        <v>24</v>
      </c>
      <c r="J445" s="1" t="s">
        <v>25</v>
      </c>
      <c r="K445" s="1" t="s">
        <v>25</v>
      </c>
      <c r="L445" s="1" t="s">
        <v>26</v>
      </c>
      <c r="M445" s="1" t="s">
        <v>25</v>
      </c>
      <c r="N445" s="1" t="s">
        <v>25</v>
      </c>
      <c r="O445" s="1" t="s">
        <v>25</v>
      </c>
      <c r="P445" s="1" t="s">
        <v>25</v>
      </c>
      <c r="Q445" s="1" t="s">
        <v>25</v>
      </c>
      <c r="R445" s="85" t="str">
        <f t="shared" si="24"/>
        <v>3845923</v>
      </c>
      <c r="S445" t="str">
        <f>VLOOKUP(A445,Data_NV!$A:$C,3,0)</f>
        <v>Nguyễn Quốc Thái</v>
      </c>
      <c r="T445" t="str">
        <f>VLOOKUP(A445,Data_NV!$A:$E,4,0)</f>
        <v>Kinh doanh</v>
      </c>
      <c r="U445" s="82">
        <f>DATEVALUE(Table2[[#This Row],[Ngày]])</f>
        <v>45923</v>
      </c>
      <c r="V445" t="str">
        <f>VLOOKUP(A445,Data_NV!$A:$E,5,0)</f>
        <v>Đang làm việc</v>
      </c>
      <c r="W445" s="10">
        <f>VLOOKUP(A445,Data_NV!$A:$I,8,0)</f>
        <v>0.33333333333333331</v>
      </c>
      <c r="X445" s="10">
        <f>VLOOKUP(A445,Data_NV!$A:$I,9,0)</f>
        <v>0.70833333333333337</v>
      </c>
      <c r="Y445" s="10">
        <f>IFERROR(TIMEVALUE(Table2[[#This Row],[Vào]]),0)</f>
        <v>0.33127314814814812</v>
      </c>
      <c r="Z445" s="10">
        <f>IFERROR(TIMEVALUE(Table2[[#This Row],[Ra]]),0)</f>
        <v>0</v>
      </c>
      <c r="AA445" t="str">
        <f t="shared" si="25"/>
        <v>x</v>
      </c>
      <c r="AB445" s="105">
        <f t="shared" si="26"/>
        <v>0</v>
      </c>
      <c r="AC445" s="12" t="str">
        <f>IF(VLOOKUP(A445,Data_NV!$A:$I,7,0)="Không","",IF(OR(AND(Y445=0,Z445=0),AND(Y445&lt;&gt;0,Z445&lt;&gt;0)),"","Quên chấm công"))</f>
        <v/>
      </c>
      <c r="AD445" s="12">
        <f>IF(VLOOKUP(A445,Data_NV!$A:$I,7,0)="Không",0,IF(AND(Y445=0,Z445=0),0,IF(X445&lt;=Z445,0,ROUNDDOWN((X445-Z445)*24*60,0))))</f>
        <v>0</v>
      </c>
      <c r="AE445" s="12">
        <f>IF(VLOOKUP(A445,Data_NV!$A:$I,6,0)="Không",0,IF(Z445&lt;=X445,0,ROUNDDOWN((Z445-X445)*24*60,0)))</f>
        <v>0</v>
      </c>
      <c r="AF445" s="26">
        <f t="shared" si="27"/>
        <v>0</v>
      </c>
      <c r="AG445" s="27" t="str">
        <f>IF(AC445="","",IF(COUNTIFS($AC$3:AC445,"Quên chấm công",$S$3:S445,S445)&gt;3,"Không chấm công do vi phạm quá 3 lần",IF(COUNTIFS($AC$3:AC445,"Quên chấm công",$S$3:S445,S445)&gt;2,"Trừ toàn bộ chuyên cần tháng do vi phạm lần 3",IF(COUNTIFS($AC$3:AC445,"Quên chấm công",$S$3:S445,S445)&gt;1,"Trừ 1/2 ngày lương",50000))))</f>
        <v/>
      </c>
      <c r="AH445" s="12" t="str">
        <f>IF(AF445=0,"",IF(COUNTIFS($AF$3:AF445,"&gt;0",$S$3:S445,S445)&gt;3,"Trừ toàn bộ chuyên cần tháng",""))</f>
        <v/>
      </c>
      <c r="AI445" s="12"/>
    </row>
    <row r="446" spans="1:35" x14ac:dyDescent="0.25">
      <c r="A446" s="4" t="s">
        <v>750</v>
      </c>
      <c r="B446" s="1" t="s">
        <v>677</v>
      </c>
      <c r="C446" s="1" t="s">
        <v>20</v>
      </c>
      <c r="D446" s="1" t="s">
        <v>116</v>
      </c>
      <c r="E446" s="1" t="s">
        <v>22</v>
      </c>
      <c r="F446" s="1" t="s">
        <v>23</v>
      </c>
      <c r="G446" s="1" t="s">
        <v>12</v>
      </c>
      <c r="H446" s="1" t="s">
        <v>768</v>
      </c>
      <c r="I446" s="1" t="s">
        <v>24</v>
      </c>
      <c r="J446" s="1" t="s">
        <v>25</v>
      </c>
      <c r="K446" s="1" t="s">
        <v>25</v>
      </c>
      <c r="L446" s="1" t="s">
        <v>26</v>
      </c>
      <c r="M446" s="1" t="s">
        <v>25</v>
      </c>
      <c r="N446" s="1" t="s">
        <v>25</v>
      </c>
      <c r="O446" s="1" t="s">
        <v>25</v>
      </c>
      <c r="P446" s="1" t="s">
        <v>25</v>
      </c>
      <c r="Q446" s="1" t="s">
        <v>25</v>
      </c>
      <c r="R446" s="85" t="str">
        <f t="shared" si="24"/>
        <v>3845924</v>
      </c>
      <c r="S446" t="str">
        <f>VLOOKUP(A446,Data_NV!$A:$C,3,0)</f>
        <v>Nguyễn Quốc Thái</v>
      </c>
      <c r="T446" t="str">
        <f>VLOOKUP(A446,Data_NV!$A:$E,4,0)</f>
        <v>Kinh doanh</v>
      </c>
      <c r="U446" s="82">
        <f>DATEVALUE(Table2[[#This Row],[Ngày]])</f>
        <v>45924</v>
      </c>
      <c r="V446" t="str">
        <f>VLOOKUP(A446,Data_NV!$A:$E,5,0)</f>
        <v>Đang làm việc</v>
      </c>
      <c r="W446" s="10">
        <f>VLOOKUP(A446,Data_NV!$A:$I,8,0)</f>
        <v>0.33333333333333331</v>
      </c>
      <c r="X446" s="10">
        <f>VLOOKUP(A446,Data_NV!$A:$I,9,0)</f>
        <v>0.70833333333333337</v>
      </c>
      <c r="Y446" s="10">
        <f>IFERROR(TIMEVALUE(Table2[[#This Row],[Vào]]),0)</f>
        <v>0.32503472222222224</v>
      </c>
      <c r="Z446" s="10">
        <f>IFERROR(TIMEVALUE(Table2[[#This Row],[Ra]]),0)</f>
        <v>0</v>
      </c>
      <c r="AA446" t="str">
        <f t="shared" si="25"/>
        <v>x</v>
      </c>
      <c r="AB446" s="105">
        <f t="shared" si="26"/>
        <v>0</v>
      </c>
      <c r="AC446" s="12" t="str">
        <f>IF(VLOOKUP(A446,Data_NV!$A:$I,7,0)="Không","",IF(OR(AND(Y446=0,Z446=0),AND(Y446&lt;&gt;0,Z446&lt;&gt;0)),"","Quên chấm công"))</f>
        <v/>
      </c>
      <c r="AD446" s="12">
        <f>IF(VLOOKUP(A446,Data_NV!$A:$I,7,0)="Không",0,IF(AND(Y446=0,Z446=0),0,IF(X446&lt;=Z446,0,ROUNDDOWN((X446-Z446)*24*60,0))))</f>
        <v>0</v>
      </c>
      <c r="AE446" s="12">
        <f>IF(VLOOKUP(A446,Data_NV!$A:$I,6,0)="Không",0,IF(Z446&lt;=X446,0,ROUNDDOWN((Z446-X446)*24*60,0)))</f>
        <v>0</v>
      </c>
      <c r="AF446" s="26">
        <f t="shared" si="27"/>
        <v>0</v>
      </c>
      <c r="AG446" s="27" t="str">
        <f>IF(AC446="","",IF(COUNTIFS($AC$3:AC446,"Quên chấm công",$S$3:S446,S446)&gt;3,"Không chấm công do vi phạm quá 3 lần",IF(COUNTIFS($AC$3:AC446,"Quên chấm công",$S$3:S446,S446)&gt;2,"Trừ toàn bộ chuyên cần tháng do vi phạm lần 3",IF(COUNTIFS($AC$3:AC446,"Quên chấm công",$S$3:S446,S446)&gt;1,"Trừ 1/2 ngày lương",50000))))</f>
        <v/>
      </c>
      <c r="AH446" s="12" t="str">
        <f>IF(AF446=0,"",IF(COUNTIFS($AF$3:AF446,"&gt;0",$S$3:S446,S446)&gt;3,"Trừ toàn bộ chuyên cần tháng",""))</f>
        <v/>
      </c>
      <c r="AI446" s="12"/>
    </row>
    <row r="447" spans="1:35" x14ac:dyDescent="0.25">
      <c r="A447" s="4" t="s">
        <v>750</v>
      </c>
      <c r="B447" s="1" t="s">
        <v>677</v>
      </c>
      <c r="C447" s="1" t="s">
        <v>20</v>
      </c>
      <c r="D447" s="1" t="s">
        <v>121</v>
      </c>
      <c r="E447" s="1" t="s">
        <v>22</v>
      </c>
      <c r="F447" s="1" t="s">
        <v>23</v>
      </c>
      <c r="G447" s="1" t="s">
        <v>12</v>
      </c>
      <c r="H447" s="1" t="s">
        <v>769</v>
      </c>
      <c r="I447" s="1" t="s">
        <v>24</v>
      </c>
      <c r="J447" s="1" t="s">
        <v>682</v>
      </c>
      <c r="K447" s="1" t="s">
        <v>25</v>
      </c>
      <c r="L447" s="1" t="s">
        <v>26</v>
      </c>
      <c r="M447" s="1" t="s">
        <v>25</v>
      </c>
      <c r="N447" s="1" t="s">
        <v>25</v>
      </c>
      <c r="O447" s="1" t="s">
        <v>25</v>
      </c>
      <c r="P447" s="1" t="s">
        <v>25</v>
      </c>
      <c r="Q447" s="1" t="s">
        <v>25</v>
      </c>
      <c r="R447" s="85" t="str">
        <f t="shared" si="24"/>
        <v>3845925</v>
      </c>
      <c r="S447" t="str">
        <f>VLOOKUP(A447,Data_NV!$A:$C,3,0)</f>
        <v>Nguyễn Quốc Thái</v>
      </c>
      <c r="T447" t="str">
        <f>VLOOKUP(A447,Data_NV!$A:$E,4,0)</f>
        <v>Kinh doanh</v>
      </c>
      <c r="U447" s="82">
        <f>DATEVALUE(Table2[[#This Row],[Ngày]])</f>
        <v>45925</v>
      </c>
      <c r="V447" t="str">
        <f>VLOOKUP(A447,Data_NV!$A:$E,5,0)</f>
        <v>Đang làm việc</v>
      </c>
      <c r="W447" s="10">
        <f>VLOOKUP(A447,Data_NV!$A:$I,8,0)</f>
        <v>0.33333333333333331</v>
      </c>
      <c r="X447" s="10">
        <f>VLOOKUP(A447,Data_NV!$A:$I,9,0)</f>
        <v>0.70833333333333337</v>
      </c>
      <c r="Y447" s="10">
        <f>IFERROR(TIMEVALUE(Table2[[#This Row],[Vào]]),0)</f>
        <v>0.33656249999999999</v>
      </c>
      <c r="Z447" s="10">
        <f>IFERROR(TIMEVALUE(Table2[[#This Row],[Ra]]),0)</f>
        <v>0</v>
      </c>
      <c r="AA447" t="str">
        <f t="shared" si="25"/>
        <v>x</v>
      </c>
      <c r="AB447" s="105">
        <f t="shared" si="26"/>
        <v>4.6500000000000075</v>
      </c>
      <c r="AC447" s="12" t="str">
        <f>IF(VLOOKUP(A447,Data_NV!$A:$I,7,0)="Không","",IF(OR(AND(Y447=0,Z447=0),AND(Y447&lt;&gt;0,Z447&lt;&gt;0)),"","Quên chấm công"))</f>
        <v/>
      </c>
      <c r="AD447" s="12">
        <f>IF(VLOOKUP(A447,Data_NV!$A:$I,7,0)="Không",0,IF(AND(Y447=0,Z447=0),0,IF(X447&lt;=Z447,0,ROUNDDOWN((X447-Z447)*24*60,0))))</f>
        <v>0</v>
      </c>
      <c r="AE447" s="12">
        <f>IF(VLOOKUP(A447,Data_NV!$A:$I,6,0)="Không",0,IF(Z447&lt;=X447,0,ROUNDDOWN((Z447-X447)*24*60,0)))</f>
        <v>0</v>
      </c>
      <c r="AF447" s="26">
        <f t="shared" si="27"/>
        <v>0</v>
      </c>
      <c r="AG447" s="27" t="str">
        <f>IF(AC447="","",IF(COUNTIFS($AC$3:AC447,"Quên chấm công",$S$3:S447,S447)&gt;3,"Không chấm công do vi phạm quá 3 lần",IF(COUNTIFS($AC$3:AC447,"Quên chấm công",$S$3:S447,S447)&gt;2,"Trừ toàn bộ chuyên cần tháng do vi phạm lần 3",IF(COUNTIFS($AC$3:AC447,"Quên chấm công",$S$3:S447,S447)&gt;1,"Trừ 1/2 ngày lương",50000))))</f>
        <v/>
      </c>
      <c r="AH447" s="12" t="str">
        <f>IF(AF447=0,"",IF(COUNTIFS($AF$3:AF447,"&gt;0",$S$3:S447,S447)&gt;3,"Trừ toàn bộ chuyên cần tháng",""))</f>
        <v/>
      </c>
      <c r="AI447" s="12"/>
    </row>
    <row r="448" spans="1:35" x14ac:dyDescent="0.25">
      <c r="A448" s="4" t="s">
        <v>750</v>
      </c>
      <c r="B448" s="1" t="s">
        <v>677</v>
      </c>
      <c r="C448" s="1" t="s">
        <v>20</v>
      </c>
      <c r="D448" s="1" t="s">
        <v>123</v>
      </c>
      <c r="E448" s="1" t="s">
        <v>22</v>
      </c>
      <c r="F448" s="1" t="s">
        <v>23</v>
      </c>
      <c r="G448" s="1" t="s">
        <v>12</v>
      </c>
      <c r="H448" s="1" t="s">
        <v>770</v>
      </c>
      <c r="I448" s="1" t="s">
        <v>24</v>
      </c>
      <c r="J448" s="1" t="s">
        <v>314</v>
      </c>
      <c r="K448" s="1" t="s">
        <v>25</v>
      </c>
      <c r="L448" s="1" t="s">
        <v>26</v>
      </c>
      <c r="M448" s="1" t="s">
        <v>25</v>
      </c>
      <c r="N448" s="1" t="s">
        <v>25</v>
      </c>
      <c r="O448" s="1" t="s">
        <v>25</v>
      </c>
      <c r="P448" s="1" t="s">
        <v>25</v>
      </c>
      <c r="Q448" s="1" t="s">
        <v>25</v>
      </c>
      <c r="R448" s="85" t="str">
        <f t="shared" si="24"/>
        <v>3845926</v>
      </c>
      <c r="S448" t="str">
        <f>VLOOKUP(A448,Data_NV!$A:$C,3,0)</f>
        <v>Nguyễn Quốc Thái</v>
      </c>
      <c r="T448" t="str">
        <f>VLOOKUP(A448,Data_NV!$A:$E,4,0)</f>
        <v>Kinh doanh</v>
      </c>
      <c r="U448" s="82">
        <f>DATEVALUE(Table2[[#This Row],[Ngày]])</f>
        <v>45926</v>
      </c>
      <c r="V448" t="str">
        <f>VLOOKUP(A448,Data_NV!$A:$E,5,0)</f>
        <v>Đang làm việc</v>
      </c>
      <c r="W448" s="10">
        <f>VLOOKUP(A448,Data_NV!$A:$I,8,0)</f>
        <v>0.33333333333333331</v>
      </c>
      <c r="X448" s="10">
        <f>VLOOKUP(A448,Data_NV!$A:$I,9,0)</f>
        <v>0.70833333333333337</v>
      </c>
      <c r="Y448" s="10">
        <f>IFERROR(TIMEVALUE(Table2[[#This Row],[Vào]]),0)</f>
        <v>0.3344212962962963</v>
      </c>
      <c r="Z448" s="10">
        <f>IFERROR(TIMEVALUE(Table2[[#This Row],[Ra]]),0)</f>
        <v>0</v>
      </c>
      <c r="AA448" t="str">
        <f t="shared" si="25"/>
        <v>x</v>
      </c>
      <c r="AB448" s="105">
        <f t="shared" si="26"/>
        <v>1.5666666666666984</v>
      </c>
      <c r="AC448" s="12" t="str">
        <f>IF(VLOOKUP(A448,Data_NV!$A:$I,7,0)="Không","",IF(OR(AND(Y448=0,Z448=0),AND(Y448&lt;&gt;0,Z448&lt;&gt;0)),"","Quên chấm công"))</f>
        <v/>
      </c>
      <c r="AD448" s="12">
        <f>IF(VLOOKUP(A448,Data_NV!$A:$I,7,0)="Không",0,IF(AND(Y448=0,Z448=0),0,IF(X448&lt;=Z448,0,ROUNDDOWN((X448-Z448)*24*60,0))))</f>
        <v>0</v>
      </c>
      <c r="AE448" s="12">
        <f>IF(VLOOKUP(A448,Data_NV!$A:$I,6,0)="Không",0,IF(Z448&lt;=X448,0,ROUNDDOWN((Z448-X448)*24*60,0)))</f>
        <v>0</v>
      </c>
      <c r="AF448" s="26">
        <f t="shared" si="27"/>
        <v>0</v>
      </c>
      <c r="AG448" s="27" t="str">
        <f>IF(AC448="","",IF(COUNTIFS($AC$3:AC448,"Quên chấm công",$S$3:S448,S448)&gt;3,"Không chấm công do vi phạm quá 3 lần",IF(COUNTIFS($AC$3:AC448,"Quên chấm công",$S$3:S448,S448)&gt;2,"Trừ toàn bộ chuyên cần tháng do vi phạm lần 3",IF(COUNTIFS($AC$3:AC448,"Quên chấm công",$S$3:S448,S448)&gt;1,"Trừ 1/2 ngày lương",50000))))</f>
        <v/>
      </c>
      <c r="AH448" s="12" t="str">
        <f>IF(AF448=0,"",IF(COUNTIFS($AF$3:AF448,"&gt;0",$S$3:S448,S448)&gt;3,"Trừ toàn bộ chuyên cần tháng",""))</f>
        <v/>
      </c>
      <c r="AI448" s="12"/>
    </row>
    <row r="449" spans="1:35" x14ac:dyDescent="0.25">
      <c r="A449" s="4" t="s">
        <v>750</v>
      </c>
      <c r="B449" s="1" t="s">
        <v>677</v>
      </c>
      <c r="C449" s="1" t="s">
        <v>20</v>
      </c>
      <c r="D449" s="1" t="s">
        <v>125</v>
      </c>
      <c r="E449" s="1" t="s">
        <v>22</v>
      </c>
      <c r="F449" s="1" t="s">
        <v>23</v>
      </c>
      <c r="G449" s="1" t="s">
        <v>12</v>
      </c>
      <c r="H449" s="1" t="s">
        <v>24</v>
      </c>
      <c r="I449" s="1" t="s">
        <v>24</v>
      </c>
      <c r="J449" s="1" t="s">
        <v>25</v>
      </c>
      <c r="K449" s="1" t="s">
        <v>25</v>
      </c>
      <c r="L449" s="1" t="s">
        <v>26</v>
      </c>
      <c r="M449" s="1" t="s">
        <v>25</v>
      </c>
      <c r="N449" s="1" t="s">
        <v>25</v>
      </c>
      <c r="O449" s="1" t="s">
        <v>25</v>
      </c>
      <c r="P449" s="1" t="s">
        <v>25</v>
      </c>
      <c r="Q449" s="1" t="s">
        <v>25</v>
      </c>
      <c r="R449" s="85" t="str">
        <f t="shared" si="24"/>
        <v>3845927</v>
      </c>
      <c r="S449" t="str">
        <f>VLOOKUP(A449,Data_NV!$A:$C,3,0)</f>
        <v>Nguyễn Quốc Thái</v>
      </c>
      <c r="T449" t="str">
        <f>VLOOKUP(A449,Data_NV!$A:$E,4,0)</f>
        <v>Kinh doanh</v>
      </c>
      <c r="U449" s="82">
        <f>DATEVALUE(Table2[[#This Row],[Ngày]])</f>
        <v>45927</v>
      </c>
      <c r="V449" t="str">
        <f>VLOOKUP(A449,Data_NV!$A:$E,5,0)</f>
        <v>Đang làm việc</v>
      </c>
      <c r="W449" s="10">
        <f>VLOOKUP(A449,Data_NV!$A:$I,8,0)</f>
        <v>0.33333333333333331</v>
      </c>
      <c r="X449" s="10">
        <f>VLOOKUP(A449,Data_NV!$A:$I,9,0)</f>
        <v>0.70833333333333337</v>
      </c>
      <c r="Y449" s="10">
        <f>IFERROR(TIMEVALUE(Table2[[#This Row],[Vào]]),0)</f>
        <v>0</v>
      </c>
      <c r="Z449" s="10">
        <f>IFERROR(TIMEVALUE(Table2[[#This Row],[Ra]]),0)</f>
        <v>0</v>
      </c>
      <c r="AA449" t="s">
        <v>1384</v>
      </c>
      <c r="AB449" s="105">
        <f t="shared" si="26"/>
        <v>0</v>
      </c>
      <c r="AC449" s="12" t="str">
        <f>IF(VLOOKUP(A449,Data_NV!$A:$I,7,0)="Không","",IF(OR(AND(Y449=0,Z449=0),AND(Y449&lt;&gt;0,Z449&lt;&gt;0)),"","Quên chấm công"))</f>
        <v/>
      </c>
      <c r="AD449" s="12">
        <f>IF(VLOOKUP(A449,Data_NV!$A:$I,7,0)="Không",0,IF(AND(Y449=0,Z449=0),0,IF(X449&lt;=Z449,0,ROUNDDOWN((X449-Z449)*24*60,0))))</f>
        <v>0</v>
      </c>
      <c r="AE449" s="12">
        <f>IF(VLOOKUP(A449,Data_NV!$A:$I,6,0)="Không",0,IF(Z449&lt;=X449,0,ROUNDDOWN((Z449-X449)*24*60,0)))</f>
        <v>0</v>
      </c>
      <c r="AF449" s="26">
        <f t="shared" si="27"/>
        <v>0</v>
      </c>
      <c r="AG449" s="27" t="str">
        <f>IF(AC449="","",IF(COUNTIFS($AC$3:AC449,"Quên chấm công",$S$3:S449,S449)&gt;3,"Không chấm công do vi phạm quá 3 lần",IF(COUNTIFS($AC$3:AC449,"Quên chấm công",$S$3:S449,S449)&gt;2,"Trừ toàn bộ chuyên cần tháng do vi phạm lần 3",IF(COUNTIFS($AC$3:AC449,"Quên chấm công",$S$3:S449,S449)&gt;1,"Trừ 1/2 ngày lương",50000))))</f>
        <v/>
      </c>
      <c r="AH449" s="12" t="str">
        <f>IF(AF449=0,"",IF(COUNTIFS($AF$3:AF449,"&gt;0",$S$3:S449,S449)&gt;3,"Trừ toàn bộ chuyên cần tháng",""))</f>
        <v/>
      </c>
      <c r="AI449" s="12" t="s">
        <v>1385</v>
      </c>
    </row>
    <row r="450" spans="1:35" x14ac:dyDescent="0.25">
      <c r="A450" s="4" t="s">
        <v>750</v>
      </c>
      <c r="B450" s="1" t="s">
        <v>677</v>
      </c>
      <c r="C450" s="1" t="s">
        <v>20</v>
      </c>
      <c r="D450" s="1" t="s">
        <v>130</v>
      </c>
      <c r="E450" s="1" t="s">
        <v>22</v>
      </c>
      <c r="F450" s="1" t="s">
        <v>23</v>
      </c>
      <c r="G450" s="1" t="s">
        <v>12</v>
      </c>
      <c r="H450" s="1" t="s">
        <v>24</v>
      </c>
      <c r="I450" s="1" t="s">
        <v>24</v>
      </c>
      <c r="J450" s="1" t="s">
        <v>25</v>
      </c>
      <c r="K450" s="1" t="s">
        <v>25</v>
      </c>
      <c r="L450" s="1" t="s">
        <v>26</v>
      </c>
      <c r="M450" s="1" t="s">
        <v>25</v>
      </c>
      <c r="N450" s="1" t="s">
        <v>25</v>
      </c>
      <c r="O450" s="1" t="s">
        <v>25</v>
      </c>
      <c r="P450" s="1" t="s">
        <v>25</v>
      </c>
      <c r="Q450" s="1" t="s">
        <v>25</v>
      </c>
      <c r="R450" s="85" t="str">
        <f t="shared" si="24"/>
        <v>3845928</v>
      </c>
      <c r="S450" t="str">
        <f>VLOOKUP(A450,Data_NV!$A:$C,3,0)</f>
        <v>Nguyễn Quốc Thái</v>
      </c>
      <c r="T450" t="str">
        <f>VLOOKUP(A450,Data_NV!$A:$E,4,0)</f>
        <v>Kinh doanh</v>
      </c>
      <c r="U450" s="82">
        <f>DATEVALUE(Table2[[#This Row],[Ngày]])</f>
        <v>45928</v>
      </c>
      <c r="V450" t="str">
        <f>VLOOKUP(A450,Data_NV!$A:$E,5,0)</f>
        <v>Đang làm việc</v>
      </c>
      <c r="W450" s="10">
        <f>VLOOKUP(A450,Data_NV!$A:$I,8,0)</f>
        <v>0.33333333333333331</v>
      </c>
      <c r="X450" s="10">
        <f>VLOOKUP(A450,Data_NV!$A:$I,9,0)</f>
        <v>0.70833333333333337</v>
      </c>
      <c r="Y450" s="10">
        <f>IFERROR(TIMEVALUE(Table2[[#This Row],[Vào]]),0)</f>
        <v>0</v>
      </c>
      <c r="Z450" s="10">
        <f>IFERROR(TIMEVALUE(Table2[[#This Row],[Ra]]),0)</f>
        <v>0</v>
      </c>
      <c r="AA450" t="str">
        <f t="shared" si="25"/>
        <v>Chủ nhật</v>
      </c>
      <c r="AB450" s="105">
        <f t="shared" si="26"/>
        <v>0</v>
      </c>
      <c r="AC450" s="12" t="str">
        <f>IF(VLOOKUP(A450,Data_NV!$A:$I,7,0)="Không","",IF(OR(AND(Y450=0,Z450=0),AND(Y450&lt;&gt;0,Z450&lt;&gt;0)),"","Quên chấm công"))</f>
        <v/>
      </c>
      <c r="AD450" s="12">
        <f>IF(VLOOKUP(A450,Data_NV!$A:$I,7,0)="Không",0,IF(AND(Y450=0,Z450=0),0,IF(X450&lt;=Z450,0,ROUNDDOWN((X450-Z450)*24*60,0))))</f>
        <v>0</v>
      </c>
      <c r="AE450" s="12">
        <f>IF(VLOOKUP(A450,Data_NV!$A:$I,6,0)="Không",0,IF(Z450&lt;=X450,0,ROUNDDOWN((Z450-X450)*24*60,0)))</f>
        <v>0</v>
      </c>
      <c r="AF450" s="26">
        <f t="shared" si="27"/>
        <v>0</v>
      </c>
      <c r="AG450" s="27" t="str">
        <f>IF(AC450="","",IF(COUNTIFS($AC$3:AC450,"Quên chấm công",$S$3:S450,S450)&gt;3,"Không chấm công do vi phạm quá 3 lần",IF(COUNTIFS($AC$3:AC450,"Quên chấm công",$S$3:S450,S450)&gt;2,"Trừ toàn bộ chuyên cần tháng do vi phạm lần 3",IF(COUNTIFS($AC$3:AC450,"Quên chấm công",$S$3:S450,S450)&gt;1,"Trừ 1/2 ngày lương",50000))))</f>
        <v/>
      </c>
      <c r="AH450" s="12" t="str">
        <f>IF(AF450=0,"",IF(COUNTIFS($AF$3:AF450,"&gt;0",$S$3:S450,S450)&gt;3,"Trừ toàn bộ chuyên cần tháng",""))</f>
        <v/>
      </c>
      <c r="AI450" s="12"/>
    </row>
    <row r="451" spans="1:35" x14ac:dyDescent="0.25">
      <c r="A451" s="4" t="s">
        <v>750</v>
      </c>
      <c r="B451" s="1" t="s">
        <v>677</v>
      </c>
      <c r="C451" s="1" t="s">
        <v>20</v>
      </c>
      <c r="D451" s="1" t="s">
        <v>131</v>
      </c>
      <c r="E451" s="1" t="s">
        <v>22</v>
      </c>
      <c r="F451" s="1" t="s">
        <v>23</v>
      </c>
      <c r="G451" s="1" t="s">
        <v>12</v>
      </c>
      <c r="H451" s="1" t="s">
        <v>771</v>
      </c>
      <c r="I451" s="1" t="s">
        <v>24</v>
      </c>
      <c r="J451" s="1" t="s">
        <v>25</v>
      </c>
      <c r="K451" s="1" t="s">
        <v>25</v>
      </c>
      <c r="L451" s="1" t="s">
        <v>26</v>
      </c>
      <c r="M451" s="1" t="s">
        <v>25</v>
      </c>
      <c r="N451" s="1" t="s">
        <v>25</v>
      </c>
      <c r="O451" s="1" t="s">
        <v>25</v>
      </c>
      <c r="P451" s="1" t="s">
        <v>25</v>
      </c>
      <c r="Q451" s="1" t="s">
        <v>25</v>
      </c>
      <c r="R451" s="85" t="str">
        <f t="shared" ref="R451:R514" si="28">A451&amp;U451</f>
        <v>3845929</v>
      </c>
      <c r="S451" t="str">
        <f>VLOOKUP(A451,Data_NV!$A:$C,3,0)</f>
        <v>Nguyễn Quốc Thái</v>
      </c>
      <c r="T451" t="str">
        <f>VLOOKUP(A451,Data_NV!$A:$E,4,0)</f>
        <v>Kinh doanh</v>
      </c>
      <c r="U451" s="82">
        <f>DATEVALUE(Table2[[#This Row],[Ngày]])</f>
        <v>45929</v>
      </c>
      <c r="V451" t="str">
        <f>VLOOKUP(A451,Data_NV!$A:$E,5,0)</f>
        <v>Đang làm việc</v>
      </c>
      <c r="W451" s="10">
        <f>VLOOKUP(A451,Data_NV!$A:$I,8,0)</f>
        <v>0.33333333333333331</v>
      </c>
      <c r="X451" s="10">
        <f>VLOOKUP(A451,Data_NV!$A:$I,9,0)</f>
        <v>0.70833333333333337</v>
      </c>
      <c r="Y451" s="10">
        <f>IFERROR(TIMEVALUE(Table2[[#This Row],[Vào]]),0)</f>
        <v>0.31967592592592592</v>
      </c>
      <c r="Z451" s="10">
        <f>IFERROR(TIMEVALUE(Table2[[#This Row],[Ra]]),0)</f>
        <v>0</v>
      </c>
      <c r="AA451" t="str">
        <f t="shared" ref="AA451:AA512" si="29">IF(TEXT($U451,"ddd")="CN","Chủ nhật",IF(OR(AND(Y451=0,Z451=0),AG451="Không chấm công do vi phạm quá 3 lần"),"",IF(OR(AG451="Trừ 1/2 ngày lương",AF451="Trừ 1/2 ngày lương",AB451&gt;=60),"1/2","x")))</f>
        <v>x</v>
      </c>
      <c r="AB451" s="105">
        <f t="shared" ref="AB451:AB514" si="30">IF(Y451&lt;=W451,0,(Y451-W451)*24*60)</f>
        <v>0</v>
      </c>
      <c r="AC451" s="12" t="str">
        <f>IF(VLOOKUP(A451,Data_NV!$A:$I,7,0)="Không","",IF(OR(AND(Y451=0,Z451=0),AND(Y451&lt;&gt;0,Z451&lt;&gt;0)),"","Quên chấm công"))</f>
        <v/>
      </c>
      <c r="AD451" s="12">
        <f>IF(VLOOKUP(A451,Data_NV!$A:$I,7,0)="Không",0,IF(AND(Y451=0,Z451=0),0,IF(X451&lt;=Z451,0,ROUNDDOWN((X451-Z451)*24*60,0))))</f>
        <v>0</v>
      </c>
      <c r="AE451" s="12">
        <f>IF(VLOOKUP(A451,Data_NV!$A:$I,6,0)="Không",0,IF(Z451&lt;=X451,0,ROUNDDOWN((Z451-X451)*24*60,0)))</f>
        <v>0</v>
      </c>
      <c r="AF451" s="26">
        <f t="shared" ref="AF451:AF514" si="31">IF(AB451&gt;60,"Trừ 1/2 ngày lương",IF(AB451&gt;15,50000,IF(AB451&gt;6,30000,0)))</f>
        <v>0</v>
      </c>
      <c r="AG451" s="27" t="str">
        <f>IF(AC451="","",IF(COUNTIFS($AC$3:AC451,"Quên chấm công",$S$3:S451,S451)&gt;3,"Không chấm công do vi phạm quá 3 lần",IF(COUNTIFS($AC$3:AC451,"Quên chấm công",$S$3:S451,S451)&gt;2,"Trừ toàn bộ chuyên cần tháng do vi phạm lần 3",IF(COUNTIFS($AC$3:AC451,"Quên chấm công",$S$3:S451,S451)&gt;1,"Trừ 1/2 ngày lương",50000))))</f>
        <v/>
      </c>
      <c r="AH451" s="12" t="str">
        <f>IF(AF451=0,"",IF(COUNTIFS($AF$3:AF451,"&gt;0",$S$3:S451,S451)&gt;3,"Trừ toàn bộ chuyên cần tháng",""))</f>
        <v/>
      </c>
      <c r="AI451" s="12"/>
    </row>
    <row r="452" spans="1:35" x14ac:dyDescent="0.25">
      <c r="A452" s="4" t="s">
        <v>750</v>
      </c>
      <c r="B452" s="1" t="s">
        <v>677</v>
      </c>
      <c r="C452" s="1" t="s">
        <v>20</v>
      </c>
      <c r="D452" s="1" t="s">
        <v>136</v>
      </c>
      <c r="E452" s="1" t="s">
        <v>22</v>
      </c>
      <c r="F452" s="1" t="s">
        <v>23</v>
      </c>
      <c r="G452" s="1" t="s">
        <v>12</v>
      </c>
      <c r="H452" s="1" t="s">
        <v>772</v>
      </c>
      <c r="I452" s="1" t="s">
        <v>24</v>
      </c>
      <c r="J452" s="1" t="s">
        <v>251</v>
      </c>
      <c r="K452" s="1" t="s">
        <v>25</v>
      </c>
      <c r="L452" s="1" t="s">
        <v>26</v>
      </c>
      <c r="M452" s="1" t="s">
        <v>25</v>
      </c>
      <c r="N452" s="1" t="s">
        <v>25</v>
      </c>
      <c r="O452" s="1" t="s">
        <v>25</v>
      </c>
      <c r="P452" s="1" t="s">
        <v>25</v>
      </c>
      <c r="Q452" s="1" t="s">
        <v>25</v>
      </c>
      <c r="R452" s="85" t="str">
        <f t="shared" si="28"/>
        <v>3845930</v>
      </c>
      <c r="S452" t="str">
        <f>VLOOKUP(A452,Data_NV!$A:$C,3,0)</f>
        <v>Nguyễn Quốc Thái</v>
      </c>
      <c r="T452" t="str">
        <f>VLOOKUP(A452,Data_NV!$A:$E,4,0)</f>
        <v>Kinh doanh</v>
      </c>
      <c r="U452" s="82">
        <f>DATEVALUE(Table2[[#This Row],[Ngày]])</f>
        <v>45930</v>
      </c>
      <c r="V452" t="str">
        <f>VLOOKUP(A452,Data_NV!$A:$E,5,0)</f>
        <v>Đang làm việc</v>
      </c>
      <c r="W452" s="10">
        <f>VLOOKUP(A452,Data_NV!$A:$I,8,0)</f>
        <v>0.33333333333333331</v>
      </c>
      <c r="X452" s="10">
        <f>VLOOKUP(A452,Data_NV!$A:$I,9,0)</f>
        <v>0.70833333333333337</v>
      </c>
      <c r="Y452" s="10">
        <f>IFERROR(TIMEVALUE(Table2[[#This Row],[Vào]]),0)</f>
        <v>0.33641203703703704</v>
      </c>
      <c r="Z452" s="10">
        <f>IFERROR(TIMEVALUE(Table2[[#This Row],[Ra]]),0)</f>
        <v>0</v>
      </c>
      <c r="AA452" t="str">
        <f t="shared" si="29"/>
        <v>x</v>
      </c>
      <c r="AB452" s="105">
        <f t="shared" si="30"/>
        <v>4.4333333333333602</v>
      </c>
      <c r="AC452" s="12" t="str">
        <f>IF(VLOOKUP(A452,Data_NV!$A:$I,7,0)="Không","",IF(OR(AND(Y452=0,Z452=0),AND(Y452&lt;&gt;0,Z452&lt;&gt;0)),"","Quên chấm công"))</f>
        <v/>
      </c>
      <c r="AD452" s="12">
        <f>IF(VLOOKUP(A452,Data_NV!$A:$I,7,0)="Không",0,IF(AND(Y452=0,Z452=0),0,IF(X452&lt;=Z452,0,ROUNDDOWN((X452-Z452)*24*60,0))))</f>
        <v>0</v>
      </c>
      <c r="AE452" s="12">
        <f>IF(VLOOKUP(A452,Data_NV!$A:$I,6,0)="Không",0,IF(Z452&lt;=X452,0,ROUNDDOWN((Z452-X452)*24*60,0)))</f>
        <v>0</v>
      </c>
      <c r="AF452" s="26">
        <f t="shared" si="31"/>
        <v>0</v>
      </c>
      <c r="AG452" s="27" t="str">
        <f>IF(AC452="","",IF(COUNTIFS($AC$3:AC452,"Quên chấm công",$S$3:S452,S452)&gt;3,"Không chấm công do vi phạm quá 3 lần",IF(COUNTIFS($AC$3:AC452,"Quên chấm công",$S$3:S452,S452)&gt;2,"Trừ toàn bộ chuyên cần tháng do vi phạm lần 3",IF(COUNTIFS($AC$3:AC452,"Quên chấm công",$S$3:S452,S452)&gt;1,"Trừ 1/2 ngày lương",50000))))</f>
        <v/>
      </c>
      <c r="AH452" s="12" t="str">
        <f>IF(AF452=0,"",IF(COUNTIFS($AF$3:AF452,"&gt;0",$S$3:S452,S452)&gt;3,"Trừ toàn bộ chuyên cần tháng",""))</f>
        <v/>
      </c>
      <c r="AI452" s="12"/>
    </row>
    <row r="453" spans="1:35" x14ac:dyDescent="0.25">
      <c r="A453" s="4" t="s">
        <v>776</v>
      </c>
      <c r="B453" s="1" t="s">
        <v>777</v>
      </c>
      <c r="C453" s="1" t="s">
        <v>20</v>
      </c>
      <c r="D453" s="1" t="s">
        <v>21</v>
      </c>
      <c r="E453" s="1" t="s">
        <v>22</v>
      </c>
      <c r="F453" s="1" t="s">
        <v>23</v>
      </c>
      <c r="G453" s="1" t="s">
        <v>12</v>
      </c>
      <c r="H453" s="1" t="s">
        <v>24</v>
      </c>
      <c r="I453" s="1" t="s">
        <v>24</v>
      </c>
      <c r="J453" s="1" t="s">
        <v>25</v>
      </c>
      <c r="K453" s="1" t="s">
        <v>25</v>
      </c>
      <c r="L453" s="1" t="s">
        <v>26</v>
      </c>
      <c r="M453" s="1" t="s">
        <v>25</v>
      </c>
      <c r="N453" s="1" t="s">
        <v>25</v>
      </c>
      <c r="O453" s="1" t="s">
        <v>25</v>
      </c>
      <c r="P453" s="1" t="s">
        <v>25</v>
      </c>
      <c r="Q453" s="1" t="s">
        <v>25</v>
      </c>
      <c r="R453" s="85" t="str">
        <f t="shared" si="28"/>
        <v>4045901</v>
      </c>
      <c r="S453" t="str">
        <f>VLOOKUP(A453,Data_NV!$A:$C,3,0)</f>
        <v>Nguyễn Văn Vinh</v>
      </c>
      <c r="T453" t="str">
        <f>VLOOKUP(A453,Data_NV!$A:$E,4,0)</f>
        <v>Kinh doanh</v>
      </c>
      <c r="U453" s="82">
        <f>DATEVALUE(Table2[[#This Row],[Ngày]])</f>
        <v>45901</v>
      </c>
      <c r="V453" t="str">
        <f>VLOOKUP(A453,Data_NV!$A:$E,5,0)</f>
        <v>Đang làm việc</v>
      </c>
      <c r="W453" s="10">
        <f>VLOOKUP(A453,Data_NV!$A:$I,8,0)</f>
        <v>0.33333333333333331</v>
      </c>
      <c r="X453" s="10">
        <f>VLOOKUP(A453,Data_NV!$A:$I,9,0)</f>
        <v>0.70833333333333337</v>
      </c>
      <c r="Y453" s="10">
        <f>IFERROR(TIMEVALUE(Table2[[#This Row],[Vào]]),0)</f>
        <v>0</v>
      </c>
      <c r="Z453" s="10">
        <f>IFERROR(TIMEVALUE(Table2[[#This Row],[Ra]]),0)</f>
        <v>0</v>
      </c>
      <c r="AA453" s="97" t="s">
        <v>1349</v>
      </c>
      <c r="AB453" s="105">
        <f t="shared" si="30"/>
        <v>0</v>
      </c>
      <c r="AC453" s="12" t="str">
        <f>IF(VLOOKUP(A453,Data_NV!$A:$I,7,0)="Không","",IF(OR(AND(Y453=0,Z453=0),AND(Y453&lt;&gt;0,Z453&lt;&gt;0)),"","Quên chấm công"))</f>
        <v/>
      </c>
      <c r="AD453" s="12">
        <f>IF(VLOOKUP(A453,Data_NV!$A:$I,7,0)="Không",0,IF(AND(Y453=0,Z453=0),0,IF(X453&lt;=Z453,0,ROUNDDOWN((X453-Z453)*24*60,0))))</f>
        <v>0</v>
      </c>
      <c r="AE453" s="12">
        <f>IF(VLOOKUP(A453,Data_NV!$A:$I,6,0)="Không",0,IF(Z453&lt;=X453,0,ROUNDDOWN((Z453-X453)*24*60,0)))</f>
        <v>0</v>
      </c>
      <c r="AF453" s="26">
        <f t="shared" si="31"/>
        <v>0</v>
      </c>
      <c r="AG453" s="27" t="str">
        <f>IF(AC453="","",IF(COUNTIFS($AC$3:AC453,"Quên chấm công",$S$3:S453,S453)&gt;3,"Không chấm công do vi phạm quá 3 lần",IF(COUNTIFS($AC$3:AC453,"Quên chấm công",$S$3:S453,S453)&gt;2,"Trừ toàn bộ chuyên cần tháng do vi phạm lần 3",IF(COUNTIFS($AC$3:AC453,"Quên chấm công",$S$3:S453,S453)&gt;1,"Trừ 1/2 ngày lương",50000))))</f>
        <v/>
      </c>
      <c r="AH453" s="12" t="str">
        <f>IF(AF453=0,"",IF(COUNTIFS($AF$3:AF453,"&gt;0",$S$3:S453,S453)&gt;3,"Trừ toàn bộ chuyên cần tháng",""))</f>
        <v/>
      </c>
      <c r="AI453" s="98" t="s">
        <v>1369</v>
      </c>
    </row>
    <row r="454" spans="1:35" x14ac:dyDescent="0.25">
      <c r="A454" s="4" t="s">
        <v>776</v>
      </c>
      <c r="B454" s="1" t="s">
        <v>777</v>
      </c>
      <c r="C454" s="1" t="s">
        <v>20</v>
      </c>
      <c r="D454" s="1" t="s">
        <v>27</v>
      </c>
      <c r="E454" s="1" t="s">
        <v>22</v>
      </c>
      <c r="F454" s="1" t="s">
        <v>23</v>
      </c>
      <c r="G454" s="1" t="s">
        <v>12</v>
      </c>
      <c r="H454" s="1" t="s">
        <v>24</v>
      </c>
      <c r="I454" s="1" t="s">
        <v>24</v>
      </c>
      <c r="J454" s="1" t="s">
        <v>25</v>
      </c>
      <c r="K454" s="1" t="s">
        <v>25</v>
      </c>
      <c r="L454" s="1" t="s">
        <v>26</v>
      </c>
      <c r="M454" s="1" t="s">
        <v>25</v>
      </c>
      <c r="N454" s="1" t="s">
        <v>25</v>
      </c>
      <c r="O454" s="1" t="s">
        <v>25</v>
      </c>
      <c r="P454" s="1" t="s">
        <v>25</v>
      </c>
      <c r="Q454" s="1" t="s">
        <v>25</v>
      </c>
      <c r="R454" s="85" t="str">
        <f t="shared" si="28"/>
        <v>4045902</v>
      </c>
      <c r="S454" t="str">
        <f>VLOOKUP(A454,Data_NV!$A:$C,3,0)</f>
        <v>Nguyễn Văn Vinh</v>
      </c>
      <c r="T454" t="str">
        <f>VLOOKUP(A454,Data_NV!$A:$E,4,0)</f>
        <v>Kinh doanh</v>
      </c>
      <c r="U454" s="82">
        <f>DATEVALUE(Table2[[#This Row],[Ngày]])</f>
        <v>45902</v>
      </c>
      <c r="V454" t="str">
        <f>VLOOKUP(A454,Data_NV!$A:$E,5,0)</f>
        <v>Đang làm việc</v>
      </c>
      <c r="W454" s="10">
        <f>VLOOKUP(A454,Data_NV!$A:$I,8,0)</f>
        <v>0.33333333333333331</v>
      </c>
      <c r="X454" s="10">
        <f>VLOOKUP(A454,Data_NV!$A:$I,9,0)</f>
        <v>0.70833333333333337</v>
      </c>
      <c r="Y454" s="10">
        <f>IFERROR(TIMEVALUE(Table2[[#This Row],[Vào]]),0)</f>
        <v>0</v>
      </c>
      <c r="Z454" s="10">
        <f>IFERROR(TIMEVALUE(Table2[[#This Row],[Ra]]),0)</f>
        <v>0</v>
      </c>
      <c r="AA454" s="97" t="s">
        <v>1349</v>
      </c>
      <c r="AB454" s="105">
        <f t="shared" si="30"/>
        <v>0</v>
      </c>
      <c r="AC454" s="12" t="str">
        <f>IF(VLOOKUP(A454,Data_NV!$A:$I,7,0)="Không","",IF(OR(AND(Y454=0,Z454=0),AND(Y454&lt;&gt;0,Z454&lt;&gt;0)),"","Quên chấm công"))</f>
        <v/>
      </c>
      <c r="AD454" s="12">
        <f>IF(VLOOKUP(A454,Data_NV!$A:$I,7,0)="Không",0,IF(AND(Y454=0,Z454=0),0,IF(X454&lt;=Z454,0,ROUNDDOWN((X454-Z454)*24*60,0))))</f>
        <v>0</v>
      </c>
      <c r="AE454" s="12">
        <f>IF(VLOOKUP(A454,Data_NV!$A:$I,6,0)="Không",0,IF(Z454&lt;=X454,0,ROUNDDOWN((Z454-X454)*24*60,0)))</f>
        <v>0</v>
      </c>
      <c r="AF454" s="26">
        <f t="shared" si="31"/>
        <v>0</v>
      </c>
      <c r="AG454" s="27" t="str">
        <f>IF(AC454="","",IF(COUNTIFS($AC$3:AC454,"Quên chấm công",$S$3:S454,S454)&gt;3,"Không chấm công do vi phạm quá 3 lần",IF(COUNTIFS($AC$3:AC454,"Quên chấm công",$S$3:S454,S454)&gt;2,"Trừ toàn bộ chuyên cần tháng do vi phạm lần 3",IF(COUNTIFS($AC$3:AC454,"Quên chấm công",$S$3:S454,S454)&gt;1,"Trừ 1/2 ngày lương",50000))))</f>
        <v/>
      </c>
      <c r="AH454" s="12" t="str">
        <f>IF(AF454=0,"",IF(COUNTIFS($AF$3:AF454,"&gt;0",$S$3:S454,S454)&gt;3,"Trừ toàn bộ chuyên cần tháng",""))</f>
        <v/>
      </c>
      <c r="AI454" s="98" t="s">
        <v>1369</v>
      </c>
    </row>
    <row r="455" spans="1:35" x14ac:dyDescent="0.25">
      <c r="A455" s="4" t="s">
        <v>776</v>
      </c>
      <c r="B455" s="1" t="s">
        <v>777</v>
      </c>
      <c r="C455" s="1" t="s">
        <v>20</v>
      </c>
      <c r="D455" s="1" t="s">
        <v>28</v>
      </c>
      <c r="E455" s="1" t="s">
        <v>22</v>
      </c>
      <c r="F455" s="1" t="s">
        <v>23</v>
      </c>
      <c r="G455" s="1" t="s">
        <v>12</v>
      </c>
      <c r="H455" s="1" t="s">
        <v>778</v>
      </c>
      <c r="I455" s="1" t="s">
        <v>24</v>
      </c>
      <c r="J455" s="1" t="s">
        <v>691</v>
      </c>
      <c r="K455" s="1" t="s">
        <v>25</v>
      </c>
      <c r="L455" s="1" t="s">
        <v>26</v>
      </c>
      <c r="M455" s="1" t="s">
        <v>25</v>
      </c>
      <c r="N455" s="1" t="s">
        <v>25</v>
      </c>
      <c r="O455" s="1" t="s">
        <v>25</v>
      </c>
      <c r="P455" s="1" t="s">
        <v>25</v>
      </c>
      <c r="Q455" s="1" t="s">
        <v>25</v>
      </c>
      <c r="R455" s="85" t="str">
        <f t="shared" si="28"/>
        <v>4045903</v>
      </c>
      <c r="S455" t="str">
        <f>VLOOKUP(A455,Data_NV!$A:$C,3,0)</f>
        <v>Nguyễn Văn Vinh</v>
      </c>
      <c r="T455" t="str">
        <f>VLOOKUP(A455,Data_NV!$A:$E,4,0)</f>
        <v>Kinh doanh</v>
      </c>
      <c r="U455" s="82">
        <f>DATEVALUE(Table2[[#This Row],[Ngày]])</f>
        <v>45903</v>
      </c>
      <c r="V455" t="str">
        <f>VLOOKUP(A455,Data_NV!$A:$E,5,0)</f>
        <v>Đang làm việc</v>
      </c>
      <c r="W455" s="10">
        <f>VLOOKUP(A455,Data_NV!$A:$I,8,0)</f>
        <v>0.33333333333333331</v>
      </c>
      <c r="X455" s="10">
        <f>VLOOKUP(A455,Data_NV!$A:$I,9,0)</f>
        <v>0.70833333333333337</v>
      </c>
      <c r="Y455" s="10">
        <f>IFERROR(TIMEVALUE(Table2[[#This Row],[Vào]]),0)</f>
        <v>0.33524305555555556</v>
      </c>
      <c r="Z455" s="10">
        <f>IFERROR(TIMEVALUE(Table2[[#This Row],[Ra]]),0)</f>
        <v>0</v>
      </c>
      <c r="AA455" t="str">
        <f t="shared" si="29"/>
        <v>x</v>
      </c>
      <c r="AB455" s="105">
        <f t="shared" si="30"/>
        <v>2.7500000000000302</v>
      </c>
      <c r="AC455" s="12" t="str">
        <f>IF(VLOOKUP(A455,Data_NV!$A:$I,7,0)="Không","",IF(OR(AND(Y455=0,Z455=0),AND(Y455&lt;&gt;0,Z455&lt;&gt;0)),"","Quên chấm công"))</f>
        <v/>
      </c>
      <c r="AD455" s="12">
        <f>IF(VLOOKUP(A455,Data_NV!$A:$I,7,0)="Không",0,IF(AND(Y455=0,Z455=0),0,IF(X455&lt;=Z455,0,ROUNDDOWN((X455-Z455)*24*60,0))))</f>
        <v>0</v>
      </c>
      <c r="AE455" s="12">
        <f>IF(VLOOKUP(A455,Data_NV!$A:$I,6,0)="Không",0,IF(Z455&lt;=X455,0,ROUNDDOWN((Z455-X455)*24*60,0)))</f>
        <v>0</v>
      </c>
      <c r="AF455" s="26">
        <f t="shared" si="31"/>
        <v>0</v>
      </c>
      <c r="AG455" s="27" t="str">
        <f>IF(AC455="","",IF(COUNTIFS($AC$3:AC455,"Quên chấm công",$S$3:S455,S455)&gt;3,"Không chấm công do vi phạm quá 3 lần",IF(COUNTIFS($AC$3:AC455,"Quên chấm công",$S$3:S455,S455)&gt;2,"Trừ toàn bộ chuyên cần tháng do vi phạm lần 3",IF(COUNTIFS($AC$3:AC455,"Quên chấm công",$S$3:S455,S455)&gt;1,"Trừ 1/2 ngày lương",50000))))</f>
        <v/>
      </c>
      <c r="AH455" s="12" t="str">
        <f>IF(AF455=0,"",IF(COUNTIFS($AF$3:AF455,"&gt;0",$S$3:S455,S455)&gt;3,"Trừ toàn bộ chuyên cần tháng",""))</f>
        <v/>
      </c>
      <c r="AI455" s="12"/>
    </row>
    <row r="456" spans="1:35" x14ac:dyDescent="0.25">
      <c r="A456" s="4" t="s">
        <v>776</v>
      </c>
      <c r="B456" s="1" t="s">
        <v>777</v>
      </c>
      <c r="C456" s="1" t="s">
        <v>20</v>
      </c>
      <c r="D456" s="1" t="s">
        <v>35</v>
      </c>
      <c r="E456" s="1" t="s">
        <v>22</v>
      </c>
      <c r="F456" s="1" t="s">
        <v>23</v>
      </c>
      <c r="G456" s="1" t="s">
        <v>12</v>
      </c>
      <c r="H456" s="1" t="s">
        <v>779</v>
      </c>
      <c r="I456" s="1" t="s">
        <v>24</v>
      </c>
      <c r="J456" s="1" t="s">
        <v>25</v>
      </c>
      <c r="K456" s="1" t="s">
        <v>25</v>
      </c>
      <c r="L456" s="1" t="s">
        <v>26</v>
      </c>
      <c r="M456" s="1" t="s">
        <v>25</v>
      </c>
      <c r="N456" s="1" t="s">
        <v>25</v>
      </c>
      <c r="O456" s="1" t="s">
        <v>25</v>
      </c>
      <c r="P456" s="1" t="s">
        <v>25</v>
      </c>
      <c r="Q456" s="1" t="s">
        <v>25</v>
      </c>
      <c r="R456" s="85" t="str">
        <f t="shared" si="28"/>
        <v>4045904</v>
      </c>
      <c r="S456" t="str">
        <f>VLOOKUP(A456,Data_NV!$A:$C,3,0)</f>
        <v>Nguyễn Văn Vinh</v>
      </c>
      <c r="T456" t="str">
        <f>VLOOKUP(A456,Data_NV!$A:$E,4,0)</f>
        <v>Kinh doanh</v>
      </c>
      <c r="U456" s="82">
        <f>DATEVALUE(Table2[[#This Row],[Ngày]])</f>
        <v>45904</v>
      </c>
      <c r="V456" t="str">
        <f>VLOOKUP(A456,Data_NV!$A:$E,5,0)</f>
        <v>Đang làm việc</v>
      </c>
      <c r="W456" s="10">
        <f>VLOOKUP(A456,Data_NV!$A:$I,8,0)</f>
        <v>0.33333333333333331</v>
      </c>
      <c r="X456" s="10">
        <f>VLOOKUP(A456,Data_NV!$A:$I,9,0)</f>
        <v>0.70833333333333337</v>
      </c>
      <c r="Y456" s="10">
        <f>IFERROR(TIMEVALUE(Table2[[#This Row],[Vào]]),0)</f>
        <v>0.33321759259259259</v>
      </c>
      <c r="Z456" s="10">
        <f>IFERROR(TIMEVALUE(Table2[[#This Row],[Ra]]),0)</f>
        <v>0</v>
      </c>
      <c r="AA456" t="str">
        <f t="shared" si="29"/>
        <v>x</v>
      </c>
      <c r="AB456" s="105">
        <f t="shared" si="30"/>
        <v>0</v>
      </c>
      <c r="AC456" s="12" t="str">
        <f>IF(VLOOKUP(A456,Data_NV!$A:$I,7,0)="Không","",IF(OR(AND(Y456=0,Z456=0),AND(Y456&lt;&gt;0,Z456&lt;&gt;0)),"","Quên chấm công"))</f>
        <v/>
      </c>
      <c r="AD456" s="12">
        <f>IF(VLOOKUP(A456,Data_NV!$A:$I,7,0)="Không",0,IF(AND(Y456=0,Z456=0),0,IF(X456&lt;=Z456,0,ROUNDDOWN((X456-Z456)*24*60,0))))</f>
        <v>0</v>
      </c>
      <c r="AE456" s="12">
        <f>IF(VLOOKUP(A456,Data_NV!$A:$I,6,0)="Không",0,IF(Z456&lt;=X456,0,ROUNDDOWN((Z456-X456)*24*60,0)))</f>
        <v>0</v>
      </c>
      <c r="AF456" s="26">
        <f t="shared" si="31"/>
        <v>0</v>
      </c>
      <c r="AG456" s="27" t="str">
        <f>IF(AC456="","",IF(COUNTIFS($AC$3:AC456,"Quên chấm công",$S$3:S456,S456)&gt;3,"Không chấm công do vi phạm quá 3 lần",IF(COUNTIFS($AC$3:AC456,"Quên chấm công",$S$3:S456,S456)&gt;2,"Trừ toàn bộ chuyên cần tháng do vi phạm lần 3",IF(COUNTIFS($AC$3:AC456,"Quên chấm công",$S$3:S456,S456)&gt;1,"Trừ 1/2 ngày lương",50000))))</f>
        <v/>
      </c>
      <c r="AH456" s="12" t="str">
        <f>IF(AF456=0,"",IF(COUNTIFS($AF$3:AF456,"&gt;0",$S$3:S456,S456)&gt;3,"Trừ toàn bộ chuyên cần tháng",""))</f>
        <v/>
      </c>
      <c r="AI456" s="12"/>
    </row>
    <row r="457" spans="1:35" x14ac:dyDescent="0.25">
      <c r="A457" s="4" t="s">
        <v>776</v>
      </c>
      <c r="B457" s="1" t="s">
        <v>777</v>
      </c>
      <c r="C457" s="1" t="s">
        <v>20</v>
      </c>
      <c r="D457" s="1" t="s">
        <v>37</v>
      </c>
      <c r="E457" s="1" t="s">
        <v>22</v>
      </c>
      <c r="F457" s="1" t="s">
        <v>23</v>
      </c>
      <c r="G457" s="1" t="s">
        <v>12</v>
      </c>
      <c r="H457" s="1" t="s">
        <v>780</v>
      </c>
      <c r="I457" s="1" t="s">
        <v>24</v>
      </c>
      <c r="J457" s="1" t="s">
        <v>682</v>
      </c>
      <c r="K457" s="1" t="s">
        <v>25</v>
      </c>
      <c r="L457" s="1" t="s">
        <v>26</v>
      </c>
      <c r="M457" s="1" t="s">
        <v>25</v>
      </c>
      <c r="N457" s="1" t="s">
        <v>25</v>
      </c>
      <c r="O457" s="1" t="s">
        <v>25</v>
      </c>
      <c r="P457" s="1" t="s">
        <v>25</v>
      </c>
      <c r="Q457" s="1" t="s">
        <v>25</v>
      </c>
      <c r="R457" s="85" t="str">
        <f t="shared" si="28"/>
        <v>4045905</v>
      </c>
      <c r="S457" t="str">
        <f>VLOOKUP(A457,Data_NV!$A:$C,3,0)</f>
        <v>Nguyễn Văn Vinh</v>
      </c>
      <c r="T457" t="str">
        <f>VLOOKUP(A457,Data_NV!$A:$E,4,0)</f>
        <v>Kinh doanh</v>
      </c>
      <c r="U457" s="82">
        <f>DATEVALUE(Table2[[#This Row],[Ngày]])</f>
        <v>45905</v>
      </c>
      <c r="V457" t="str">
        <f>VLOOKUP(A457,Data_NV!$A:$E,5,0)</f>
        <v>Đang làm việc</v>
      </c>
      <c r="W457" s="10">
        <f>VLOOKUP(A457,Data_NV!$A:$I,8,0)</f>
        <v>0.33333333333333331</v>
      </c>
      <c r="X457" s="10">
        <f>VLOOKUP(A457,Data_NV!$A:$I,9,0)</f>
        <v>0.70833333333333337</v>
      </c>
      <c r="Y457" s="10">
        <f>IFERROR(TIMEVALUE(Table2[[#This Row],[Vào]]),0)</f>
        <v>0.33711805555555557</v>
      </c>
      <c r="Z457" s="10">
        <f>IFERROR(TIMEVALUE(Table2[[#This Row],[Ra]]),0)</f>
        <v>0</v>
      </c>
      <c r="AA457" t="str">
        <f t="shared" si="29"/>
        <v>x</v>
      </c>
      <c r="AB457" s="105">
        <f t="shared" si="30"/>
        <v>5.4500000000000526</v>
      </c>
      <c r="AC457" s="12" t="str">
        <f>IF(VLOOKUP(A457,Data_NV!$A:$I,7,0)="Không","",IF(OR(AND(Y457=0,Z457=0),AND(Y457&lt;&gt;0,Z457&lt;&gt;0)),"","Quên chấm công"))</f>
        <v/>
      </c>
      <c r="AD457" s="12">
        <f>IF(VLOOKUP(A457,Data_NV!$A:$I,7,0)="Không",0,IF(AND(Y457=0,Z457=0),0,IF(X457&lt;=Z457,0,ROUNDDOWN((X457-Z457)*24*60,0))))</f>
        <v>0</v>
      </c>
      <c r="AE457" s="12">
        <f>IF(VLOOKUP(A457,Data_NV!$A:$I,6,0)="Không",0,IF(Z457&lt;=X457,0,ROUNDDOWN((Z457-X457)*24*60,0)))</f>
        <v>0</v>
      </c>
      <c r="AF457" s="26">
        <f t="shared" si="31"/>
        <v>0</v>
      </c>
      <c r="AG457" s="27" t="str">
        <f>IF(AC457="","",IF(COUNTIFS($AC$3:AC457,"Quên chấm công",$S$3:S457,S457)&gt;3,"Không chấm công do vi phạm quá 3 lần",IF(COUNTIFS($AC$3:AC457,"Quên chấm công",$S$3:S457,S457)&gt;2,"Trừ toàn bộ chuyên cần tháng do vi phạm lần 3",IF(COUNTIFS($AC$3:AC457,"Quên chấm công",$S$3:S457,S457)&gt;1,"Trừ 1/2 ngày lương",50000))))</f>
        <v/>
      </c>
      <c r="AH457" s="12" t="str">
        <f>IF(AF457=0,"",IF(COUNTIFS($AF$3:AF457,"&gt;0",$S$3:S457,S457)&gt;3,"Trừ toàn bộ chuyên cần tháng",""))</f>
        <v/>
      </c>
      <c r="AI457" s="12"/>
    </row>
    <row r="458" spans="1:35" x14ac:dyDescent="0.25">
      <c r="A458" s="4" t="s">
        <v>776</v>
      </c>
      <c r="B458" s="1" t="s">
        <v>777</v>
      </c>
      <c r="C458" s="1" t="s">
        <v>20</v>
      </c>
      <c r="D458" s="1" t="s">
        <v>42</v>
      </c>
      <c r="E458" s="1" t="s">
        <v>22</v>
      </c>
      <c r="F458" s="1" t="s">
        <v>23</v>
      </c>
      <c r="G458" s="1" t="s">
        <v>12</v>
      </c>
      <c r="H458" s="1" t="s">
        <v>781</v>
      </c>
      <c r="I458" s="1" t="s">
        <v>24</v>
      </c>
      <c r="J458" s="1" t="s">
        <v>25</v>
      </c>
      <c r="K458" s="1" t="s">
        <v>25</v>
      </c>
      <c r="L458" s="1" t="s">
        <v>26</v>
      </c>
      <c r="M458" s="1" t="s">
        <v>25</v>
      </c>
      <c r="N458" s="1" t="s">
        <v>25</v>
      </c>
      <c r="O458" s="1" t="s">
        <v>25</v>
      </c>
      <c r="P458" s="1" t="s">
        <v>25</v>
      </c>
      <c r="Q458" s="1" t="s">
        <v>25</v>
      </c>
      <c r="R458" s="85" t="str">
        <f t="shared" si="28"/>
        <v>4045906</v>
      </c>
      <c r="S458" t="str">
        <f>VLOOKUP(A458,Data_NV!$A:$C,3,0)</f>
        <v>Nguyễn Văn Vinh</v>
      </c>
      <c r="T458" t="str">
        <f>VLOOKUP(A458,Data_NV!$A:$E,4,0)</f>
        <v>Kinh doanh</v>
      </c>
      <c r="U458" s="82">
        <f>DATEVALUE(Table2[[#This Row],[Ngày]])</f>
        <v>45906</v>
      </c>
      <c r="V458" t="str">
        <f>VLOOKUP(A458,Data_NV!$A:$E,5,0)</f>
        <v>Đang làm việc</v>
      </c>
      <c r="W458" s="10">
        <f>VLOOKUP(A458,Data_NV!$A:$I,8,0)</f>
        <v>0.33333333333333331</v>
      </c>
      <c r="X458" s="10">
        <f>VLOOKUP(A458,Data_NV!$A:$I,9,0)</f>
        <v>0.70833333333333337</v>
      </c>
      <c r="Y458" s="10">
        <f>IFERROR(TIMEVALUE(Table2[[#This Row],[Vào]]),0)</f>
        <v>0.3323726851851852</v>
      </c>
      <c r="Z458" s="10">
        <f>IFERROR(TIMEVALUE(Table2[[#This Row],[Ra]]),0)</f>
        <v>0</v>
      </c>
      <c r="AA458" t="str">
        <f t="shared" si="29"/>
        <v>x</v>
      </c>
      <c r="AB458" s="105">
        <f t="shared" si="30"/>
        <v>0</v>
      </c>
      <c r="AC458" s="12" t="str">
        <f>IF(VLOOKUP(A458,Data_NV!$A:$I,7,0)="Không","",IF(OR(AND(Y458=0,Z458=0),AND(Y458&lt;&gt;0,Z458&lt;&gt;0)),"","Quên chấm công"))</f>
        <v/>
      </c>
      <c r="AD458" s="12">
        <f>IF(VLOOKUP(A458,Data_NV!$A:$I,7,0)="Không",0,IF(AND(Y458=0,Z458=0),0,IF(X458&lt;=Z458,0,ROUNDDOWN((X458-Z458)*24*60,0))))</f>
        <v>0</v>
      </c>
      <c r="AE458" s="12">
        <f>IF(VLOOKUP(A458,Data_NV!$A:$I,6,0)="Không",0,IF(Z458&lt;=X458,0,ROUNDDOWN((Z458-X458)*24*60,0)))</f>
        <v>0</v>
      </c>
      <c r="AF458" s="26">
        <f t="shared" si="31"/>
        <v>0</v>
      </c>
      <c r="AG458" s="27" t="str">
        <f>IF(AC458="","",IF(COUNTIFS($AC$3:AC458,"Quên chấm công",$S$3:S458,S458)&gt;3,"Không chấm công do vi phạm quá 3 lần",IF(COUNTIFS($AC$3:AC458,"Quên chấm công",$S$3:S458,S458)&gt;2,"Trừ toàn bộ chuyên cần tháng do vi phạm lần 3",IF(COUNTIFS($AC$3:AC458,"Quên chấm công",$S$3:S458,S458)&gt;1,"Trừ 1/2 ngày lương",50000))))</f>
        <v/>
      </c>
      <c r="AH458" s="12" t="str">
        <f>IF(AF458=0,"",IF(COUNTIFS($AF$3:AF458,"&gt;0",$S$3:S458,S458)&gt;3,"Trừ toàn bộ chuyên cần tháng",""))</f>
        <v/>
      </c>
      <c r="AI458" s="12"/>
    </row>
    <row r="459" spans="1:35" x14ac:dyDescent="0.25">
      <c r="A459" s="4" t="s">
        <v>776</v>
      </c>
      <c r="B459" s="1" t="s">
        <v>777</v>
      </c>
      <c r="C459" s="1" t="s">
        <v>20</v>
      </c>
      <c r="D459" s="1" t="s">
        <v>47</v>
      </c>
      <c r="E459" s="1" t="s">
        <v>22</v>
      </c>
      <c r="F459" s="1" t="s">
        <v>23</v>
      </c>
      <c r="G459" s="1" t="s">
        <v>12</v>
      </c>
      <c r="H459" s="1" t="s">
        <v>24</v>
      </c>
      <c r="I459" s="1" t="s">
        <v>24</v>
      </c>
      <c r="J459" s="1" t="s">
        <v>25</v>
      </c>
      <c r="K459" s="1" t="s">
        <v>25</v>
      </c>
      <c r="L459" s="1" t="s">
        <v>26</v>
      </c>
      <c r="M459" s="1" t="s">
        <v>25</v>
      </c>
      <c r="N459" s="1" t="s">
        <v>25</v>
      </c>
      <c r="O459" s="1" t="s">
        <v>25</v>
      </c>
      <c r="P459" s="1" t="s">
        <v>25</v>
      </c>
      <c r="Q459" s="1" t="s">
        <v>25</v>
      </c>
      <c r="R459" s="85" t="str">
        <f t="shared" si="28"/>
        <v>4045907</v>
      </c>
      <c r="S459" t="str">
        <f>VLOOKUP(A459,Data_NV!$A:$C,3,0)</f>
        <v>Nguyễn Văn Vinh</v>
      </c>
      <c r="T459" t="str">
        <f>VLOOKUP(A459,Data_NV!$A:$E,4,0)</f>
        <v>Kinh doanh</v>
      </c>
      <c r="U459" s="82">
        <f>DATEVALUE(Table2[[#This Row],[Ngày]])</f>
        <v>45907</v>
      </c>
      <c r="V459" t="str">
        <f>VLOOKUP(A459,Data_NV!$A:$E,5,0)</f>
        <v>Đang làm việc</v>
      </c>
      <c r="W459" s="10">
        <f>VLOOKUP(A459,Data_NV!$A:$I,8,0)</f>
        <v>0.33333333333333331</v>
      </c>
      <c r="X459" s="10">
        <f>VLOOKUP(A459,Data_NV!$A:$I,9,0)</f>
        <v>0.70833333333333337</v>
      </c>
      <c r="Y459" s="10">
        <f>IFERROR(TIMEVALUE(Table2[[#This Row],[Vào]]),0)</f>
        <v>0</v>
      </c>
      <c r="Z459" s="10">
        <f>IFERROR(TIMEVALUE(Table2[[#This Row],[Ra]]),0)</f>
        <v>0</v>
      </c>
      <c r="AA459" t="str">
        <f t="shared" si="29"/>
        <v>Chủ nhật</v>
      </c>
      <c r="AB459" s="105">
        <f t="shared" si="30"/>
        <v>0</v>
      </c>
      <c r="AC459" s="12" t="str">
        <f>IF(VLOOKUP(A459,Data_NV!$A:$I,7,0)="Không","",IF(OR(AND(Y459=0,Z459=0),AND(Y459&lt;&gt;0,Z459&lt;&gt;0)),"","Quên chấm công"))</f>
        <v/>
      </c>
      <c r="AD459" s="12">
        <f>IF(VLOOKUP(A459,Data_NV!$A:$I,7,0)="Không",0,IF(AND(Y459=0,Z459=0),0,IF(X459&lt;=Z459,0,ROUNDDOWN((X459-Z459)*24*60,0))))</f>
        <v>0</v>
      </c>
      <c r="AE459" s="12">
        <f>IF(VLOOKUP(A459,Data_NV!$A:$I,6,0)="Không",0,IF(Z459&lt;=X459,0,ROUNDDOWN((Z459-X459)*24*60,0)))</f>
        <v>0</v>
      </c>
      <c r="AF459" s="26">
        <f t="shared" si="31"/>
        <v>0</v>
      </c>
      <c r="AG459" s="27" t="str">
        <f>IF(AC459="","",IF(COUNTIFS($AC$3:AC459,"Quên chấm công",$S$3:S459,S459)&gt;3,"Không chấm công do vi phạm quá 3 lần",IF(COUNTIFS($AC$3:AC459,"Quên chấm công",$S$3:S459,S459)&gt;2,"Trừ toàn bộ chuyên cần tháng do vi phạm lần 3",IF(COUNTIFS($AC$3:AC459,"Quên chấm công",$S$3:S459,S459)&gt;1,"Trừ 1/2 ngày lương",50000))))</f>
        <v/>
      </c>
      <c r="AH459" s="12" t="str">
        <f>IF(AF459=0,"",IF(COUNTIFS($AF$3:AF459,"&gt;0",$S$3:S459,S459)&gt;3,"Trừ toàn bộ chuyên cần tháng",""))</f>
        <v/>
      </c>
      <c r="AI459" s="12"/>
    </row>
    <row r="460" spans="1:35" x14ac:dyDescent="0.25">
      <c r="A460" s="4" t="s">
        <v>776</v>
      </c>
      <c r="B460" s="1" t="s">
        <v>777</v>
      </c>
      <c r="C460" s="1" t="s">
        <v>20</v>
      </c>
      <c r="D460" s="1" t="s">
        <v>48</v>
      </c>
      <c r="E460" s="1" t="s">
        <v>22</v>
      </c>
      <c r="F460" s="1" t="s">
        <v>23</v>
      </c>
      <c r="G460" s="1" t="s">
        <v>12</v>
      </c>
      <c r="H460" s="1" t="s">
        <v>782</v>
      </c>
      <c r="I460" s="1" t="s">
        <v>24</v>
      </c>
      <c r="J460" s="1" t="s">
        <v>25</v>
      </c>
      <c r="K460" s="1" t="s">
        <v>25</v>
      </c>
      <c r="L460" s="1" t="s">
        <v>26</v>
      </c>
      <c r="M460" s="1" t="s">
        <v>25</v>
      </c>
      <c r="N460" s="1" t="s">
        <v>25</v>
      </c>
      <c r="O460" s="1" t="s">
        <v>25</v>
      </c>
      <c r="P460" s="1" t="s">
        <v>25</v>
      </c>
      <c r="Q460" s="1" t="s">
        <v>25</v>
      </c>
      <c r="R460" s="85" t="str">
        <f t="shared" si="28"/>
        <v>4045908</v>
      </c>
      <c r="S460" t="str">
        <f>VLOOKUP(A460,Data_NV!$A:$C,3,0)</f>
        <v>Nguyễn Văn Vinh</v>
      </c>
      <c r="T460" t="str">
        <f>VLOOKUP(A460,Data_NV!$A:$E,4,0)</f>
        <v>Kinh doanh</v>
      </c>
      <c r="U460" s="82">
        <f>DATEVALUE(Table2[[#This Row],[Ngày]])</f>
        <v>45908</v>
      </c>
      <c r="V460" t="str">
        <f>VLOOKUP(A460,Data_NV!$A:$E,5,0)</f>
        <v>Đang làm việc</v>
      </c>
      <c r="W460" s="10">
        <f>VLOOKUP(A460,Data_NV!$A:$I,8,0)</f>
        <v>0.33333333333333331</v>
      </c>
      <c r="X460" s="10">
        <f>VLOOKUP(A460,Data_NV!$A:$I,9,0)</f>
        <v>0.70833333333333337</v>
      </c>
      <c r="Y460" s="10">
        <f>IFERROR(TIMEVALUE(Table2[[#This Row],[Vào]]),0)</f>
        <v>0.33133101851851854</v>
      </c>
      <c r="Z460" s="10">
        <f>IFERROR(TIMEVALUE(Table2[[#This Row],[Ra]]),0)</f>
        <v>0</v>
      </c>
      <c r="AA460" t="str">
        <f t="shared" si="29"/>
        <v>x</v>
      </c>
      <c r="AB460" s="105">
        <f t="shared" si="30"/>
        <v>0</v>
      </c>
      <c r="AC460" s="12" t="str">
        <f>IF(VLOOKUP(A460,Data_NV!$A:$I,7,0)="Không","",IF(OR(AND(Y460=0,Z460=0),AND(Y460&lt;&gt;0,Z460&lt;&gt;0)),"","Quên chấm công"))</f>
        <v/>
      </c>
      <c r="AD460" s="12">
        <f>IF(VLOOKUP(A460,Data_NV!$A:$I,7,0)="Không",0,IF(AND(Y460=0,Z460=0),0,IF(X460&lt;=Z460,0,ROUNDDOWN((X460-Z460)*24*60,0))))</f>
        <v>0</v>
      </c>
      <c r="AE460" s="12">
        <f>IF(VLOOKUP(A460,Data_NV!$A:$I,6,0)="Không",0,IF(Z460&lt;=X460,0,ROUNDDOWN((Z460-X460)*24*60,0)))</f>
        <v>0</v>
      </c>
      <c r="AF460" s="26">
        <f t="shared" si="31"/>
        <v>0</v>
      </c>
      <c r="AG460" s="27" t="str">
        <f>IF(AC460="","",IF(COUNTIFS($AC$3:AC460,"Quên chấm công",$S$3:S460,S460)&gt;3,"Không chấm công do vi phạm quá 3 lần",IF(COUNTIFS($AC$3:AC460,"Quên chấm công",$S$3:S460,S460)&gt;2,"Trừ toàn bộ chuyên cần tháng do vi phạm lần 3",IF(COUNTIFS($AC$3:AC460,"Quên chấm công",$S$3:S460,S460)&gt;1,"Trừ 1/2 ngày lương",50000))))</f>
        <v/>
      </c>
      <c r="AH460" s="12" t="str">
        <f>IF(AF460=0,"",IF(COUNTIFS($AF$3:AF460,"&gt;0",$S$3:S460,S460)&gt;3,"Trừ toàn bộ chuyên cần tháng",""))</f>
        <v/>
      </c>
      <c r="AI460" s="12"/>
    </row>
    <row r="461" spans="1:35" x14ac:dyDescent="0.25">
      <c r="A461" s="4" t="s">
        <v>776</v>
      </c>
      <c r="B461" s="1" t="s">
        <v>777</v>
      </c>
      <c r="C461" s="1" t="s">
        <v>20</v>
      </c>
      <c r="D461" s="1" t="s">
        <v>53</v>
      </c>
      <c r="E461" s="1" t="s">
        <v>22</v>
      </c>
      <c r="F461" s="1" t="s">
        <v>23</v>
      </c>
      <c r="G461" s="1" t="s">
        <v>12</v>
      </c>
      <c r="H461" s="1" t="s">
        <v>783</v>
      </c>
      <c r="I461" s="1" t="s">
        <v>24</v>
      </c>
      <c r="J461" s="1" t="s">
        <v>177</v>
      </c>
      <c r="K461" s="1" t="s">
        <v>25</v>
      </c>
      <c r="L461" s="1" t="s">
        <v>26</v>
      </c>
      <c r="M461" s="1" t="s">
        <v>25</v>
      </c>
      <c r="N461" s="1" t="s">
        <v>25</v>
      </c>
      <c r="O461" s="1" t="s">
        <v>25</v>
      </c>
      <c r="P461" s="1" t="s">
        <v>25</v>
      </c>
      <c r="Q461" s="1" t="s">
        <v>25</v>
      </c>
      <c r="R461" s="85" t="str">
        <f t="shared" si="28"/>
        <v>4045909</v>
      </c>
      <c r="S461" t="str">
        <f>VLOOKUP(A461,Data_NV!$A:$C,3,0)</f>
        <v>Nguyễn Văn Vinh</v>
      </c>
      <c r="T461" t="str">
        <f>VLOOKUP(A461,Data_NV!$A:$E,4,0)</f>
        <v>Kinh doanh</v>
      </c>
      <c r="U461" s="82">
        <f>DATEVALUE(Table2[[#This Row],[Ngày]])</f>
        <v>45909</v>
      </c>
      <c r="V461" t="str">
        <f>VLOOKUP(A461,Data_NV!$A:$E,5,0)</f>
        <v>Đang làm việc</v>
      </c>
      <c r="W461" s="10">
        <f>VLOOKUP(A461,Data_NV!$A:$I,8,0)</f>
        <v>0.33333333333333331</v>
      </c>
      <c r="X461" s="10">
        <f>VLOOKUP(A461,Data_NV!$A:$I,9,0)</f>
        <v>0.70833333333333337</v>
      </c>
      <c r="Y461" s="10">
        <f>IFERROR(TIMEVALUE(Table2[[#This Row],[Vào]]),0)</f>
        <v>0.33753472222222225</v>
      </c>
      <c r="Z461" s="10">
        <f>IFERROR(TIMEVALUE(Table2[[#This Row],[Ra]]),0)</f>
        <v>0</v>
      </c>
      <c r="AA461" t="str">
        <f t="shared" si="29"/>
        <v>x</v>
      </c>
      <c r="AB461" s="105">
        <f t="shared" si="30"/>
        <v>6.0500000000000664</v>
      </c>
      <c r="AC461" s="12" t="str">
        <f>IF(VLOOKUP(A461,Data_NV!$A:$I,7,0)="Không","",IF(OR(AND(Y461=0,Z461=0),AND(Y461&lt;&gt;0,Z461&lt;&gt;0)),"","Quên chấm công"))</f>
        <v/>
      </c>
      <c r="AD461" s="12">
        <f>IF(VLOOKUP(A461,Data_NV!$A:$I,7,0)="Không",0,IF(AND(Y461=0,Z461=0),0,IF(X461&lt;=Z461,0,ROUNDDOWN((X461-Z461)*24*60,0))))</f>
        <v>0</v>
      </c>
      <c r="AE461" s="12">
        <f>IF(VLOOKUP(A461,Data_NV!$A:$I,6,0)="Không",0,IF(Z461&lt;=X461,0,ROUNDDOWN((Z461-X461)*24*60,0)))</f>
        <v>0</v>
      </c>
      <c r="AF461" s="26">
        <f t="shared" si="31"/>
        <v>30000</v>
      </c>
      <c r="AG461" s="27" t="str">
        <f>IF(AC461="","",IF(COUNTIFS($AC$3:AC461,"Quên chấm công",$S$3:S461,S461)&gt;3,"Không chấm công do vi phạm quá 3 lần",IF(COUNTIFS($AC$3:AC461,"Quên chấm công",$S$3:S461,S461)&gt;2,"Trừ toàn bộ chuyên cần tháng do vi phạm lần 3",IF(COUNTIFS($AC$3:AC461,"Quên chấm công",$S$3:S461,S461)&gt;1,"Trừ 1/2 ngày lương",50000))))</f>
        <v/>
      </c>
      <c r="AH461" s="12" t="str">
        <f>IF(AF461=0,"",IF(COUNTIFS($AF$3:AF461,"&gt;0",$S$3:S461,S461)&gt;3,"Trừ toàn bộ chuyên cần tháng",""))</f>
        <v/>
      </c>
      <c r="AI461" s="12"/>
    </row>
    <row r="462" spans="1:35" x14ac:dyDescent="0.25">
      <c r="A462" s="4" t="s">
        <v>776</v>
      </c>
      <c r="B462" s="1" t="s">
        <v>777</v>
      </c>
      <c r="C462" s="1" t="s">
        <v>20</v>
      </c>
      <c r="D462" s="1" t="s">
        <v>58</v>
      </c>
      <c r="E462" s="1" t="s">
        <v>22</v>
      </c>
      <c r="F462" s="1" t="s">
        <v>23</v>
      </c>
      <c r="G462" s="1" t="s">
        <v>12</v>
      </c>
      <c r="H462" s="1" t="s">
        <v>784</v>
      </c>
      <c r="I462" s="1" t="s">
        <v>24</v>
      </c>
      <c r="J462" s="1" t="s">
        <v>682</v>
      </c>
      <c r="K462" s="1" t="s">
        <v>25</v>
      </c>
      <c r="L462" s="1" t="s">
        <v>26</v>
      </c>
      <c r="M462" s="1" t="s">
        <v>25</v>
      </c>
      <c r="N462" s="1" t="s">
        <v>25</v>
      </c>
      <c r="O462" s="1" t="s">
        <v>25</v>
      </c>
      <c r="P462" s="1" t="s">
        <v>25</v>
      </c>
      <c r="Q462" s="1" t="s">
        <v>25</v>
      </c>
      <c r="R462" s="85" t="str">
        <f t="shared" si="28"/>
        <v>4045910</v>
      </c>
      <c r="S462" t="str">
        <f>VLOOKUP(A462,Data_NV!$A:$C,3,0)</f>
        <v>Nguyễn Văn Vinh</v>
      </c>
      <c r="T462" t="str">
        <f>VLOOKUP(A462,Data_NV!$A:$E,4,0)</f>
        <v>Kinh doanh</v>
      </c>
      <c r="U462" s="82">
        <f>DATEVALUE(Table2[[#This Row],[Ngày]])</f>
        <v>45910</v>
      </c>
      <c r="V462" t="str">
        <f>VLOOKUP(A462,Data_NV!$A:$E,5,0)</f>
        <v>Đang làm việc</v>
      </c>
      <c r="W462" s="10">
        <f>VLOOKUP(A462,Data_NV!$A:$I,8,0)</f>
        <v>0.33333333333333331</v>
      </c>
      <c r="X462" s="10">
        <f>VLOOKUP(A462,Data_NV!$A:$I,9,0)</f>
        <v>0.70833333333333337</v>
      </c>
      <c r="Y462" s="10">
        <f>IFERROR(TIMEVALUE(Table2[[#This Row],[Vào]]),0)</f>
        <v>0.33681712962962962</v>
      </c>
      <c r="Z462" s="10">
        <f>IFERROR(TIMEVALUE(Table2[[#This Row],[Ra]]),0)</f>
        <v>0</v>
      </c>
      <c r="AA462" t="str">
        <f t="shared" si="29"/>
        <v>x</v>
      </c>
      <c r="AB462" s="105">
        <f t="shared" si="30"/>
        <v>5.0166666666666782</v>
      </c>
      <c r="AC462" s="12" t="str">
        <f>IF(VLOOKUP(A462,Data_NV!$A:$I,7,0)="Không","",IF(OR(AND(Y462=0,Z462=0),AND(Y462&lt;&gt;0,Z462&lt;&gt;0)),"","Quên chấm công"))</f>
        <v/>
      </c>
      <c r="AD462" s="12">
        <f>IF(VLOOKUP(A462,Data_NV!$A:$I,7,0)="Không",0,IF(AND(Y462=0,Z462=0),0,IF(X462&lt;=Z462,0,ROUNDDOWN((X462-Z462)*24*60,0))))</f>
        <v>0</v>
      </c>
      <c r="AE462" s="12">
        <f>IF(VLOOKUP(A462,Data_NV!$A:$I,6,0)="Không",0,IF(Z462&lt;=X462,0,ROUNDDOWN((Z462-X462)*24*60,0)))</f>
        <v>0</v>
      </c>
      <c r="AF462" s="26">
        <f t="shared" si="31"/>
        <v>0</v>
      </c>
      <c r="AG462" s="27" t="str">
        <f>IF(AC462="","",IF(COUNTIFS($AC$3:AC462,"Quên chấm công",$S$3:S462,S462)&gt;3,"Không chấm công do vi phạm quá 3 lần",IF(COUNTIFS($AC$3:AC462,"Quên chấm công",$S$3:S462,S462)&gt;2,"Trừ toàn bộ chuyên cần tháng do vi phạm lần 3",IF(COUNTIFS($AC$3:AC462,"Quên chấm công",$S$3:S462,S462)&gt;1,"Trừ 1/2 ngày lương",50000))))</f>
        <v/>
      </c>
      <c r="AH462" s="12" t="str">
        <f>IF(AF462=0,"",IF(COUNTIFS($AF$3:AF462,"&gt;0",$S$3:S462,S462)&gt;3,"Trừ toàn bộ chuyên cần tháng",""))</f>
        <v/>
      </c>
      <c r="AI462" s="12"/>
    </row>
    <row r="463" spans="1:35" x14ac:dyDescent="0.25">
      <c r="A463" s="4" t="s">
        <v>776</v>
      </c>
      <c r="B463" s="1" t="s">
        <v>777</v>
      </c>
      <c r="C463" s="1" t="s">
        <v>20</v>
      </c>
      <c r="D463" s="1" t="s">
        <v>63</v>
      </c>
      <c r="E463" s="1" t="s">
        <v>22</v>
      </c>
      <c r="F463" s="1" t="s">
        <v>23</v>
      </c>
      <c r="G463" s="1" t="s">
        <v>12</v>
      </c>
      <c r="H463" s="1" t="s">
        <v>785</v>
      </c>
      <c r="I463" s="1" t="s">
        <v>24</v>
      </c>
      <c r="J463" s="1" t="s">
        <v>682</v>
      </c>
      <c r="K463" s="1" t="s">
        <v>25</v>
      </c>
      <c r="L463" s="1" t="s">
        <v>26</v>
      </c>
      <c r="M463" s="1" t="s">
        <v>25</v>
      </c>
      <c r="N463" s="1" t="s">
        <v>25</v>
      </c>
      <c r="O463" s="1" t="s">
        <v>25</v>
      </c>
      <c r="P463" s="1" t="s">
        <v>25</v>
      </c>
      <c r="Q463" s="1" t="s">
        <v>25</v>
      </c>
      <c r="R463" s="85" t="str">
        <f t="shared" si="28"/>
        <v>4045911</v>
      </c>
      <c r="S463" t="str">
        <f>VLOOKUP(A463,Data_NV!$A:$C,3,0)</f>
        <v>Nguyễn Văn Vinh</v>
      </c>
      <c r="T463" t="str">
        <f>VLOOKUP(A463,Data_NV!$A:$E,4,0)</f>
        <v>Kinh doanh</v>
      </c>
      <c r="U463" s="82">
        <f>DATEVALUE(Table2[[#This Row],[Ngày]])</f>
        <v>45911</v>
      </c>
      <c r="V463" t="str">
        <f>VLOOKUP(A463,Data_NV!$A:$E,5,0)</f>
        <v>Đang làm việc</v>
      </c>
      <c r="W463" s="10">
        <f>VLOOKUP(A463,Data_NV!$A:$I,8,0)</f>
        <v>0.33333333333333331</v>
      </c>
      <c r="X463" s="10">
        <f>VLOOKUP(A463,Data_NV!$A:$I,9,0)</f>
        <v>0.70833333333333337</v>
      </c>
      <c r="Y463" s="10">
        <f>IFERROR(TIMEVALUE(Table2[[#This Row],[Vào]]),0)</f>
        <v>0.33662037037037035</v>
      </c>
      <c r="Z463" s="10">
        <f>IFERROR(TIMEVALUE(Table2[[#This Row],[Ra]]),0)</f>
        <v>0</v>
      </c>
      <c r="AA463" t="str">
        <f t="shared" si="29"/>
        <v>x</v>
      </c>
      <c r="AB463" s="105">
        <f t="shared" si="30"/>
        <v>4.7333333333333272</v>
      </c>
      <c r="AC463" s="12" t="str">
        <f>IF(VLOOKUP(A463,Data_NV!$A:$I,7,0)="Không","",IF(OR(AND(Y463=0,Z463=0),AND(Y463&lt;&gt;0,Z463&lt;&gt;0)),"","Quên chấm công"))</f>
        <v/>
      </c>
      <c r="AD463" s="12">
        <f>IF(VLOOKUP(A463,Data_NV!$A:$I,7,0)="Không",0,IF(AND(Y463=0,Z463=0),0,IF(X463&lt;=Z463,0,ROUNDDOWN((X463-Z463)*24*60,0))))</f>
        <v>0</v>
      </c>
      <c r="AE463" s="12">
        <f>IF(VLOOKUP(A463,Data_NV!$A:$I,6,0)="Không",0,IF(Z463&lt;=X463,0,ROUNDDOWN((Z463-X463)*24*60,0)))</f>
        <v>0</v>
      </c>
      <c r="AF463" s="26">
        <f t="shared" si="31"/>
        <v>0</v>
      </c>
      <c r="AG463" s="27" t="str">
        <f>IF(AC463="","",IF(COUNTIFS($AC$3:AC463,"Quên chấm công",$S$3:S463,S463)&gt;3,"Không chấm công do vi phạm quá 3 lần",IF(COUNTIFS($AC$3:AC463,"Quên chấm công",$S$3:S463,S463)&gt;2,"Trừ toàn bộ chuyên cần tháng do vi phạm lần 3",IF(COUNTIFS($AC$3:AC463,"Quên chấm công",$S$3:S463,S463)&gt;1,"Trừ 1/2 ngày lương",50000))))</f>
        <v/>
      </c>
      <c r="AH463" s="12" t="str">
        <f>IF(AF463=0,"",IF(COUNTIFS($AF$3:AF463,"&gt;0",$S$3:S463,S463)&gt;3,"Trừ toàn bộ chuyên cần tháng",""))</f>
        <v/>
      </c>
      <c r="AI463" s="12"/>
    </row>
    <row r="464" spans="1:35" x14ac:dyDescent="0.25">
      <c r="A464" s="4" t="s">
        <v>776</v>
      </c>
      <c r="B464" s="1" t="s">
        <v>777</v>
      </c>
      <c r="C464" s="1" t="s">
        <v>20</v>
      </c>
      <c r="D464" s="1" t="s">
        <v>67</v>
      </c>
      <c r="E464" s="1" t="s">
        <v>22</v>
      </c>
      <c r="F464" s="1" t="s">
        <v>23</v>
      </c>
      <c r="G464" s="1" t="s">
        <v>12</v>
      </c>
      <c r="H464" s="1" t="s">
        <v>24</v>
      </c>
      <c r="I464" s="1" t="s">
        <v>24</v>
      </c>
      <c r="J464" s="1" t="s">
        <v>25</v>
      </c>
      <c r="K464" s="1" t="s">
        <v>25</v>
      </c>
      <c r="L464" s="1" t="s">
        <v>26</v>
      </c>
      <c r="M464" s="1" t="s">
        <v>25</v>
      </c>
      <c r="N464" s="1" t="s">
        <v>25</v>
      </c>
      <c r="O464" s="1" t="s">
        <v>25</v>
      </c>
      <c r="P464" s="1" t="s">
        <v>25</v>
      </c>
      <c r="Q464" s="1" t="s">
        <v>25</v>
      </c>
      <c r="R464" s="85" t="str">
        <f t="shared" si="28"/>
        <v>4045912</v>
      </c>
      <c r="S464" t="str">
        <f>VLOOKUP(A464,Data_NV!$A:$C,3,0)</f>
        <v>Nguyễn Văn Vinh</v>
      </c>
      <c r="T464" t="str">
        <f>VLOOKUP(A464,Data_NV!$A:$E,4,0)</f>
        <v>Kinh doanh</v>
      </c>
      <c r="U464" s="82">
        <f>DATEVALUE(Table2[[#This Row],[Ngày]])</f>
        <v>45912</v>
      </c>
      <c r="V464" t="str">
        <f>VLOOKUP(A464,Data_NV!$A:$E,5,0)</f>
        <v>Đang làm việc</v>
      </c>
      <c r="W464" s="10">
        <f>VLOOKUP(A464,Data_NV!$A:$I,8,0)</f>
        <v>0.33333333333333331</v>
      </c>
      <c r="X464" s="10">
        <f>VLOOKUP(A464,Data_NV!$A:$I,9,0)</f>
        <v>0.70833333333333337</v>
      </c>
      <c r="Y464" s="10">
        <f>IFERROR(TIMEVALUE(Table2[[#This Row],[Vào]]),0)</f>
        <v>0</v>
      </c>
      <c r="Z464" s="10">
        <f>IFERROR(TIMEVALUE(Table2[[#This Row],[Ra]]),0)</f>
        <v>0</v>
      </c>
      <c r="AA464" t="s">
        <v>1347</v>
      </c>
      <c r="AB464" s="105">
        <f t="shared" si="30"/>
        <v>0</v>
      </c>
      <c r="AC464" s="12" t="str">
        <f>IF(VLOOKUP(A464,Data_NV!$A:$I,7,0)="Không","",IF(OR(AND(Y464=0,Z464=0),AND(Y464&lt;&gt;0,Z464&lt;&gt;0)),"","Quên chấm công"))</f>
        <v/>
      </c>
      <c r="AD464" s="12">
        <f>IF(VLOOKUP(A464,Data_NV!$A:$I,7,0)="Không",0,IF(AND(Y464=0,Z464=0),0,IF(X464&lt;=Z464,0,ROUNDDOWN((X464-Z464)*24*60,0))))</f>
        <v>0</v>
      </c>
      <c r="AE464" s="12">
        <f>IF(VLOOKUP(A464,Data_NV!$A:$I,6,0)="Không",0,IF(Z464&lt;=X464,0,ROUNDDOWN((Z464-X464)*24*60,0)))</f>
        <v>0</v>
      </c>
      <c r="AF464" s="26">
        <f t="shared" si="31"/>
        <v>0</v>
      </c>
      <c r="AG464" s="27" t="str">
        <f>IF(AC464="","",IF(COUNTIFS($AC$3:AC464,"Quên chấm công",$S$3:S464,S464)&gt;3,"Không chấm công do vi phạm quá 3 lần",IF(COUNTIFS($AC$3:AC464,"Quên chấm công",$S$3:S464,S464)&gt;2,"Trừ toàn bộ chuyên cần tháng do vi phạm lần 3",IF(COUNTIFS($AC$3:AC464,"Quên chấm công",$S$3:S464,S464)&gt;1,"Trừ 1/2 ngày lương",50000))))</f>
        <v/>
      </c>
      <c r="AH464" s="12" t="str">
        <f>IF(AF464=0,"",IF(COUNTIFS($AF$3:AF464,"&gt;0",$S$3:S464,S464)&gt;3,"Trừ toàn bộ chuyên cần tháng",""))</f>
        <v/>
      </c>
      <c r="AI464" s="12" t="s">
        <v>1376</v>
      </c>
    </row>
    <row r="465" spans="1:35" x14ac:dyDescent="0.25">
      <c r="A465" s="4" t="s">
        <v>776</v>
      </c>
      <c r="B465" s="1" t="s">
        <v>777</v>
      </c>
      <c r="C465" s="1" t="s">
        <v>20</v>
      </c>
      <c r="D465" s="1" t="s">
        <v>69</v>
      </c>
      <c r="E465" s="1" t="s">
        <v>22</v>
      </c>
      <c r="F465" s="1" t="s">
        <v>23</v>
      </c>
      <c r="G465" s="1" t="s">
        <v>12</v>
      </c>
      <c r="H465" s="1" t="s">
        <v>755</v>
      </c>
      <c r="I465" s="1" t="s">
        <v>24</v>
      </c>
      <c r="J465" s="1" t="s">
        <v>358</v>
      </c>
      <c r="K465" s="1" t="s">
        <v>251</v>
      </c>
      <c r="L465" s="1" t="s">
        <v>786</v>
      </c>
      <c r="M465" s="1" t="s">
        <v>251</v>
      </c>
      <c r="N465" s="1" t="s">
        <v>25</v>
      </c>
      <c r="O465" s="1" t="s">
        <v>25</v>
      </c>
      <c r="P465" s="1" t="s">
        <v>25</v>
      </c>
      <c r="Q465" s="1" t="s">
        <v>25</v>
      </c>
      <c r="R465" s="85" t="str">
        <f t="shared" si="28"/>
        <v>4045913</v>
      </c>
      <c r="S465" t="str">
        <f>VLOOKUP(A465,Data_NV!$A:$C,3,0)</f>
        <v>Nguyễn Văn Vinh</v>
      </c>
      <c r="T465" t="str">
        <f>VLOOKUP(A465,Data_NV!$A:$E,4,0)</f>
        <v>Kinh doanh</v>
      </c>
      <c r="U465" s="82">
        <f>DATEVALUE(Table2[[#This Row],[Ngày]])</f>
        <v>45913</v>
      </c>
      <c r="V465" t="str">
        <f>VLOOKUP(A465,Data_NV!$A:$E,5,0)</f>
        <v>Đang làm việc</v>
      </c>
      <c r="W465" s="10">
        <f>VLOOKUP(A465,Data_NV!$A:$I,8,0)</f>
        <v>0.33333333333333331</v>
      </c>
      <c r="X465" s="10">
        <f>VLOOKUP(A465,Data_NV!$A:$I,9,0)</f>
        <v>0.70833333333333337</v>
      </c>
      <c r="Y465" s="10">
        <f>IFERROR(TIMEVALUE(Table2[[#This Row],[Vào]]),0)</f>
        <v>0.3338888888888889</v>
      </c>
      <c r="Z465" s="10">
        <f>IFERROR(TIMEVALUE(Table2[[#This Row],[Ra]]),0)</f>
        <v>0</v>
      </c>
      <c r="AA465" t="str">
        <f t="shared" si="29"/>
        <v>x</v>
      </c>
      <c r="AB465" s="105">
        <f t="shared" si="30"/>
        <v>0.80000000000004512</v>
      </c>
      <c r="AC465" s="12" t="str">
        <f>IF(VLOOKUP(A465,Data_NV!$A:$I,7,0)="Không","",IF(OR(AND(Y465=0,Z465=0),AND(Y465&lt;&gt;0,Z465&lt;&gt;0)),"","Quên chấm công"))</f>
        <v/>
      </c>
      <c r="AD465" s="12">
        <f>IF(VLOOKUP(A465,Data_NV!$A:$I,7,0)="Không",0,IF(AND(Y465=0,Z465=0),0,IF(X465&lt;=Z465,0,ROUNDDOWN((X465-Z465)*24*60,0))))</f>
        <v>0</v>
      </c>
      <c r="AE465" s="12">
        <f>IF(VLOOKUP(A465,Data_NV!$A:$I,6,0)="Không",0,IF(Z465&lt;=X465,0,ROUNDDOWN((Z465-X465)*24*60,0)))</f>
        <v>0</v>
      </c>
      <c r="AF465" s="26">
        <f t="shared" si="31"/>
        <v>0</v>
      </c>
      <c r="AG465" s="27" t="str">
        <f>IF(AC465="","",IF(COUNTIFS($AC$3:AC465,"Quên chấm công",$S$3:S465,S465)&gt;3,"Không chấm công do vi phạm quá 3 lần",IF(COUNTIFS($AC$3:AC465,"Quên chấm công",$S$3:S465,S465)&gt;2,"Trừ toàn bộ chuyên cần tháng do vi phạm lần 3",IF(COUNTIFS($AC$3:AC465,"Quên chấm công",$S$3:S465,S465)&gt;1,"Trừ 1/2 ngày lương",50000))))</f>
        <v/>
      </c>
      <c r="AH465" s="12" t="str">
        <f>IF(AF465=0,"",IF(COUNTIFS($AF$3:AF465,"&gt;0",$S$3:S465,S465)&gt;3,"Trừ toàn bộ chuyên cần tháng",""))</f>
        <v/>
      </c>
      <c r="AI465" s="12"/>
    </row>
    <row r="466" spans="1:35" x14ac:dyDescent="0.25">
      <c r="A466" s="4" t="s">
        <v>776</v>
      </c>
      <c r="B466" s="1" t="s">
        <v>777</v>
      </c>
      <c r="C466" s="1" t="s">
        <v>20</v>
      </c>
      <c r="D466" s="1" t="s">
        <v>74</v>
      </c>
      <c r="E466" s="1" t="s">
        <v>22</v>
      </c>
      <c r="F466" s="1" t="s">
        <v>23</v>
      </c>
      <c r="G466" s="1" t="s">
        <v>12</v>
      </c>
      <c r="H466" s="1" t="s">
        <v>24</v>
      </c>
      <c r="I466" s="1" t="s">
        <v>24</v>
      </c>
      <c r="J466" s="1" t="s">
        <v>25</v>
      </c>
      <c r="K466" s="1" t="s">
        <v>25</v>
      </c>
      <c r="L466" s="1" t="s">
        <v>26</v>
      </c>
      <c r="M466" s="1" t="s">
        <v>25</v>
      </c>
      <c r="N466" s="1" t="s">
        <v>25</v>
      </c>
      <c r="O466" s="1" t="s">
        <v>25</v>
      </c>
      <c r="P466" s="1" t="s">
        <v>25</v>
      </c>
      <c r="Q466" s="1" t="s">
        <v>25</v>
      </c>
      <c r="R466" s="85" t="str">
        <f t="shared" si="28"/>
        <v>4045914</v>
      </c>
      <c r="S466" t="str">
        <f>VLOOKUP(A466,Data_NV!$A:$C,3,0)</f>
        <v>Nguyễn Văn Vinh</v>
      </c>
      <c r="T466" t="str">
        <f>VLOOKUP(A466,Data_NV!$A:$E,4,0)</f>
        <v>Kinh doanh</v>
      </c>
      <c r="U466" s="82">
        <f>DATEVALUE(Table2[[#This Row],[Ngày]])</f>
        <v>45914</v>
      </c>
      <c r="V466" t="str">
        <f>VLOOKUP(A466,Data_NV!$A:$E,5,0)</f>
        <v>Đang làm việc</v>
      </c>
      <c r="W466" s="10">
        <f>VLOOKUP(A466,Data_NV!$A:$I,8,0)</f>
        <v>0.33333333333333331</v>
      </c>
      <c r="X466" s="10">
        <f>VLOOKUP(A466,Data_NV!$A:$I,9,0)</f>
        <v>0.70833333333333337</v>
      </c>
      <c r="Y466" s="10">
        <f>IFERROR(TIMEVALUE(Table2[[#This Row],[Vào]]),0)</f>
        <v>0</v>
      </c>
      <c r="Z466" s="10">
        <f>IFERROR(TIMEVALUE(Table2[[#This Row],[Ra]]),0)</f>
        <v>0</v>
      </c>
      <c r="AA466" t="str">
        <f t="shared" si="29"/>
        <v>Chủ nhật</v>
      </c>
      <c r="AB466" s="105">
        <f t="shared" si="30"/>
        <v>0</v>
      </c>
      <c r="AC466" s="12" t="str">
        <f>IF(VLOOKUP(A466,Data_NV!$A:$I,7,0)="Không","",IF(OR(AND(Y466=0,Z466=0),AND(Y466&lt;&gt;0,Z466&lt;&gt;0)),"","Quên chấm công"))</f>
        <v/>
      </c>
      <c r="AD466" s="12">
        <f>IF(VLOOKUP(A466,Data_NV!$A:$I,7,0)="Không",0,IF(AND(Y466=0,Z466=0),0,IF(X466&lt;=Z466,0,ROUNDDOWN((X466-Z466)*24*60,0))))</f>
        <v>0</v>
      </c>
      <c r="AE466" s="12">
        <f>IF(VLOOKUP(A466,Data_NV!$A:$I,6,0)="Không",0,IF(Z466&lt;=X466,0,ROUNDDOWN((Z466-X466)*24*60,0)))</f>
        <v>0</v>
      </c>
      <c r="AF466" s="26">
        <f t="shared" si="31"/>
        <v>0</v>
      </c>
      <c r="AG466" s="27" t="str">
        <f>IF(AC466="","",IF(COUNTIFS($AC$3:AC466,"Quên chấm công",$S$3:S466,S466)&gt;3,"Không chấm công do vi phạm quá 3 lần",IF(COUNTIFS($AC$3:AC466,"Quên chấm công",$S$3:S466,S466)&gt;2,"Trừ toàn bộ chuyên cần tháng do vi phạm lần 3",IF(COUNTIFS($AC$3:AC466,"Quên chấm công",$S$3:S466,S466)&gt;1,"Trừ 1/2 ngày lương",50000))))</f>
        <v/>
      </c>
      <c r="AH466" s="12" t="str">
        <f>IF(AF466=0,"",IF(COUNTIFS($AF$3:AF466,"&gt;0",$S$3:S466,S466)&gt;3,"Trừ toàn bộ chuyên cần tháng",""))</f>
        <v/>
      </c>
      <c r="AI466" s="12"/>
    </row>
    <row r="467" spans="1:35" x14ac:dyDescent="0.25">
      <c r="A467" s="4" t="s">
        <v>776</v>
      </c>
      <c r="B467" s="1" t="s">
        <v>777</v>
      </c>
      <c r="C467" s="1" t="s">
        <v>20</v>
      </c>
      <c r="D467" s="1" t="s">
        <v>75</v>
      </c>
      <c r="E467" s="1" t="s">
        <v>22</v>
      </c>
      <c r="F467" s="1" t="s">
        <v>23</v>
      </c>
      <c r="G467" s="1" t="s">
        <v>12</v>
      </c>
      <c r="H467" s="1" t="s">
        <v>787</v>
      </c>
      <c r="I467" s="1" t="s">
        <v>24</v>
      </c>
      <c r="J467" s="1" t="s">
        <v>682</v>
      </c>
      <c r="K467" s="1" t="s">
        <v>25</v>
      </c>
      <c r="L467" s="1" t="s">
        <v>26</v>
      </c>
      <c r="M467" s="1" t="s">
        <v>25</v>
      </c>
      <c r="N467" s="1" t="s">
        <v>25</v>
      </c>
      <c r="O467" s="1" t="s">
        <v>25</v>
      </c>
      <c r="P467" s="1" t="s">
        <v>25</v>
      </c>
      <c r="Q467" s="1" t="s">
        <v>25</v>
      </c>
      <c r="R467" s="85" t="str">
        <f t="shared" si="28"/>
        <v>4045915</v>
      </c>
      <c r="S467" t="str">
        <f>VLOOKUP(A467,Data_NV!$A:$C,3,0)</f>
        <v>Nguyễn Văn Vinh</v>
      </c>
      <c r="T467" t="str">
        <f>VLOOKUP(A467,Data_NV!$A:$E,4,0)</f>
        <v>Kinh doanh</v>
      </c>
      <c r="U467" s="82">
        <f>DATEVALUE(Table2[[#This Row],[Ngày]])</f>
        <v>45915</v>
      </c>
      <c r="V467" t="str">
        <f>VLOOKUP(A467,Data_NV!$A:$E,5,0)</f>
        <v>Đang làm việc</v>
      </c>
      <c r="W467" s="10">
        <f>VLOOKUP(A467,Data_NV!$A:$I,8,0)</f>
        <v>0.33333333333333331</v>
      </c>
      <c r="X467" s="10">
        <f>VLOOKUP(A467,Data_NV!$A:$I,9,0)</f>
        <v>0.70833333333333337</v>
      </c>
      <c r="Y467" s="10">
        <f>IFERROR(TIMEVALUE(Table2[[#This Row],[Vào]]),0)</f>
        <v>0.33645833333333336</v>
      </c>
      <c r="Z467" s="10">
        <f>IFERROR(TIMEVALUE(Table2[[#This Row],[Ra]]),0)</f>
        <v>0</v>
      </c>
      <c r="AA467" t="str">
        <f t="shared" si="29"/>
        <v>x</v>
      </c>
      <c r="AB467" s="105">
        <f t="shared" si="30"/>
        <v>4.5000000000000639</v>
      </c>
      <c r="AC467" s="12" t="str">
        <f>IF(VLOOKUP(A467,Data_NV!$A:$I,7,0)="Không","",IF(OR(AND(Y467=0,Z467=0),AND(Y467&lt;&gt;0,Z467&lt;&gt;0)),"","Quên chấm công"))</f>
        <v/>
      </c>
      <c r="AD467" s="12">
        <f>IF(VLOOKUP(A467,Data_NV!$A:$I,7,0)="Không",0,IF(AND(Y467=0,Z467=0),0,IF(X467&lt;=Z467,0,ROUNDDOWN((X467-Z467)*24*60,0))))</f>
        <v>0</v>
      </c>
      <c r="AE467" s="12">
        <f>IF(VLOOKUP(A467,Data_NV!$A:$I,6,0)="Không",0,IF(Z467&lt;=X467,0,ROUNDDOWN((Z467-X467)*24*60,0)))</f>
        <v>0</v>
      </c>
      <c r="AF467" s="26">
        <f t="shared" si="31"/>
        <v>0</v>
      </c>
      <c r="AG467" s="27" t="str">
        <f>IF(AC467="","",IF(COUNTIFS($AC$3:AC467,"Quên chấm công",$S$3:S467,S467)&gt;3,"Không chấm công do vi phạm quá 3 lần",IF(COUNTIFS($AC$3:AC467,"Quên chấm công",$S$3:S467,S467)&gt;2,"Trừ toàn bộ chuyên cần tháng do vi phạm lần 3",IF(COUNTIFS($AC$3:AC467,"Quên chấm công",$S$3:S467,S467)&gt;1,"Trừ 1/2 ngày lương",50000))))</f>
        <v/>
      </c>
      <c r="AH467" s="12" t="str">
        <f>IF(AF467=0,"",IF(COUNTIFS($AF$3:AF467,"&gt;0",$S$3:S467,S467)&gt;3,"Trừ toàn bộ chuyên cần tháng",""))</f>
        <v/>
      </c>
      <c r="AI467" s="12"/>
    </row>
    <row r="468" spans="1:35" x14ac:dyDescent="0.25">
      <c r="A468" s="4" t="s">
        <v>776</v>
      </c>
      <c r="B468" s="1" t="s">
        <v>777</v>
      </c>
      <c r="C468" s="1" t="s">
        <v>20</v>
      </c>
      <c r="D468" s="1" t="s">
        <v>80</v>
      </c>
      <c r="E468" s="1" t="s">
        <v>22</v>
      </c>
      <c r="F468" s="1" t="s">
        <v>23</v>
      </c>
      <c r="G468" s="1" t="s">
        <v>12</v>
      </c>
      <c r="H468" s="1" t="s">
        <v>788</v>
      </c>
      <c r="I468" s="1" t="s">
        <v>24</v>
      </c>
      <c r="J468" s="1" t="s">
        <v>682</v>
      </c>
      <c r="K468" s="1" t="s">
        <v>25</v>
      </c>
      <c r="L468" s="1" t="s">
        <v>26</v>
      </c>
      <c r="M468" s="1" t="s">
        <v>25</v>
      </c>
      <c r="N468" s="1" t="s">
        <v>25</v>
      </c>
      <c r="O468" s="1" t="s">
        <v>25</v>
      </c>
      <c r="P468" s="1" t="s">
        <v>25</v>
      </c>
      <c r="Q468" s="1" t="s">
        <v>25</v>
      </c>
      <c r="R468" s="85" t="str">
        <f t="shared" si="28"/>
        <v>4045916</v>
      </c>
      <c r="S468" t="str">
        <f>VLOOKUP(A468,Data_NV!$A:$C,3,0)</f>
        <v>Nguyễn Văn Vinh</v>
      </c>
      <c r="T468" t="str">
        <f>VLOOKUP(A468,Data_NV!$A:$E,4,0)</f>
        <v>Kinh doanh</v>
      </c>
      <c r="U468" s="82">
        <f>DATEVALUE(Table2[[#This Row],[Ngày]])</f>
        <v>45916</v>
      </c>
      <c r="V468" t="str">
        <f>VLOOKUP(A468,Data_NV!$A:$E,5,0)</f>
        <v>Đang làm việc</v>
      </c>
      <c r="W468" s="10">
        <f>VLOOKUP(A468,Data_NV!$A:$I,8,0)</f>
        <v>0.33333333333333331</v>
      </c>
      <c r="X468" s="10">
        <f>VLOOKUP(A468,Data_NV!$A:$I,9,0)</f>
        <v>0.70833333333333337</v>
      </c>
      <c r="Y468" s="10">
        <f>IFERROR(TIMEVALUE(Table2[[#This Row],[Vào]]),0)</f>
        <v>0.33657407407407408</v>
      </c>
      <c r="Z468" s="10">
        <f>IFERROR(TIMEVALUE(Table2[[#This Row],[Ra]]),0)</f>
        <v>0</v>
      </c>
      <c r="AA468" t="str">
        <f t="shared" si="29"/>
        <v>x</v>
      </c>
      <c r="AB468" s="105">
        <f t="shared" si="30"/>
        <v>4.6666666666667034</v>
      </c>
      <c r="AC468" s="12" t="str">
        <f>IF(VLOOKUP(A468,Data_NV!$A:$I,7,0)="Không","",IF(OR(AND(Y468=0,Z468=0),AND(Y468&lt;&gt;0,Z468&lt;&gt;0)),"","Quên chấm công"))</f>
        <v/>
      </c>
      <c r="AD468" s="12">
        <f>IF(VLOOKUP(A468,Data_NV!$A:$I,7,0)="Không",0,IF(AND(Y468=0,Z468=0),0,IF(X468&lt;=Z468,0,ROUNDDOWN((X468-Z468)*24*60,0))))</f>
        <v>0</v>
      </c>
      <c r="AE468" s="12">
        <f>IF(VLOOKUP(A468,Data_NV!$A:$I,6,0)="Không",0,IF(Z468&lt;=X468,0,ROUNDDOWN((Z468-X468)*24*60,0)))</f>
        <v>0</v>
      </c>
      <c r="AF468" s="26">
        <f t="shared" si="31"/>
        <v>0</v>
      </c>
      <c r="AG468" s="27" t="str">
        <f>IF(AC468="","",IF(COUNTIFS($AC$3:AC468,"Quên chấm công",$S$3:S468,S468)&gt;3,"Không chấm công do vi phạm quá 3 lần",IF(COUNTIFS($AC$3:AC468,"Quên chấm công",$S$3:S468,S468)&gt;2,"Trừ toàn bộ chuyên cần tháng do vi phạm lần 3",IF(COUNTIFS($AC$3:AC468,"Quên chấm công",$S$3:S468,S468)&gt;1,"Trừ 1/2 ngày lương",50000))))</f>
        <v/>
      </c>
      <c r="AH468" s="12" t="str">
        <f>IF(AF468=0,"",IF(COUNTIFS($AF$3:AF468,"&gt;0",$S$3:S468,S468)&gt;3,"Trừ toàn bộ chuyên cần tháng",""))</f>
        <v/>
      </c>
      <c r="AI468" s="12"/>
    </row>
    <row r="469" spans="1:35" x14ac:dyDescent="0.25">
      <c r="A469" s="4" t="s">
        <v>776</v>
      </c>
      <c r="B469" s="1" t="s">
        <v>777</v>
      </c>
      <c r="C469" s="1" t="s">
        <v>20</v>
      </c>
      <c r="D469" s="1" t="s">
        <v>85</v>
      </c>
      <c r="E469" s="1" t="s">
        <v>22</v>
      </c>
      <c r="F469" s="1" t="s">
        <v>23</v>
      </c>
      <c r="G469" s="1" t="s">
        <v>12</v>
      </c>
      <c r="H469" s="1" t="s">
        <v>789</v>
      </c>
      <c r="I469" s="1" t="s">
        <v>24</v>
      </c>
      <c r="J469" s="1" t="s">
        <v>25</v>
      </c>
      <c r="K469" s="1" t="s">
        <v>25</v>
      </c>
      <c r="L469" s="1" t="s">
        <v>26</v>
      </c>
      <c r="M469" s="1" t="s">
        <v>25</v>
      </c>
      <c r="N469" s="1" t="s">
        <v>25</v>
      </c>
      <c r="O469" s="1" t="s">
        <v>25</v>
      </c>
      <c r="P469" s="1" t="s">
        <v>25</v>
      </c>
      <c r="Q469" s="1" t="s">
        <v>25</v>
      </c>
      <c r="R469" s="85" t="str">
        <f t="shared" si="28"/>
        <v>4045917</v>
      </c>
      <c r="S469" t="str">
        <f>VLOOKUP(A469,Data_NV!$A:$C,3,0)</f>
        <v>Nguyễn Văn Vinh</v>
      </c>
      <c r="T469" t="str">
        <f>VLOOKUP(A469,Data_NV!$A:$E,4,0)</f>
        <v>Kinh doanh</v>
      </c>
      <c r="U469" s="82">
        <f>DATEVALUE(Table2[[#This Row],[Ngày]])</f>
        <v>45917</v>
      </c>
      <c r="V469" t="str">
        <f>VLOOKUP(A469,Data_NV!$A:$E,5,0)</f>
        <v>Đang làm việc</v>
      </c>
      <c r="W469" s="10">
        <f>VLOOKUP(A469,Data_NV!$A:$I,8,0)</f>
        <v>0.33333333333333331</v>
      </c>
      <c r="X469" s="10">
        <f>VLOOKUP(A469,Data_NV!$A:$I,9,0)</f>
        <v>0.70833333333333337</v>
      </c>
      <c r="Y469" s="10">
        <f>IFERROR(TIMEVALUE(Table2[[#This Row],[Vào]]),0)</f>
        <v>0.32746527777777779</v>
      </c>
      <c r="Z469" s="10">
        <f>IFERROR(TIMEVALUE(Table2[[#This Row],[Ra]]),0)</f>
        <v>0</v>
      </c>
      <c r="AA469" t="str">
        <f t="shared" si="29"/>
        <v>x</v>
      </c>
      <c r="AB469" s="105">
        <f t="shared" si="30"/>
        <v>0</v>
      </c>
      <c r="AC469" s="12" t="str">
        <f>IF(VLOOKUP(A469,Data_NV!$A:$I,7,0)="Không","",IF(OR(AND(Y469=0,Z469=0),AND(Y469&lt;&gt;0,Z469&lt;&gt;0)),"","Quên chấm công"))</f>
        <v/>
      </c>
      <c r="AD469" s="12">
        <f>IF(VLOOKUP(A469,Data_NV!$A:$I,7,0)="Không",0,IF(AND(Y469=0,Z469=0),0,IF(X469&lt;=Z469,0,ROUNDDOWN((X469-Z469)*24*60,0))))</f>
        <v>0</v>
      </c>
      <c r="AE469" s="12">
        <f>IF(VLOOKUP(A469,Data_NV!$A:$I,6,0)="Không",0,IF(Z469&lt;=X469,0,ROUNDDOWN((Z469-X469)*24*60,0)))</f>
        <v>0</v>
      </c>
      <c r="AF469" s="26">
        <f t="shared" si="31"/>
        <v>0</v>
      </c>
      <c r="AG469" s="27" t="str">
        <f>IF(AC469="","",IF(COUNTIFS($AC$3:AC469,"Quên chấm công",$S$3:S469,S469)&gt;3,"Không chấm công do vi phạm quá 3 lần",IF(COUNTIFS($AC$3:AC469,"Quên chấm công",$S$3:S469,S469)&gt;2,"Trừ toàn bộ chuyên cần tháng do vi phạm lần 3",IF(COUNTIFS($AC$3:AC469,"Quên chấm công",$S$3:S469,S469)&gt;1,"Trừ 1/2 ngày lương",50000))))</f>
        <v/>
      </c>
      <c r="AH469" s="12" t="str">
        <f>IF(AF469=0,"",IF(COUNTIFS($AF$3:AF469,"&gt;0",$S$3:S469,S469)&gt;3,"Trừ toàn bộ chuyên cần tháng",""))</f>
        <v/>
      </c>
      <c r="AI469" s="12"/>
    </row>
    <row r="470" spans="1:35" x14ac:dyDescent="0.25">
      <c r="A470" s="4" t="s">
        <v>776</v>
      </c>
      <c r="B470" s="1" t="s">
        <v>777</v>
      </c>
      <c r="C470" s="1" t="s">
        <v>20</v>
      </c>
      <c r="D470" s="1" t="s">
        <v>90</v>
      </c>
      <c r="E470" s="1" t="s">
        <v>22</v>
      </c>
      <c r="F470" s="1" t="s">
        <v>23</v>
      </c>
      <c r="G470" s="1" t="s">
        <v>12</v>
      </c>
      <c r="H470" s="1" t="s">
        <v>790</v>
      </c>
      <c r="I470" s="1" t="s">
        <v>24</v>
      </c>
      <c r="J470" s="1" t="s">
        <v>314</v>
      </c>
      <c r="K470" s="1" t="s">
        <v>25</v>
      </c>
      <c r="L470" s="1" t="s">
        <v>26</v>
      </c>
      <c r="M470" s="1" t="s">
        <v>25</v>
      </c>
      <c r="N470" s="1" t="s">
        <v>25</v>
      </c>
      <c r="O470" s="1" t="s">
        <v>25</v>
      </c>
      <c r="P470" s="1" t="s">
        <v>25</v>
      </c>
      <c r="Q470" s="1" t="s">
        <v>25</v>
      </c>
      <c r="R470" s="85" t="str">
        <f t="shared" si="28"/>
        <v>4045918</v>
      </c>
      <c r="S470" t="str">
        <f>VLOOKUP(A470,Data_NV!$A:$C,3,0)</f>
        <v>Nguyễn Văn Vinh</v>
      </c>
      <c r="T470" t="str">
        <f>VLOOKUP(A470,Data_NV!$A:$E,4,0)</f>
        <v>Kinh doanh</v>
      </c>
      <c r="U470" s="82">
        <f>DATEVALUE(Table2[[#This Row],[Ngày]])</f>
        <v>45918</v>
      </c>
      <c r="V470" t="str">
        <f>VLOOKUP(A470,Data_NV!$A:$E,5,0)</f>
        <v>Đang làm việc</v>
      </c>
      <c r="W470" s="10">
        <f>VLOOKUP(A470,Data_NV!$A:$I,8,0)</f>
        <v>0.33333333333333331</v>
      </c>
      <c r="X470" s="10">
        <f>VLOOKUP(A470,Data_NV!$A:$I,9,0)</f>
        <v>0.70833333333333337</v>
      </c>
      <c r="Y470" s="10">
        <f>IFERROR(TIMEVALUE(Table2[[#This Row],[Vào]]),0)</f>
        <v>0.33469907407407407</v>
      </c>
      <c r="Z470" s="10">
        <f>IFERROR(TIMEVALUE(Table2[[#This Row],[Ra]]),0)</f>
        <v>0</v>
      </c>
      <c r="AA470" t="str">
        <f t="shared" si="29"/>
        <v>x</v>
      </c>
      <c r="AB470" s="105">
        <f t="shared" si="30"/>
        <v>1.966666666666681</v>
      </c>
      <c r="AC470" s="12" t="str">
        <f>IF(VLOOKUP(A470,Data_NV!$A:$I,7,0)="Không","",IF(OR(AND(Y470=0,Z470=0),AND(Y470&lt;&gt;0,Z470&lt;&gt;0)),"","Quên chấm công"))</f>
        <v/>
      </c>
      <c r="AD470" s="12">
        <f>IF(VLOOKUP(A470,Data_NV!$A:$I,7,0)="Không",0,IF(AND(Y470=0,Z470=0),0,IF(X470&lt;=Z470,0,ROUNDDOWN((X470-Z470)*24*60,0))))</f>
        <v>0</v>
      </c>
      <c r="AE470" s="12">
        <f>IF(VLOOKUP(A470,Data_NV!$A:$I,6,0)="Không",0,IF(Z470&lt;=X470,0,ROUNDDOWN((Z470-X470)*24*60,0)))</f>
        <v>0</v>
      </c>
      <c r="AF470" s="26">
        <f t="shared" si="31"/>
        <v>0</v>
      </c>
      <c r="AG470" s="27" t="str">
        <f>IF(AC470="","",IF(COUNTIFS($AC$3:AC470,"Quên chấm công",$S$3:S470,S470)&gt;3,"Không chấm công do vi phạm quá 3 lần",IF(COUNTIFS($AC$3:AC470,"Quên chấm công",$S$3:S470,S470)&gt;2,"Trừ toàn bộ chuyên cần tháng do vi phạm lần 3",IF(COUNTIFS($AC$3:AC470,"Quên chấm công",$S$3:S470,S470)&gt;1,"Trừ 1/2 ngày lương",50000))))</f>
        <v/>
      </c>
      <c r="AH470" s="12" t="str">
        <f>IF(AF470=0,"",IF(COUNTIFS($AF$3:AF470,"&gt;0",$S$3:S470,S470)&gt;3,"Trừ toàn bộ chuyên cần tháng",""))</f>
        <v/>
      </c>
      <c r="AI470" s="12"/>
    </row>
    <row r="471" spans="1:35" x14ac:dyDescent="0.25">
      <c r="A471" s="4" t="s">
        <v>776</v>
      </c>
      <c r="B471" s="1" t="s">
        <v>777</v>
      </c>
      <c r="C471" s="1" t="s">
        <v>20</v>
      </c>
      <c r="D471" s="1" t="s">
        <v>95</v>
      </c>
      <c r="E471" s="1" t="s">
        <v>22</v>
      </c>
      <c r="F471" s="1" t="s">
        <v>23</v>
      </c>
      <c r="G471" s="1" t="s">
        <v>12</v>
      </c>
      <c r="H471" s="1" t="s">
        <v>791</v>
      </c>
      <c r="I471" s="1" t="s">
        <v>24</v>
      </c>
      <c r="J471" s="1" t="s">
        <v>628</v>
      </c>
      <c r="K471" s="1" t="s">
        <v>25</v>
      </c>
      <c r="L471" s="1" t="s">
        <v>26</v>
      </c>
      <c r="M471" s="1" t="s">
        <v>25</v>
      </c>
      <c r="N471" s="1" t="s">
        <v>25</v>
      </c>
      <c r="O471" s="1" t="s">
        <v>25</v>
      </c>
      <c r="P471" s="1" t="s">
        <v>25</v>
      </c>
      <c r="Q471" s="1" t="s">
        <v>25</v>
      </c>
      <c r="R471" s="85" t="str">
        <f t="shared" si="28"/>
        <v>4045919</v>
      </c>
      <c r="S471" t="str">
        <f>VLOOKUP(A471,Data_NV!$A:$C,3,0)</f>
        <v>Nguyễn Văn Vinh</v>
      </c>
      <c r="T471" t="str">
        <f>VLOOKUP(A471,Data_NV!$A:$E,4,0)</f>
        <v>Kinh doanh</v>
      </c>
      <c r="U471" s="82">
        <f>DATEVALUE(Table2[[#This Row],[Ngày]])</f>
        <v>45919</v>
      </c>
      <c r="V471" t="str">
        <f>VLOOKUP(A471,Data_NV!$A:$E,5,0)</f>
        <v>Đang làm việc</v>
      </c>
      <c r="W471" s="10">
        <f>VLOOKUP(A471,Data_NV!$A:$I,8,0)</f>
        <v>0.33333333333333331</v>
      </c>
      <c r="X471" s="10">
        <f>VLOOKUP(A471,Data_NV!$A:$I,9,0)</f>
        <v>0.70833333333333337</v>
      </c>
      <c r="Y471" s="10">
        <f>IFERROR(TIMEVALUE(Table2[[#This Row],[Vào]]),0)</f>
        <v>0.34193287037037035</v>
      </c>
      <c r="Z471" s="10">
        <f>IFERROR(TIMEVALUE(Table2[[#This Row],[Ra]]),0)</f>
        <v>0</v>
      </c>
      <c r="AA471" s="99" t="s">
        <v>1353</v>
      </c>
      <c r="AB471" s="105">
        <f t="shared" si="30"/>
        <v>12.383333333333324</v>
      </c>
      <c r="AC471" s="12" t="str">
        <f>IF(VLOOKUP(A471,Data_NV!$A:$I,7,0)="Không","",IF(OR(AND(Y471=0,Z471=0),AND(Y471&lt;&gt;0,Z471&lt;&gt;0)),"","Quên chấm công"))</f>
        <v/>
      </c>
      <c r="AD471" s="12">
        <f>IF(VLOOKUP(A471,Data_NV!$A:$I,7,0)="Không",0,IF(AND(Y471=0,Z471=0),0,IF(X471&lt;=Z471,0,ROUNDDOWN((X471-Z471)*24*60,0))))</f>
        <v>0</v>
      </c>
      <c r="AE471" s="12">
        <f>IF(VLOOKUP(A471,Data_NV!$A:$I,6,0)="Không",0,IF(Z471&lt;=X471,0,ROUNDDOWN((Z471-X471)*24*60,0)))</f>
        <v>0</v>
      </c>
      <c r="AF471" s="26">
        <f t="shared" si="31"/>
        <v>30000</v>
      </c>
      <c r="AG471" s="27" t="str">
        <f>IF(AC471="","",IF(COUNTIFS($AC$3:AC471,"Quên chấm công",$S$3:S471,S471)&gt;3,"Không chấm công do vi phạm quá 3 lần",IF(COUNTIFS($AC$3:AC471,"Quên chấm công",$S$3:S471,S471)&gt;2,"Trừ toàn bộ chuyên cần tháng do vi phạm lần 3",IF(COUNTIFS($AC$3:AC471,"Quên chấm công",$S$3:S471,S471)&gt;1,"Trừ 1/2 ngày lương",50000))))</f>
        <v/>
      </c>
      <c r="AH471" s="12" t="str">
        <f>IF(AF471=0,"",IF(COUNTIFS($AF$3:AF471,"&gt;0",$S$3:S471,S471)&gt;3,"Trừ toàn bộ chuyên cần tháng",""))</f>
        <v/>
      </c>
      <c r="AI471" s="12" t="s">
        <v>1386</v>
      </c>
    </row>
    <row r="472" spans="1:35" x14ac:dyDescent="0.25">
      <c r="A472" s="4" t="s">
        <v>776</v>
      </c>
      <c r="B472" s="1" t="s">
        <v>777</v>
      </c>
      <c r="C472" s="1" t="s">
        <v>20</v>
      </c>
      <c r="D472" s="1" t="s">
        <v>100</v>
      </c>
      <c r="E472" s="1" t="s">
        <v>22</v>
      </c>
      <c r="F472" s="1" t="s">
        <v>23</v>
      </c>
      <c r="G472" s="1" t="s">
        <v>12</v>
      </c>
      <c r="H472" s="1" t="s">
        <v>792</v>
      </c>
      <c r="I472" s="1" t="s">
        <v>24</v>
      </c>
      <c r="J472" s="1" t="s">
        <v>25</v>
      </c>
      <c r="K472" s="1" t="s">
        <v>25</v>
      </c>
      <c r="L472" s="1" t="s">
        <v>26</v>
      </c>
      <c r="M472" s="1" t="s">
        <v>25</v>
      </c>
      <c r="N472" s="1" t="s">
        <v>25</v>
      </c>
      <c r="O472" s="1" t="s">
        <v>25</v>
      </c>
      <c r="P472" s="1" t="s">
        <v>25</v>
      </c>
      <c r="Q472" s="1" t="s">
        <v>25</v>
      </c>
      <c r="R472" s="85" t="str">
        <f t="shared" si="28"/>
        <v>4045920</v>
      </c>
      <c r="S472" t="str">
        <f>VLOOKUP(A472,Data_NV!$A:$C,3,0)</f>
        <v>Nguyễn Văn Vinh</v>
      </c>
      <c r="T472" t="str">
        <f>VLOOKUP(A472,Data_NV!$A:$E,4,0)</f>
        <v>Kinh doanh</v>
      </c>
      <c r="U472" s="82">
        <f>DATEVALUE(Table2[[#This Row],[Ngày]])</f>
        <v>45920</v>
      </c>
      <c r="V472" t="str">
        <f>VLOOKUP(A472,Data_NV!$A:$E,5,0)</f>
        <v>Đang làm việc</v>
      </c>
      <c r="W472" s="10">
        <f>VLOOKUP(A472,Data_NV!$A:$I,8,0)</f>
        <v>0.33333333333333331</v>
      </c>
      <c r="X472" s="10">
        <f>VLOOKUP(A472,Data_NV!$A:$I,9,0)</f>
        <v>0.70833333333333337</v>
      </c>
      <c r="Y472" s="10">
        <f>IFERROR(TIMEVALUE(Table2[[#This Row],[Vào]]),0)</f>
        <v>0.33173611111111112</v>
      </c>
      <c r="Z472" s="10">
        <f>IFERROR(TIMEVALUE(Table2[[#This Row],[Ra]]),0)</f>
        <v>0</v>
      </c>
      <c r="AA472" t="str">
        <f t="shared" si="29"/>
        <v>x</v>
      </c>
      <c r="AB472" s="105">
        <f t="shared" si="30"/>
        <v>0</v>
      </c>
      <c r="AC472" s="12" t="str">
        <f>IF(VLOOKUP(A472,Data_NV!$A:$I,7,0)="Không","",IF(OR(AND(Y472=0,Z472=0),AND(Y472&lt;&gt;0,Z472&lt;&gt;0)),"","Quên chấm công"))</f>
        <v/>
      </c>
      <c r="AD472" s="12">
        <f>IF(VLOOKUP(A472,Data_NV!$A:$I,7,0)="Không",0,IF(AND(Y472=0,Z472=0),0,IF(X472&lt;=Z472,0,ROUNDDOWN((X472-Z472)*24*60,0))))</f>
        <v>0</v>
      </c>
      <c r="AE472" s="12">
        <f>IF(VLOOKUP(A472,Data_NV!$A:$I,6,0)="Không",0,IF(Z472&lt;=X472,0,ROUNDDOWN((Z472-X472)*24*60,0)))</f>
        <v>0</v>
      </c>
      <c r="AF472" s="26">
        <f t="shared" si="31"/>
        <v>0</v>
      </c>
      <c r="AG472" s="27" t="str">
        <f>IF(AC472="","",IF(COUNTIFS($AC$3:AC472,"Quên chấm công",$S$3:S472,S472)&gt;3,"Không chấm công do vi phạm quá 3 lần",IF(COUNTIFS($AC$3:AC472,"Quên chấm công",$S$3:S472,S472)&gt;2,"Trừ toàn bộ chuyên cần tháng do vi phạm lần 3",IF(COUNTIFS($AC$3:AC472,"Quên chấm công",$S$3:S472,S472)&gt;1,"Trừ 1/2 ngày lương",50000))))</f>
        <v/>
      </c>
      <c r="AH472" s="12" t="str">
        <f>IF(AF472=0,"",IF(COUNTIFS($AF$3:AF472,"&gt;0",$S$3:S472,S472)&gt;3,"Trừ toàn bộ chuyên cần tháng",""))</f>
        <v/>
      </c>
      <c r="AI472" s="12"/>
    </row>
    <row r="473" spans="1:35" x14ac:dyDescent="0.25">
      <c r="A473" s="4" t="s">
        <v>776</v>
      </c>
      <c r="B473" s="1" t="s">
        <v>777</v>
      </c>
      <c r="C473" s="1" t="s">
        <v>20</v>
      </c>
      <c r="D473" s="1" t="s">
        <v>105</v>
      </c>
      <c r="E473" s="1" t="s">
        <v>22</v>
      </c>
      <c r="F473" s="1" t="s">
        <v>23</v>
      </c>
      <c r="G473" s="1" t="s">
        <v>12</v>
      </c>
      <c r="H473" s="1" t="s">
        <v>24</v>
      </c>
      <c r="I473" s="1" t="s">
        <v>24</v>
      </c>
      <c r="J473" s="1" t="s">
        <v>25</v>
      </c>
      <c r="K473" s="1" t="s">
        <v>25</v>
      </c>
      <c r="L473" s="1" t="s">
        <v>26</v>
      </c>
      <c r="M473" s="1" t="s">
        <v>25</v>
      </c>
      <c r="N473" s="1" t="s">
        <v>25</v>
      </c>
      <c r="O473" s="1" t="s">
        <v>25</v>
      </c>
      <c r="P473" s="1" t="s">
        <v>25</v>
      </c>
      <c r="Q473" s="1" t="s">
        <v>25</v>
      </c>
      <c r="R473" s="85" t="str">
        <f t="shared" si="28"/>
        <v>4045921</v>
      </c>
      <c r="S473" t="str">
        <f>VLOOKUP(A473,Data_NV!$A:$C,3,0)</f>
        <v>Nguyễn Văn Vinh</v>
      </c>
      <c r="T473" t="str">
        <f>VLOOKUP(A473,Data_NV!$A:$E,4,0)</f>
        <v>Kinh doanh</v>
      </c>
      <c r="U473" s="82">
        <f>DATEVALUE(Table2[[#This Row],[Ngày]])</f>
        <v>45921</v>
      </c>
      <c r="V473" t="str">
        <f>VLOOKUP(A473,Data_NV!$A:$E,5,0)</f>
        <v>Đang làm việc</v>
      </c>
      <c r="W473" s="10">
        <f>VLOOKUP(A473,Data_NV!$A:$I,8,0)</f>
        <v>0.33333333333333331</v>
      </c>
      <c r="X473" s="10">
        <f>VLOOKUP(A473,Data_NV!$A:$I,9,0)</f>
        <v>0.70833333333333337</v>
      </c>
      <c r="Y473" s="10">
        <f>IFERROR(TIMEVALUE(Table2[[#This Row],[Vào]]),0)</f>
        <v>0</v>
      </c>
      <c r="Z473" s="10">
        <f>IFERROR(TIMEVALUE(Table2[[#This Row],[Ra]]),0)</f>
        <v>0</v>
      </c>
      <c r="AA473" t="str">
        <f t="shared" si="29"/>
        <v>Chủ nhật</v>
      </c>
      <c r="AB473" s="105">
        <f t="shared" si="30"/>
        <v>0</v>
      </c>
      <c r="AC473" s="12" t="str">
        <f>IF(VLOOKUP(A473,Data_NV!$A:$I,7,0)="Không","",IF(OR(AND(Y473=0,Z473=0),AND(Y473&lt;&gt;0,Z473&lt;&gt;0)),"","Quên chấm công"))</f>
        <v/>
      </c>
      <c r="AD473" s="12">
        <f>IF(VLOOKUP(A473,Data_NV!$A:$I,7,0)="Không",0,IF(AND(Y473=0,Z473=0),0,IF(X473&lt;=Z473,0,ROUNDDOWN((X473-Z473)*24*60,0))))</f>
        <v>0</v>
      </c>
      <c r="AE473" s="12">
        <f>IF(VLOOKUP(A473,Data_NV!$A:$I,6,0)="Không",0,IF(Z473&lt;=X473,0,ROUNDDOWN((Z473-X473)*24*60,0)))</f>
        <v>0</v>
      </c>
      <c r="AF473" s="26">
        <f t="shared" si="31"/>
        <v>0</v>
      </c>
      <c r="AG473" s="27" t="str">
        <f>IF(AC473="","",IF(COUNTIFS($AC$3:AC473,"Quên chấm công",$S$3:S473,S473)&gt;3,"Không chấm công do vi phạm quá 3 lần",IF(COUNTIFS($AC$3:AC473,"Quên chấm công",$S$3:S473,S473)&gt;2,"Trừ toàn bộ chuyên cần tháng do vi phạm lần 3",IF(COUNTIFS($AC$3:AC473,"Quên chấm công",$S$3:S473,S473)&gt;1,"Trừ 1/2 ngày lương",50000))))</f>
        <v/>
      </c>
      <c r="AH473" s="12" t="str">
        <f>IF(AF473=0,"",IF(COUNTIFS($AF$3:AF473,"&gt;0",$S$3:S473,S473)&gt;3,"Trừ toàn bộ chuyên cần tháng",""))</f>
        <v/>
      </c>
      <c r="AI473" s="12"/>
    </row>
    <row r="474" spans="1:35" x14ac:dyDescent="0.25">
      <c r="A474" s="4" t="s">
        <v>776</v>
      </c>
      <c r="B474" s="1" t="s">
        <v>777</v>
      </c>
      <c r="C474" s="1" t="s">
        <v>20</v>
      </c>
      <c r="D474" s="1" t="s">
        <v>106</v>
      </c>
      <c r="E474" s="1" t="s">
        <v>22</v>
      </c>
      <c r="F474" s="1" t="s">
        <v>23</v>
      </c>
      <c r="G474" s="1" t="s">
        <v>12</v>
      </c>
      <c r="H474" s="1" t="s">
        <v>772</v>
      </c>
      <c r="I474" s="1" t="s">
        <v>24</v>
      </c>
      <c r="J474" s="1" t="s">
        <v>251</v>
      </c>
      <c r="K474" s="1" t="s">
        <v>25</v>
      </c>
      <c r="L474" s="1" t="s">
        <v>26</v>
      </c>
      <c r="M474" s="1" t="s">
        <v>25</v>
      </c>
      <c r="N474" s="1" t="s">
        <v>25</v>
      </c>
      <c r="O474" s="1" t="s">
        <v>25</v>
      </c>
      <c r="P474" s="1" t="s">
        <v>25</v>
      </c>
      <c r="Q474" s="1" t="s">
        <v>25</v>
      </c>
      <c r="R474" s="85" t="str">
        <f t="shared" si="28"/>
        <v>4045922</v>
      </c>
      <c r="S474" t="str">
        <f>VLOOKUP(A474,Data_NV!$A:$C,3,0)</f>
        <v>Nguyễn Văn Vinh</v>
      </c>
      <c r="T474" t="str">
        <f>VLOOKUP(A474,Data_NV!$A:$E,4,0)</f>
        <v>Kinh doanh</v>
      </c>
      <c r="U474" s="82">
        <f>DATEVALUE(Table2[[#This Row],[Ngày]])</f>
        <v>45922</v>
      </c>
      <c r="V474" t="str">
        <f>VLOOKUP(A474,Data_NV!$A:$E,5,0)</f>
        <v>Đang làm việc</v>
      </c>
      <c r="W474" s="10">
        <f>VLOOKUP(A474,Data_NV!$A:$I,8,0)</f>
        <v>0.33333333333333331</v>
      </c>
      <c r="X474" s="10">
        <f>VLOOKUP(A474,Data_NV!$A:$I,9,0)</f>
        <v>0.70833333333333337</v>
      </c>
      <c r="Y474" s="10">
        <f>IFERROR(TIMEVALUE(Table2[[#This Row],[Vào]]),0)</f>
        <v>0.33641203703703704</v>
      </c>
      <c r="Z474" s="10">
        <f>IFERROR(TIMEVALUE(Table2[[#This Row],[Ra]]),0)</f>
        <v>0</v>
      </c>
      <c r="AA474" t="str">
        <f t="shared" si="29"/>
        <v>x</v>
      </c>
      <c r="AB474" s="105">
        <f t="shared" si="30"/>
        <v>4.4333333333333602</v>
      </c>
      <c r="AC474" s="12" t="str">
        <f>IF(VLOOKUP(A474,Data_NV!$A:$I,7,0)="Không","",IF(OR(AND(Y474=0,Z474=0),AND(Y474&lt;&gt;0,Z474&lt;&gt;0)),"","Quên chấm công"))</f>
        <v/>
      </c>
      <c r="AD474" s="12">
        <f>IF(VLOOKUP(A474,Data_NV!$A:$I,7,0)="Không",0,IF(AND(Y474=0,Z474=0),0,IF(X474&lt;=Z474,0,ROUNDDOWN((X474-Z474)*24*60,0))))</f>
        <v>0</v>
      </c>
      <c r="AE474" s="12">
        <f>IF(VLOOKUP(A474,Data_NV!$A:$I,6,0)="Không",0,IF(Z474&lt;=X474,0,ROUNDDOWN((Z474-X474)*24*60,0)))</f>
        <v>0</v>
      </c>
      <c r="AF474" s="26">
        <f t="shared" si="31"/>
        <v>0</v>
      </c>
      <c r="AG474" s="27" t="str">
        <f>IF(AC474="","",IF(COUNTIFS($AC$3:AC474,"Quên chấm công",$S$3:S474,S474)&gt;3,"Không chấm công do vi phạm quá 3 lần",IF(COUNTIFS($AC$3:AC474,"Quên chấm công",$S$3:S474,S474)&gt;2,"Trừ toàn bộ chuyên cần tháng do vi phạm lần 3",IF(COUNTIFS($AC$3:AC474,"Quên chấm công",$S$3:S474,S474)&gt;1,"Trừ 1/2 ngày lương",50000))))</f>
        <v/>
      </c>
      <c r="AH474" s="12" t="str">
        <f>IF(AF474=0,"",IF(COUNTIFS($AF$3:AF474,"&gt;0",$S$3:S474,S474)&gt;3,"Trừ toàn bộ chuyên cần tháng",""))</f>
        <v/>
      </c>
      <c r="AI474" s="12"/>
    </row>
    <row r="475" spans="1:35" x14ac:dyDescent="0.25">
      <c r="A475" s="4" t="s">
        <v>776</v>
      </c>
      <c r="B475" s="1" t="s">
        <v>777</v>
      </c>
      <c r="C475" s="1" t="s">
        <v>20</v>
      </c>
      <c r="D475" s="1" t="s">
        <v>111</v>
      </c>
      <c r="E475" s="1" t="s">
        <v>22</v>
      </c>
      <c r="F475" s="1" t="s">
        <v>23</v>
      </c>
      <c r="G475" s="1" t="s">
        <v>12</v>
      </c>
      <c r="H475" s="1" t="s">
        <v>793</v>
      </c>
      <c r="I475" s="1" t="s">
        <v>24</v>
      </c>
      <c r="J475" s="1" t="s">
        <v>691</v>
      </c>
      <c r="K475" s="1" t="s">
        <v>25</v>
      </c>
      <c r="L475" s="1" t="s">
        <v>26</v>
      </c>
      <c r="M475" s="1" t="s">
        <v>25</v>
      </c>
      <c r="N475" s="1" t="s">
        <v>25</v>
      </c>
      <c r="O475" s="1" t="s">
        <v>25</v>
      </c>
      <c r="P475" s="1" t="s">
        <v>25</v>
      </c>
      <c r="Q475" s="1" t="s">
        <v>25</v>
      </c>
      <c r="R475" s="85" t="str">
        <f t="shared" si="28"/>
        <v>4045923</v>
      </c>
      <c r="S475" t="str">
        <f>VLOOKUP(A475,Data_NV!$A:$C,3,0)</f>
        <v>Nguyễn Văn Vinh</v>
      </c>
      <c r="T475" t="str">
        <f>VLOOKUP(A475,Data_NV!$A:$E,4,0)</f>
        <v>Kinh doanh</v>
      </c>
      <c r="U475" s="82">
        <f>DATEVALUE(Table2[[#This Row],[Ngày]])</f>
        <v>45923</v>
      </c>
      <c r="V475" t="str">
        <f>VLOOKUP(A475,Data_NV!$A:$E,5,0)</f>
        <v>Đang làm việc</v>
      </c>
      <c r="W475" s="10">
        <f>VLOOKUP(A475,Data_NV!$A:$I,8,0)</f>
        <v>0.33333333333333331</v>
      </c>
      <c r="X475" s="10">
        <f>VLOOKUP(A475,Data_NV!$A:$I,9,0)</f>
        <v>0.70833333333333337</v>
      </c>
      <c r="Y475" s="10">
        <f>IFERROR(TIMEVALUE(Table2[[#This Row],[Vào]]),0)</f>
        <v>0.33541666666666664</v>
      </c>
      <c r="Z475" s="10">
        <f>IFERROR(TIMEVALUE(Table2[[#This Row],[Ra]]),0)</f>
        <v>0</v>
      </c>
      <c r="AA475" t="str">
        <f t="shared" si="29"/>
        <v>x</v>
      </c>
      <c r="AB475" s="105">
        <f t="shared" si="30"/>
        <v>2.9999999999999893</v>
      </c>
      <c r="AC475" s="12" t="str">
        <f>IF(VLOOKUP(A475,Data_NV!$A:$I,7,0)="Không","",IF(OR(AND(Y475=0,Z475=0),AND(Y475&lt;&gt;0,Z475&lt;&gt;0)),"","Quên chấm công"))</f>
        <v/>
      </c>
      <c r="AD475" s="12">
        <f>IF(VLOOKUP(A475,Data_NV!$A:$I,7,0)="Không",0,IF(AND(Y475=0,Z475=0),0,IF(X475&lt;=Z475,0,ROUNDDOWN((X475-Z475)*24*60,0))))</f>
        <v>0</v>
      </c>
      <c r="AE475" s="12">
        <f>IF(VLOOKUP(A475,Data_NV!$A:$I,6,0)="Không",0,IF(Z475&lt;=X475,0,ROUNDDOWN((Z475-X475)*24*60,0)))</f>
        <v>0</v>
      </c>
      <c r="AF475" s="26">
        <f t="shared" si="31"/>
        <v>0</v>
      </c>
      <c r="AG475" s="27" t="str">
        <f>IF(AC475="","",IF(COUNTIFS($AC$3:AC475,"Quên chấm công",$S$3:S475,S475)&gt;3,"Không chấm công do vi phạm quá 3 lần",IF(COUNTIFS($AC$3:AC475,"Quên chấm công",$S$3:S475,S475)&gt;2,"Trừ toàn bộ chuyên cần tháng do vi phạm lần 3",IF(COUNTIFS($AC$3:AC475,"Quên chấm công",$S$3:S475,S475)&gt;1,"Trừ 1/2 ngày lương",50000))))</f>
        <v/>
      </c>
      <c r="AH475" s="12" t="str">
        <f>IF(AF475=0,"",IF(COUNTIFS($AF$3:AF475,"&gt;0",$S$3:S475,S475)&gt;3,"Trừ toàn bộ chuyên cần tháng",""))</f>
        <v/>
      </c>
      <c r="AI475" s="12"/>
    </row>
    <row r="476" spans="1:35" x14ac:dyDescent="0.25">
      <c r="A476" s="4" t="s">
        <v>776</v>
      </c>
      <c r="B476" s="1" t="s">
        <v>777</v>
      </c>
      <c r="C476" s="1" t="s">
        <v>20</v>
      </c>
      <c r="D476" s="1" t="s">
        <v>116</v>
      </c>
      <c r="E476" s="1" t="s">
        <v>22</v>
      </c>
      <c r="F476" s="1" t="s">
        <v>23</v>
      </c>
      <c r="G476" s="1" t="s">
        <v>12</v>
      </c>
      <c r="H476" s="1" t="s">
        <v>794</v>
      </c>
      <c r="I476" s="1" t="s">
        <v>24</v>
      </c>
      <c r="J476" s="1" t="s">
        <v>25</v>
      </c>
      <c r="K476" s="1" t="s">
        <v>25</v>
      </c>
      <c r="L476" s="1" t="s">
        <v>26</v>
      </c>
      <c r="M476" s="1" t="s">
        <v>25</v>
      </c>
      <c r="N476" s="1" t="s">
        <v>25</v>
      </c>
      <c r="O476" s="1" t="s">
        <v>25</v>
      </c>
      <c r="P476" s="1" t="s">
        <v>25</v>
      </c>
      <c r="Q476" s="1" t="s">
        <v>25</v>
      </c>
      <c r="R476" s="85" t="str">
        <f t="shared" si="28"/>
        <v>4045924</v>
      </c>
      <c r="S476" t="str">
        <f>VLOOKUP(A476,Data_NV!$A:$C,3,0)</f>
        <v>Nguyễn Văn Vinh</v>
      </c>
      <c r="T476" t="str">
        <f>VLOOKUP(A476,Data_NV!$A:$E,4,0)</f>
        <v>Kinh doanh</v>
      </c>
      <c r="U476" s="82">
        <f>DATEVALUE(Table2[[#This Row],[Ngày]])</f>
        <v>45924</v>
      </c>
      <c r="V476" t="str">
        <f>VLOOKUP(A476,Data_NV!$A:$E,5,0)</f>
        <v>Đang làm việc</v>
      </c>
      <c r="W476" s="10">
        <f>VLOOKUP(A476,Data_NV!$A:$I,8,0)</f>
        <v>0.33333333333333331</v>
      </c>
      <c r="X476" s="10">
        <f>VLOOKUP(A476,Data_NV!$A:$I,9,0)</f>
        <v>0.70833333333333337</v>
      </c>
      <c r="Y476" s="10">
        <f>IFERROR(TIMEVALUE(Table2[[#This Row],[Vào]]),0)</f>
        <v>0.32805555555555554</v>
      </c>
      <c r="Z476" s="10">
        <f>IFERROR(TIMEVALUE(Table2[[#This Row],[Ra]]),0)</f>
        <v>0</v>
      </c>
      <c r="AA476" t="str">
        <f t="shared" si="29"/>
        <v>x</v>
      </c>
      <c r="AB476" s="105">
        <f t="shared" si="30"/>
        <v>0</v>
      </c>
      <c r="AC476" s="12" t="str">
        <f>IF(VLOOKUP(A476,Data_NV!$A:$I,7,0)="Không","",IF(OR(AND(Y476=0,Z476=0),AND(Y476&lt;&gt;0,Z476&lt;&gt;0)),"","Quên chấm công"))</f>
        <v/>
      </c>
      <c r="AD476" s="12">
        <f>IF(VLOOKUP(A476,Data_NV!$A:$I,7,0)="Không",0,IF(AND(Y476=0,Z476=0),0,IF(X476&lt;=Z476,0,ROUNDDOWN((X476-Z476)*24*60,0))))</f>
        <v>0</v>
      </c>
      <c r="AE476" s="12">
        <f>IF(VLOOKUP(A476,Data_NV!$A:$I,6,0)="Không",0,IF(Z476&lt;=X476,0,ROUNDDOWN((Z476-X476)*24*60,0)))</f>
        <v>0</v>
      </c>
      <c r="AF476" s="26">
        <f t="shared" si="31"/>
        <v>0</v>
      </c>
      <c r="AG476" s="27" t="str">
        <f>IF(AC476="","",IF(COUNTIFS($AC$3:AC476,"Quên chấm công",$S$3:S476,S476)&gt;3,"Không chấm công do vi phạm quá 3 lần",IF(COUNTIFS($AC$3:AC476,"Quên chấm công",$S$3:S476,S476)&gt;2,"Trừ toàn bộ chuyên cần tháng do vi phạm lần 3",IF(COUNTIFS($AC$3:AC476,"Quên chấm công",$S$3:S476,S476)&gt;1,"Trừ 1/2 ngày lương",50000))))</f>
        <v/>
      </c>
      <c r="AH476" s="12" t="str">
        <f>IF(AF476=0,"",IF(COUNTIFS($AF$3:AF476,"&gt;0",$S$3:S476,S476)&gt;3,"Trừ toàn bộ chuyên cần tháng",""))</f>
        <v/>
      </c>
      <c r="AI476" s="12"/>
    </row>
    <row r="477" spans="1:35" x14ac:dyDescent="0.25">
      <c r="A477" s="4" t="s">
        <v>776</v>
      </c>
      <c r="B477" s="1" t="s">
        <v>777</v>
      </c>
      <c r="C477" s="1" t="s">
        <v>20</v>
      </c>
      <c r="D477" s="1" t="s">
        <v>121</v>
      </c>
      <c r="E477" s="1" t="s">
        <v>22</v>
      </c>
      <c r="F477" s="1" t="s">
        <v>23</v>
      </c>
      <c r="G477" s="1" t="s">
        <v>12</v>
      </c>
      <c r="H477" s="1" t="s">
        <v>795</v>
      </c>
      <c r="I477" s="1" t="s">
        <v>24</v>
      </c>
      <c r="J477" s="1" t="s">
        <v>251</v>
      </c>
      <c r="K477" s="1" t="s">
        <v>25</v>
      </c>
      <c r="L477" s="1" t="s">
        <v>26</v>
      </c>
      <c r="M477" s="1" t="s">
        <v>25</v>
      </c>
      <c r="N477" s="1" t="s">
        <v>25</v>
      </c>
      <c r="O477" s="1" t="s">
        <v>25</v>
      </c>
      <c r="P477" s="1" t="s">
        <v>25</v>
      </c>
      <c r="Q477" s="1" t="s">
        <v>25</v>
      </c>
      <c r="R477" s="85" t="str">
        <f t="shared" si="28"/>
        <v>4045925</v>
      </c>
      <c r="S477" t="str">
        <f>VLOOKUP(A477,Data_NV!$A:$C,3,0)</f>
        <v>Nguyễn Văn Vinh</v>
      </c>
      <c r="T477" t="str">
        <f>VLOOKUP(A477,Data_NV!$A:$E,4,0)</f>
        <v>Kinh doanh</v>
      </c>
      <c r="U477" s="82">
        <f>DATEVALUE(Table2[[#This Row],[Ngày]])</f>
        <v>45925</v>
      </c>
      <c r="V477" t="str">
        <f>VLOOKUP(A477,Data_NV!$A:$E,5,0)</f>
        <v>Đang làm việc</v>
      </c>
      <c r="W477" s="10">
        <f>VLOOKUP(A477,Data_NV!$A:$I,8,0)</f>
        <v>0.33333333333333331</v>
      </c>
      <c r="X477" s="10">
        <f>VLOOKUP(A477,Data_NV!$A:$I,9,0)</f>
        <v>0.70833333333333337</v>
      </c>
      <c r="Y477" s="10">
        <f>IFERROR(TIMEVALUE(Table2[[#This Row],[Vào]]),0)</f>
        <v>0.33613425925925927</v>
      </c>
      <c r="Z477" s="10">
        <f>IFERROR(TIMEVALUE(Table2[[#This Row],[Ra]]),0)</f>
        <v>0</v>
      </c>
      <c r="AA477" t="str">
        <f t="shared" si="29"/>
        <v>x</v>
      </c>
      <c r="AB477" s="105">
        <f t="shared" si="30"/>
        <v>4.0333333333333776</v>
      </c>
      <c r="AC477" s="12" t="str">
        <f>IF(VLOOKUP(A477,Data_NV!$A:$I,7,0)="Không","",IF(OR(AND(Y477=0,Z477=0),AND(Y477&lt;&gt;0,Z477&lt;&gt;0)),"","Quên chấm công"))</f>
        <v/>
      </c>
      <c r="AD477" s="12">
        <f>IF(VLOOKUP(A477,Data_NV!$A:$I,7,0)="Không",0,IF(AND(Y477=0,Z477=0),0,IF(X477&lt;=Z477,0,ROUNDDOWN((X477-Z477)*24*60,0))))</f>
        <v>0</v>
      </c>
      <c r="AE477" s="12">
        <f>IF(VLOOKUP(A477,Data_NV!$A:$I,6,0)="Không",0,IF(Z477&lt;=X477,0,ROUNDDOWN((Z477-X477)*24*60,0)))</f>
        <v>0</v>
      </c>
      <c r="AF477" s="26">
        <f t="shared" si="31"/>
        <v>0</v>
      </c>
      <c r="AG477" s="27" t="str">
        <f>IF(AC477="","",IF(COUNTIFS($AC$3:AC477,"Quên chấm công",$S$3:S477,S477)&gt;3,"Không chấm công do vi phạm quá 3 lần",IF(COUNTIFS($AC$3:AC477,"Quên chấm công",$S$3:S477,S477)&gt;2,"Trừ toàn bộ chuyên cần tháng do vi phạm lần 3",IF(COUNTIFS($AC$3:AC477,"Quên chấm công",$S$3:S477,S477)&gt;1,"Trừ 1/2 ngày lương",50000))))</f>
        <v/>
      </c>
      <c r="AH477" s="12" t="str">
        <f>IF(AF477=0,"",IF(COUNTIFS($AF$3:AF477,"&gt;0",$S$3:S477,S477)&gt;3,"Trừ toàn bộ chuyên cần tháng",""))</f>
        <v/>
      </c>
      <c r="AI477" s="12"/>
    </row>
    <row r="478" spans="1:35" x14ac:dyDescent="0.25">
      <c r="A478" s="4" t="s">
        <v>776</v>
      </c>
      <c r="B478" s="1" t="s">
        <v>777</v>
      </c>
      <c r="C478" s="1" t="s">
        <v>20</v>
      </c>
      <c r="D478" s="1" t="s">
        <v>123</v>
      </c>
      <c r="E478" s="1" t="s">
        <v>22</v>
      </c>
      <c r="F478" s="1" t="s">
        <v>23</v>
      </c>
      <c r="G478" s="1" t="s">
        <v>12</v>
      </c>
      <c r="H478" s="1" t="s">
        <v>24</v>
      </c>
      <c r="I478" s="1" t="s">
        <v>24</v>
      </c>
      <c r="J478" s="1" t="s">
        <v>25</v>
      </c>
      <c r="K478" s="1" t="s">
        <v>25</v>
      </c>
      <c r="L478" s="1" t="s">
        <v>26</v>
      </c>
      <c r="M478" s="1" t="s">
        <v>25</v>
      </c>
      <c r="N478" s="1" t="s">
        <v>25</v>
      </c>
      <c r="O478" s="1" t="s">
        <v>25</v>
      </c>
      <c r="P478" s="1" t="s">
        <v>25</v>
      </c>
      <c r="Q478" s="1" t="s">
        <v>25</v>
      </c>
      <c r="R478" s="85" t="str">
        <f t="shared" si="28"/>
        <v>4045926</v>
      </c>
      <c r="S478" t="str">
        <f>VLOOKUP(A478,Data_NV!$A:$C,3,0)</f>
        <v>Nguyễn Văn Vinh</v>
      </c>
      <c r="T478" t="str">
        <f>VLOOKUP(A478,Data_NV!$A:$E,4,0)</f>
        <v>Kinh doanh</v>
      </c>
      <c r="U478" s="82">
        <f>DATEVALUE(Table2[[#This Row],[Ngày]])</f>
        <v>45926</v>
      </c>
      <c r="V478" t="str">
        <f>VLOOKUP(A478,Data_NV!$A:$E,5,0)</f>
        <v>Đang làm việc</v>
      </c>
      <c r="W478" s="10">
        <f>VLOOKUP(A478,Data_NV!$A:$I,8,0)</f>
        <v>0.33333333333333331</v>
      </c>
      <c r="X478" s="10">
        <f>VLOOKUP(A478,Data_NV!$A:$I,9,0)</f>
        <v>0.70833333333333337</v>
      </c>
      <c r="Y478" s="10">
        <f>IFERROR(TIMEVALUE(Table2[[#This Row],[Vào]]),0)</f>
        <v>0</v>
      </c>
      <c r="Z478" s="10">
        <f>IFERROR(TIMEVALUE(Table2[[#This Row],[Ra]]),0)</f>
        <v>0</v>
      </c>
      <c r="AA478" t="s">
        <v>1347</v>
      </c>
      <c r="AB478" s="105">
        <f t="shared" si="30"/>
        <v>0</v>
      </c>
      <c r="AC478" s="12" t="str">
        <f>IF(VLOOKUP(A478,Data_NV!$A:$I,7,0)="Không","",IF(OR(AND(Y478=0,Z478=0),AND(Y478&lt;&gt;0,Z478&lt;&gt;0)),"","Quên chấm công"))</f>
        <v/>
      </c>
      <c r="AD478" s="12">
        <f>IF(VLOOKUP(A478,Data_NV!$A:$I,7,0)="Không",0,IF(AND(Y478=0,Z478=0),0,IF(X478&lt;=Z478,0,ROUNDDOWN((X478-Z478)*24*60,0))))</f>
        <v>0</v>
      </c>
      <c r="AE478" s="12">
        <f>IF(VLOOKUP(A478,Data_NV!$A:$I,6,0)="Không",0,IF(Z478&lt;=X478,0,ROUNDDOWN((Z478-X478)*24*60,0)))</f>
        <v>0</v>
      </c>
      <c r="AF478" s="26">
        <f t="shared" si="31"/>
        <v>0</v>
      </c>
      <c r="AG478" s="27" t="str">
        <f>IF(AC478="","",IF(COUNTIFS($AC$3:AC478,"Quên chấm công",$S$3:S478,S478)&gt;3,"Không chấm công do vi phạm quá 3 lần",IF(COUNTIFS($AC$3:AC478,"Quên chấm công",$S$3:S478,S478)&gt;2,"Trừ toàn bộ chuyên cần tháng do vi phạm lần 3",IF(COUNTIFS($AC$3:AC478,"Quên chấm công",$S$3:S478,S478)&gt;1,"Trừ 1/2 ngày lương",50000))))</f>
        <v/>
      </c>
      <c r="AH478" s="12" t="str">
        <f>IF(AF478=0,"",IF(COUNTIFS($AF$3:AF478,"&gt;0",$S$3:S478,S478)&gt;3,"Trừ toàn bộ chuyên cần tháng",""))</f>
        <v/>
      </c>
      <c r="AI478" s="12" t="s">
        <v>1376</v>
      </c>
    </row>
    <row r="479" spans="1:35" x14ac:dyDescent="0.25">
      <c r="A479" s="4" t="s">
        <v>776</v>
      </c>
      <c r="B479" s="1" t="s">
        <v>777</v>
      </c>
      <c r="C479" s="1" t="s">
        <v>20</v>
      </c>
      <c r="D479" s="1" t="s">
        <v>125</v>
      </c>
      <c r="E479" s="1" t="s">
        <v>22</v>
      </c>
      <c r="F479" s="1" t="s">
        <v>23</v>
      </c>
      <c r="G479" s="1" t="s">
        <v>12</v>
      </c>
      <c r="H479" s="1" t="s">
        <v>96</v>
      </c>
      <c r="I479" s="1" t="s">
        <v>24</v>
      </c>
      <c r="J479" s="1" t="s">
        <v>25</v>
      </c>
      <c r="K479" s="1" t="s">
        <v>25</v>
      </c>
      <c r="L479" s="1" t="s">
        <v>26</v>
      </c>
      <c r="M479" s="1" t="s">
        <v>25</v>
      </c>
      <c r="N479" s="1" t="s">
        <v>25</v>
      </c>
      <c r="O479" s="1" t="s">
        <v>25</v>
      </c>
      <c r="P479" s="1" t="s">
        <v>25</v>
      </c>
      <c r="Q479" s="1" t="s">
        <v>25</v>
      </c>
      <c r="R479" s="85" t="str">
        <f t="shared" si="28"/>
        <v>4045927</v>
      </c>
      <c r="S479" t="str">
        <f>VLOOKUP(A479,Data_NV!$A:$C,3,0)</f>
        <v>Nguyễn Văn Vinh</v>
      </c>
      <c r="T479" t="str">
        <f>VLOOKUP(A479,Data_NV!$A:$E,4,0)</f>
        <v>Kinh doanh</v>
      </c>
      <c r="U479" s="82">
        <f>DATEVALUE(Table2[[#This Row],[Ngày]])</f>
        <v>45927</v>
      </c>
      <c r="V479" t="str">
        <f>VLOOKUP(A479,Data_NV!$A:$E,5,0)</f>
        <v>Đang làm việc</v>
      </c>
      <c r="W479" s="10">
        <f>VLOOKUP(A479,Data_NV!$A:$I,8,0)</f>
        <v>0.33333333333333331</v>
      </c>
      <c r="X479" s="10">
        <f>VLOOKUP(A479,Data_NV!$A:$I,9,0)</f>
        <v>0.70833333333333337</v>
      </c>
      <c r="Y479" s="10">
        <f>IFERROR(TIMEVALUE(Table2[[#This Row],[Vào]]),0)</f>
        <v>0.30744212962962963</v>
      </c>
      <c r="Z479" s="10">
        <f>IFERROR(TIMEVALUE(Table2[[#This Row],[Ra]]),0)</f>
        <v>0</v>
      </c>
      <c r="AA479" t="str">
        <f t="shared" si="29"/>
        <v>x</v>
      </c>
      <c r="AB479" s="105">
        <f t="shared" si="30"/>
        <v>0</v>
      </c>
      <c r="AC479" s="12" t="str">
        <f>IF(VLOOKUP(A479,Data_NV!$A:$I,7,0)="Không","",IF(OR(AND(Y479=0,Z479=0),AND(Y479&lt;&gt;0,Z479&lt;&gt;0)),"","Quên chấm công"))</f>
        <v/>
      </c>
      <c r="AD479" s="12">
        <f>IF(VLOOKUP(A479,Data_NV!$A:$I,7,0)="Không",0,IF(AND(Y479=0,Z479=0),0,IF(X479&lt;=Z479,0,ROUNDDOWN((X479-Z479)*24*60,0))))</f>
        <v>0</v>
      </c>
      <c r="AE479" s="12">
        <f>IF(VLOOKUP(A479,Data_NV!$A:$I,6,0)="Không",0,IF(Z479&lt;=X479,0,ROUNDDOWN((Z479-X479)*24*60,0)))</f>
        <v>0</v>
      </c>
      <c r="AF479" s="26">
        <f t="shared" si="31"/>
        <v>0</v>
      </c>
      <c r="AG479" s="27" t="str">
        <f>IF(AC479="","",IF(COUNTIFS($AC$3:AC479,"Quên chấm công",$S$3:S479,S479)&gt;3,"Không chấm công do vi phạm quá 3 lần",IF(COUNTIFS($AC$3:AC479,"Quên chấm công",$S$3:S479,S479)&gt;2,"Trừ toàn bộ chuyên cần tháng do vi phạm lần 3",IF(COUNTIFS($AC$3:AC479,"Quên chấm công",$S$3:S479,S479)&gt;1,"Trừ 1/2 ngày lương",50000))))</f>
        <v/>
      </c>
      <c r="AH479" s="12" t="str">
        <f>IF(AF479=0,"",IF(COUNTIFS($AF$3:AF479,"&gt;0",$S$3:S479,S479)&gt;3,"Trừ toàn bộ chuyên cần tháng",""))</f>
        <v/>
      </c>
      <c r="AI479" s="12"/>
    </row>
    <row r="480" spans="1:35" x14ac:dyDescent="0.25">
      <c r="A480" s="4" t="s">
        <v>776</v>
      </c>
      <c r="B480" s="1" t="s">
        <v>777</v>
      </c>
      <c r="C480" s="1" t="s">
        <v>20</v>
      </c>
      <c r="D480" s="1" t="s">
        <v>130</v>
      </c>
      <c r="E480" s="1" t="s">
        <v>22</v>
      </c>
      <c r="F480" s="1" t="s">
        <v>23</v>
      </c>
      <c r="G480" s="1" t="s">
        <v>12</v>
      </c>
      <c r="H480" s="1" t="s">
        <v>24</v>
      </c>
      <c r="I480" s="1" t="s">
        <v>24</v>
      </c>
      <c r="J480" s="1" t="s">
        <v>25</v>
      </c>
      <c r="K480" s="1" t="s">
        <v>25</v>
      </c>
      <c r="L480" s="1" t="s">
        <v>26</v>
      </c>
      <c r="M480" s="1" t="s">
        <v>25</v>
      </c>
      <c r="N480" s="1" t="s">
        <v>25</v>
      </c>
      <c r="O480" s="1" t="s">
        <v>25</v>
      </c>
      <c r="P480" s="1" t="s">
        <v>25</v>
      </c>
      <c r="Q480" s="1" t="s">
        <v>25</v>
      </c>
      <c r="R480" s="85" t="str">
        <f t="shared" si="28"/>
        <v>4045928</v>
      </c>
      <c r="S480" t="str">
        <f>VLOOKUP(A480,Data_NV!$A:$C,3,0)</f>
        <v>Nguyễn Văn Vinh</v>
      </c>
      <c r="T480" t="str">
        <f>VLOOKUP(A480,Data_NV!$A:$E,4,0)</f>
        <v>Kinh doanh</v>
      </c>
      <c r="U480" s="82">
        <f>DATEVALUE(Table2[[#This Row],[Ngày]])</f>
        <v>45928</v>
      </c>
      <c r="V480" t="str">
        <f>VLOOKUP(A480,Data_NV!$A:$E,5,0)</f>
        <v>Đang làm việc</v>
      </c>
      <c r="W480" s="10">
        <f>VLOOKUP(A480,Data_NV!$A:$I,8,0)</f>
        <v>0.33333333333333331</v>
      </c>
      <c r="X480" s="10">
        <f>VLOOKUP(A480,Data_NV!$A:$I,9,0)</f>
        <v>0.70833333333333337</v>
      </c>
      <c r="Y480" s="10">
        <f>IFERROR(TIMEVALUE(Table2[[#This Row],[Vào]]),0)</f>
        <v>0</v>
      </c>
      <c r="Z480" s="10">
        <f>IFERROR(TIMEVALUE(Table2[[#This Row],[Ra]]),0)</f>
        <v>0</v>
      </c>
      <c r="AA480" t="str">
        <f t="shared" si="29"/>
        <v>Chủ nhật</v>
      </c>
      <c r="AB480" s="105">
        <f t="shared" si="30"/>
        <v>0</v>
      </c>
      <c r="AC480" s="12" t="str">
        <f>IF(VLOOKUP(A480,Data_NV!$A:$I,7,0)="Không","",IF(OR(AND(Y480=0,Z480=0),AND(Y480&lt;&gt;0,Z480&lt;&gt;0)),"","Quên chấm công"))</f>
        <v/>
      </c>
      <c r="AD480" s="12">
        <f>IF(VLOOKUP(A480,Data_NV!$A:$I,7,0)="Không",0,IF(AND(Y480=0,Z480=0),0,IF(X480&lt;=Z480,0,ROUNDDOWN((X480-Z480)*24*60,0))))</f>
        <v>0</v>
      </c>
      <c r="AE480" s="12">
        <f>IF(VLOOKUP(A480,Data_NV!$A:$I,6,0)="Không",0,IF(Z480&lt;=X480,0,ROUNDDOWN((Z480-X480)*24*60,0)))</f>
        <v>0</v>
      </c>
      <c r="AF480" s="26">
        <f t="shared" si="31"/>
        <v>0</v>
      </c>
      <c r="AG480" s="27" t="str">
        <f>IF(AC480="","",IF(COUNTIFS($AC$3:AC480,"Quên chấm công",$S$3:S480,S480)&gt;3,"Không chấm công do vi phạm quá 3 lần",IF(COUNTIFS($AC$3:AC480,"Quên chấm công",$S$3:S480,S480)&gt;2,"Trừ toàn bộ chuyên cần tháng do vi phạm lần 3",IF(COUNTIFS($AC$3:AC480,"Quên chấm công",$S$3:S480,S480)&gt;1,"Trừ 1/2 ngày lương",50000))))</f>
        <v/>
      </c>
      <c r="AH480" s="12" t="str">
        <f>IF(AF480=0,"",IF(COUNTIFS($AF$3:AF480,"&gt;0",$S$3:S480,S480)&gt;3,"Trừ toàn bộ chuyên cần tháng",""))</f>
        <v/>
      </c>
      <c r="AI480" s="12"/>
    </row>
    <row r="481" spans="1:35" x14ac:dyDescent="0.25">
      <c r="A481" s="4" t="s">
        <v>776</v>
      </c>
      <c r="B481" s="1" t="s">
        <v>777</v>
      </c>
      <c r="C481" s="1" t="s">
        <v>20</v>
      </c>
      <c r="D481" s="1" t="s">
        <v>131</v>
      </c>
      <c r="E481" s="1" t="s">
        <v>22</v>
      </c>
      <c r="F481" s="1" t="s">
        <v>23</v>
      </c>
      <c r="G481" s="1" t="s">
        <v>12</v>
      </c>
      <c r="H481" s="1" t="s">
        <v>796</v>
      </c>
      <c r="I481" s="1" t="s">
        <v>24</v>
      </c>
      <c r="J481" s="1" t="s">
        <v>251</v>
      </c>
      <c r="K481" s="1" t="s">
        <v>25</v>
      </c>
      <c r="L481" s="1" t="s">
        <v>26</v>
      </c>
      <c r="M481" s="1" t="s">
        <v>25</v>
      </c>
      <c r="N481" s="1" t="s">
        <v>25</v>
      </c>
      <c r="O481" s="1" t="s">
        <v>25</v>
      </c>
      <c r="P481" s="1" t="s">
        <v>25</v>
      </c>
      <c r="Q481" s="1" t="s">
        <v>25</v>
      </c>
      <c r="R481" s="85" t="str">
        <f t="shared" si="28"/>
        <v>4045929</v>
      </c>
      <c r="S481" t="str">
        <f>VLOOKUP(A481,Data_NV!$A:$C,3,0)</f>
        <v>Nguyễn Văn Vinh</v>
      </c>
      <c r="T481" t="str">
        <f>VLOOKUP(A481,Data_NV!$A:$E,4,0)</f>
        <v>Kinh doanh</v>
      </c>
      <c r="U481" s="82">
        <f>DATEVALUE(Table2[[#This Row],[Ngày]])</f>
        <v>45929</v>
      </c>
      <c r="V481" t="str">
        <f>VLOOKUP(A481,Data_NV!$A:$E,5,0)</f>
        <v>Đang làm việc</v>
      </c>
      <c r="W481" s="10">
        <f>VLOOKUP(A481,Data_NV!$A:$I,8,0)</f>
        <v>0.33333333333333331</v>
      </c>
      <c r="X481" s="10">
        <f>VLOOKUP(A481,Data_NV!$A:$I,9,0)</f>
        <v>0.70833333333333337</v>
      </c>
      <c r="Y481" s="10">
        <f>IFERROR(TIMEVALUE(Table2[[#This Row],[Vào]]),0)</f>
        <v>0.33620370370370373</v>
      </c>
      <c r="Z481" s="10">
        <f>IFERROR(TIMEVALUE(Table2[[#This Row],[Ra]]),0)</f>
        <v>0</v>
      </c>
      <c r="AA481" t="str">
        <f t="shared" si="29"/>
        <v>x</v>
      </c>
      <c r="AB481" s="105">
        <f t="shared" si="30"/>
        <v>4.1333333333333933</v>
      </c>
      <c r="AC481" s="12" t="str">
        <f>IF(VLOOKUP(A481,Data_NV!$A:$I,7,0)="Không","",IF(OR(AND(Y481=0,Z481=0),AND(Y481&lt;&gt;0,Z481&lt;&gt;0)),"","Quên chấm công"))</f>
        <v/>
      </c>
      <c r="AD481" s="12">
        <f>IF(VLOOKUP(A481,Data_NV!$A:$I,7,0)="Không",0,IF(AND(Y481=0,Z481=0),0,IF(X481&lt;=Z481,0,ROUNDDOWN((X481-Z481)*24*60,0))))</f>
        <v>0</v>
      </c>
      <c r="AE481" s="12">
        <f>IF(VLOOKUP(A481,Data_NV!$A:$I,6,0)="Không",0,IF(Z481&lt;=X481,0,ROUNDDOWN((Z481-X481)*24*60,0)))</f>
        <v>0</v>
      </c>
      <c r="AF481" s="26">
        <f t="shared" si="31"/>
        <v>0</v>
      </c>
      <c r="AG481" s="27" t="str">
        <f>IF(AC481="","",IF(COUNTIFS($AC$3:AC481,"Quên chấm công",$S$3:S481,S481)&gt;3,"Không chấm công do vi phạm quá 3 lần",IF(COUNTIFS($AC$3:AC481,"Quên chấm công",$S$3:S481,S481)&gt;2,"Trừ toàn bộ chuyên cần tháng do vi phạm lần 3",IF(COUNTIFS($AC$3:AC481,"Quên chấm công",$S$3:S481,S481)&gt;1,"Trừ 1/2 ngày lương",50000))))</f>
        <v/>
      </c>
      <c r="AH481" s="12" t="str">
        <f>IF(AF481=0,"",IF(COUNTIFS($AF$3:AF481,"&gt;0",$S$3:S481,S481)&gt;3,"Trừ toàn bộ chuyên cần tháng",""))</f>
        <v/>
      </c>
      <c r="AI481" s="12"/>
    </row>
    <row r="482" spans="1:35" x14ac:dyDescent="0.25">
      <c r="A482" s="4" t="s">
        <v>776</v>
      </c>
      <c r="B482" s="1" t="s">
        <v>777</v>
      </c>
      <c r="C482" s="1" t="s">
        <v>20</v>
      </c>
      <c r="D482" s="1" t="s">
        <v>136</v>
      </c>
      <c r="E482" s="1" t="s">
        <v>22</v>
      </c>
      <c r="F482" s="1" t="s">
        <v>23</v>
      </c>
      <c r="G482" s="1" t="s">
        <v>12</v>
      </c>
      <c r="H482" s="1" t="s">
        <v>797</v>
      </c>
      <c r="I482" s="1" t="s">
        <v>24</v>
      </c>
      <c r="J482" s="1" t="s">
        <v>281</v>
      </c>
      <c r="K482" s="1" t="s">
        <v>25</v>
      </c>
      <c r="L482" s="1" t="s">
        <v>26</v>
      </c>
      <c r="M482" s="1" t="s">
        <v>25</v>
      </c>
      <c r="N482" s="1" t="s">
        <v>25</v>
      </c>
      <c r="O482" s="1" t="s">
        <v>25</v>
      </c>
      <c r="P482" s="1" t="s">
        <v>25</v>
      </c>
      <c r="Q482" s="1" t="s">
        <v>25</v>
      </c>
      <c r="R482" s="85" t="str">
        <f t="shared" si="28"/>
        <v>4045930</v>
      </c>
      <c r="S482" t="str">
        <f>VLOOKUP(A482,Data_NV!$A:$C,3,0)</f>
        <v>Nguyễn Văn Vinh</v>
      </c>
      <c r="T482" t="str">
        <f>VLOOKUP(A482,Data_NV!$A:$E,4,0)</f>
        <v>Kinh doanh</v>
      </c>
      <c r="U482" s="82">
        <f>DATEVALUE(Table2[[#This Row],[Ngày]])</f>
        <v>45930</v>
      </c>
      <c r="V482" t="str">
        <f>VLOOKUP(A482,Data_NV!$A:$E,5,0)</f>
        <v>Đang làm việc</v>
      </c>
      <c r="W482" s="10">
        <f>VLOOKUP(A482,Data_NV!$A:$I,8,0)</f>
        <v>0.33333333333333331</v>
      </c>
      <c r="X482" s="10">
        <f>VLOOKUP(A482,Data_NV!$A:$I,9,0)</f>
        <v>0.70833333333333337</v>
      </c>
      <c r="Y482" s="10">
        <f>IFERROR(TIMEVALUE(Table2[[#This Row],[Vào]]),0)</f>
        <v>0.35071759259259261</v>
      </c>
      <c r="Z482" s="10">
        <f>IFERROR(TIMEVALUE(Table2[[#This Row],[Ra]]),0)</f>
        <v>0</v>
      </c>
      <c r="AA482" t="str">
        <f t="shared" si="29"/>
        <v>x</v>
      </c>
      <c r="AB482" s="105">
        <f t="shared" si="30"/>
        <v>25.033333333333381</v>
      </c>
      <c r="AC482" s="12" t="str">
        <f>IF(VLOOKUP(A482,Data_NV!$A:$I,7,0)="Không","",IF(OR(AND(Y482=0,Z482=0),AND(Y482&lt;&gt;0,Z482&lt;&gt;0)),"","Quên chấm công"))</f>
        <v/>
      </c>
      <c r="AD482" s="12">
        <f>IF(VLOOKUP(A482,Data_NV!$A:$I,7,0)="Không",0,IF(AND(Y482=0,Z482=0),0,IF(X482&lt;=Z482,0,ROUNDDOWN((X482-Z482)*24*60,0))))</f>
        <v>0</v>
      </c>
      <c r="AE482" s="12">
        <f>IF(VLOOKUP(A482,Data_NV!$A:$I,6,0)="Không",0,IF(Z482&lt;=X482,0,ROUNDDOWN((Z482-X482)*24*60,0)))</f>
        <v>0</v>
      </c>
      <c r="AF482" s="26">
        <f t="shared" si="31"/>
        <v>50000</v>
      </c>
      <c r="AG482" s="27" t="str">
        <f>IF(AC482="","",IF(COUNTIFS($AC$3:AC482,"Quên chấm công",$S$3:S482,S482)&gt;3,"Không chấm công do vi phạm quá 3 lần",IF(COUNTIFS($AC$3:AC482,"Quên chấm công",$S$3:S482,S482)&gt;2,"Trừ toàn bộ chuyên cần tháng do vi phạm lần 3",IF(COUNTIFS($AC$3:AC482,"Quên chấm công",$S$3:S482,S482)&gt;1,"Trừ 1/2 ngày lương",50000))))</f>
        <v/>
      </c>
      <c r="AH482" s="12" t="str">
        <f>IF(AF482=0,"",IF(COUNTIFS($AF$3:AF482,"&gt;0",$S$3:S482,S482)&gt;3,"Trừ toàn bộ chuyên cần tháng",""))</f>
        <v/>
      </c>
      <c r="AI482" s="12" t="s">
        <v>1379</v>
      </c>
    </row>
    <row r="483" spans="1:35" x14ac:dyDescent="0.25">
      <c r="A483" s="4" t="s">
        <v>805</v>
      </c>
      <c r="B483" s="1" t="s">
        <v>806</v>
      </c>
      <c r="C483" s="1" t="s">
        <v>20</v>
      </c>
      <c r="D483" s="1" t="s">
        <v>21</v>
      </c>
      <c r="E483" s="1" t="s">
        <v>22</v>
      </c>
      <c r="F483" s="1" t="s">
        <v>23</v>
      </c>
      <c r="G483" s="1" t="s">
        <v>12</v>
      </c>
      <c r="H483" s="1" t="s">
        <v>24</v>
      </c>
      <c r="I483" s="1" t="s">
        <v>24</v>
      </c>
      <c r="J483" s="1" t="s">
        <v>25</v>
      </c>
      <c r="K483" s="1" t="s">
        <v>25</v>
      </c>
      <c r="L483" s="1" t="s">
        <v>26</v>
      </c>
      <c r="M483" s="1" t="s">
        <v>25</v>
      </c>
      <c r="N483" s="1" t="s">
        <v>25</v>
      </c>
      <c r="O483" s="1" t="s">
        <v>25</v>
      </c>
      <c r="P483" s="1" t="s">
        <v>25</v>
      </c>
      <c r="Q483" s="1" t="s">
        <v>25</v>
      </c>
      <c r="R483" s="85" t="str">
        <f t="shared" si="28"/>
        <v>4545901</v>
      </c>
      <c r="S483" t="str">
        <f>VLOOKUP(A483,Data_NV!$A:$C,3,0)</f>
        <v>Trần Hạo Nhị</v>
      </c>
      <c r="T483" t="str">
        <f>VLOOKUP(A483,Data_NV!$A:$E,4,0)</f>
        <v>Kinh doanh</v>
      </c>
      <c r="U483" s="82">
        <f>DATEVALUE(Table2[[#This Row],[Ngày]])</f>
        <v>45901</v>
      </c>
      <c r="V483" t="str">
        <f>VLOOKUP(A483,Data_NV!$A:$E,5,0)</f>
        <v>Đang làm việc</v>
      </c>
      <c r="W483" s="10">
        <f>VLOOKUP(A483,Data_NV!$A:$I,8,0)</f>
        <v>0.33333333333333331</v>
      </c>
      <c r="X483" s="10">
        <f>VLOOKUP(A483,Data_NV!$A:$I,9,0)</f>
        <v>0.70833333333333337</v>
      </c>
      <c r="Y483" s="10">
        <f>IFERROR(TIMEVALUE(Table2[[#This Row],[Vào]]),0)</f>
        <v>0</v>
      </c>
      <c r="Z483" s="10">
        <f>IFERROR(TIMEVALUE(Table2[[#This Row],[Ra]]),0)</f>
        <v>0</v>
      </c>
      <c r="AA483" s="97" t="s">
        <v>1349</v>
      </c>
      <c r="AB483" s="105">
        <f t="shared" si="30"/>
        <v>0</v>
      </c>
      <c r="AC483" s="12" t="str">
        <f>IF(VLOOKUP(A483,Data_NV!$A:$I,7,0)="Không","",IF(OR(AND(Y483=0,Z483=0),AND(Y483&lt;&gt;0,Z483&lt;&gt;0)),"","Quên chấm công"))</f>
        <v/>
      </c>
      <c r="AD483" s="12">
        <f>IF(VLOOKUP(A483,Data_NV!$A:$I,7,0)="Không",0,IF(AND(Y483=0,Z483=0),0,IF(X483&lt;=Z483,0,ROUNDDOWN((X483-Z483)*24*60,0))))</f>
        <v>0</v>
      </c>
      <c r="AE483" s="12">
        <f>IF(VLOOKUP(A483,Data_NV!$A:$I,6,0)="Không",0,IF(Z483&lt;=X483,0,ROUNDDOWN((Z483-X483)*24*60,0)))</f>
        <v>0</v>
      </c>
      <c r="AF483" s="26">
        <f t="shared" si="31"/>
        <v>0</v>
      </c>
      <c r="AG483" s="27" t="str">
        <f>IF(AC483="","",IF(COUNTIFS($AC$3:AC483,"Quên chấm công",$S$3:S483,S483)&gt;3,"Không chấm công do vi phạm quá 3 lần",IF(COUNTIFS($AC$3:AC483,"Quên chấm công",$S$3:S483,S483)&gt;2,"Trừ toàn bộ chuyên cần tháng do vi phạm lần 3",IF(COUNTIFS($AC$3:AC483,"Quên chấm công",$S$3:S483,S483)&gt;1,"Trừ 1/2 ngày lương",50000))))</f>
        <v/>
      </c>
      <c r="AH483" s="12" t="str">
        <f>IF(AF483=0,"",IF(COUNTIFS($AF$3:AF483,"&gt;0",$S$3:S483,S483)&gt;3,"Trừ toàn bộ chuyên cần tháng",""))</f>
        <v/>
      </c>
      <c r="AI483" s="98" t="s">
        <v>1369</v>
      </c>
    </row>
    <row r="484" spans="1:35" x14ac:dyDescent="0.25">
      <c r="A484" s="4" t="s">
        <v>805</v>
      </c>
      <c r="B484" s="1" t="s">
        <v>806</v>
      </c>
      <c r="C484" s="1" t="s">
        <v>20</v>
      </c>
      <c r="D484" s="1" t="s">
        <v>27</v>
      </c>
      <c r="E484" s="1" t="s">
        <v>22</v>
      </c>
      <c r="F484" s="1" t="s">
        <v>23</v>
      </c>
      <c r="G484" s="1" t="s">
        <v>12</v>
      </c>
      <c r="H484" s="1" t="s">
        <v>24</v>
      </c>
      <c r="I484" s="1" t="s">
        <v>24</v>
      </c>
      <c r="J484" s="1" t="s">
        <v>25</v>
      </c>
      <c r="K484" s="1" t="s">
        <v>25</v>
      </c>
      <c r="L484" s="1" t="s">
        <v>26</v>
      </c>
      <c r="M484" s="1" t="s">
        <v>25</v>
      </c>
      <c r="N484" s="1" t="s">
        <v>25</v>
      </c>
      <c r="O484" s="1" t="s">
        <v>25</v>
      </c>
      <c r="P484" s="1" t="s">
        <v>25</v>
      </c>
      <c r="Q484" s="1" t="s">
        <v>25</v>
      </c>
      <c r="R484" s="85" t="str">
        <f t="shared" si="28"/>
        <v>4545902</v>
      </c>
      <c r="S484" t="str">
        <f>VLOOKUP(A484,Data_NV!$A:$C,3,0)</f>
        <v>Trần Hạo Nhị</v>
      </c>
      <c r="T484" t="str">
        <f>VLOOKUP(A484,Data_NV!$A:$E,4,0)</f>
        <v>Kinh doanh</v>
      </c>
      <c r="U484" s="82">
        <f>DATEVALUE(Table2[[#This Row],[Ngày]])</f>
        <v>45902</v>
      </c>
      <c r="V484" t="str">
        <f>VLOOKUP(A484,Data_NV!$A:$E,5,0)</f>
        <v>Đang làm việc</v>
      </c>
      <c r="W484" s="10">
        <f>VLOOKUP(A484,Data_NV!$A:$I,8,0)</f>
        <v>0.33333333333333331</v>
      </c>
      <c r="X484" s="10">
        <f>VLOOKUP(A484,Data_NV!$A:$I,9,0)</f>
        <v>0.70833333333333337</v>
      </c>
      <c r="Y484" s="10">
        <f>IFERROR(TIMEVALUE(Table2[[#This Row],[Vào]]),0)</f>
        <v>0</v>
      </c>
      <c r="Z484" s="10">
        <f>IFERROR(TIMEVALUE(Table2[[#This Row],[Ra]]),0)</f>
        <v>0</v>
      </c>
      <c r="AA484" s="97" t="s">
        <v>1349</v>
      </c>
      <c r="AB484" s="105">
        <f t="shared" si="30"/>
        <v>0</v>
      </c>
      <c r="AC484" s="12" t="str">
        <f>IF(VLOOKUP(A484,Data_NV!$A:$I,7,0)="Không","",IF(OR(AND(Y484=0,Z484=0),AND(Y484&lt;&gt;0,Z484&lt;&gt;0)),"","Quên chấm công"))</f>
        <v/>
      </c>
      <c r="AD484" s="12">
        <f>IF(VLOOKUP(A484,Data_NV!$A:$I,7,0)="Không",0,IF(AND(Y484=0,Z484=0),0,IF(X484&lt;=Z484,0,ROUNDDOWN((X484-Z484)*24*60,0))))</f>
        <v>0</v>
      </c>
      <c r="AE484" s="12">
        <f>IF(VLOOKUP(A484,Data_NV!$A:$I,6,0)="Không",0,IF(Z484&lt;=X484,0,ROUNDDOWN((Z484-X484)*24*60,0)))</f>
        <v>0</v>
      </c>
      <c r="AF484" s="26">
        <f t="shared" si="31"/>
        <v>0</v>
      </c>
      <c r="AG484" s="27" t="str">
        <f>IF(AC484="","",IF(COUNTIFS($AC$3:AC484,"Quên chấm công",$S$3:S484,S484)&gt;3,"Không chấm công do vi phạm quá 3 lần",IF(COUNTIFS($AC$3:AC484,"Quên chấm công",$S$3:S484,S484)&gt;2,"Trừ toàn bộ chuyên cần tháng do vi phạm lần 3",IF(COUNTIFS($AC$3:AC484,"Quên chấm công",$S$3:S484,S484)&gt;1,"Trừ 1/2 ngày lương",50000))))</f>
        <v/>
      </c>
      <c r="AH484" s="12" t="str">
        <f>IF(AF484=0,"",IF(COUNTIFS($AF$3:AF484,"&gt;0",$S$3:S484,S484)&gt;3,"Trừ toàn bộ chuyên cần tháng",""))</f>
        <v/>
      </c>
      <c r="AI484" s="98" t="s">
        <v>1369</v>
      </c>
    </row>
    <row r="485" spans="1:35" x14ac:dyDescent="0.25">
      <c r="A485" s="4" t="s">
        <v>805</v>
      </c>
      <c r="B485" s="1" t="s">
        <v>806</v>
      </c>
      <c r="C485" s="1" t="s">
        <v>20</v>
      </c>
      <c r="D485" s="1" t="s">
        <v>28</v>
      </c>
      <c r="E485" s="1" t="s">
        <v>22</v>
      </c>
      <c r="F485" s="1" t="s">
        <v>23</v>
      </c>
      <c r="G485" s="1" t="s">
        <v>12</v>
      </c>
      <c r="H485" s="1" t="s">
        <v>807</v>
      </c>
      <c r="I485" s="1" t="s">
        <v>24</v>
      </c>
      <c r="J485" s="1" t="s">
        <v>241</v>
      </c>
      <c r="K485" s="1" t="s">
        <v>25</v>
      </c>
      <c r="L485" s="1" t="s">
        <v>26</v>
      </c>
      <c r="M485" s="1" t="s">
        <v>25</v>
      </c>
      <c r="N485" s="1" t="s">
        <v>25</v>
      </c>
      <c r="O485" s="1" t="s">
        <v>25</v>
      </c>
      <c r="P485" s="1" t="s">
        <v>25</v>
      </c>
      <c r="Q485" s="1" t="s">
        <v>25</v>
      </c>
      <c r="R485" s="85" t="str">
        <f t="shared" si="28"/>
        <v>4545903</v>
      </c>
      <c r="S485" t="str">
        <f>VLOOKUP(A485,Data_NV!$A:$C,3,0)</f>
        <v>Trần Hạo Nhị</v>
      </c>
      <c r="T485" t="str">
        <f>VLOOKUP(A485,Data_NV!$A:$E,4,0)</f>
        <v>Kinh doanh</v>
      </c>
      <c r="U485" s="82">
        <f>DATEVALUE(Table2[[#This Row],[Ngày]])</f>
        <v>45903</v>
      </c>
      <c r="V485" t="str">
        <f>VLOOKUP(A485,Data_NV!$A:$E,5,0)</f>
        <v>Đang làm việc</v>
      </c>
      <c r="W485" s="10">
        <f>VLOOKUP(A485,Data_NV!$A:$I,8,0)</f>
        <v>0.33333333333333331</v>
      </c>
      <c r="X485" s="10">
        <f>VLOOKUP(A485,Data_NV!$A:$I,9,0)</f>
        <v>0.70833333333333337</v>
      </c>
      <c r="Y485" s="10">
        <f>IFERROR(TIMEVALUE(Table2[[#This Row],[Vào]]),0)</f>
        <v>0.34067129629629628</v>
      </c>
      <c r="Z485" s="10">
        <f>IFERROR(TIMEVALUE(Table2[[#This Row],[Ra]]),0)</f>
        <v>0</v>
      </c>
      <c r="AA485" t="str">
        <f t="shared" si="29"/>
        <v>x</v>
      </c>
      <c r="AB485" s="105">
        <f t="shared" si="30"/>
        <v>10.566666666666666</v>
      </c>
      <c r="AC485" s="12" t="str">
        <f>IF(VLOOKUP(A485,Data_NV!$A:$I,7,0)="Không","",IF(OR(AND(Y485=0,Z485=0),AND(Y485&lt;&gt;0,Z485&lt;&gt;0)),"","Quên chấm công"))</f>
        <v/>
      </c>
      <c r="AD485" s="12">
        <f>IF(VLOOKUP(A485,Data_NV!$A:$I,7,0)="Không",0,IF(AND(Y485=0,Z485=0),0,IF(X485&lt;=Z485,0,ROUNDDOWN((X485-Z485)*24*60,0))))</f>
        <v>0</v>
      </c>
      <c r="AE485" s="12">
        <f>IF(VLOOKUP(A485,Data_NV!$A:$I,6,0)="Không",0,IF(Z485&lt;=X485,0,ROUNDDOWN((Z485-X485)*24*60,0)))</f>
        <v>0</v>
      </c>
      <c r="AF485" s="26">
        <f t="shared" si="31"/>
        <v>30000</v>
      </c>
      <c r="AG485" s="27" t="str">
        <f>IF(AC485="","",IF(COUNTIFS($AC$3:AC485,"Quên chấm công",$S$3:S485,S485)&gt;3,"Không chấm công do vi phạm quá 3 lần",IF(COUNTIFS($AC$3:AC485,"Quên chấm công",$S$3:S485,S485)&gt;2,"Trừ toàn bộ chuyên cần tháng do vi phạm lần 3",IF(COUNTIFS($AC$3:AC485,"Quên chấm công",$S$3:S485,S485)&gt;1,"Trừ 1/2 ngày lương",50000))))</f>
        <v/>
      </c>
      <c r="AH485" s="12" t="str">
        <f>IF(AF485=0,"",IF(COUNTIFS($AF$3:AF485,"&gt;0",$S$3:S485,S485)&gt;3,"Trừ toàn bộ chuyên cần tháng",""))</f>
        <v/>
      </c>
      <c r="AI485" s="12"/>
    </row>
    <row r="486" spans="1:35" x14ac:dyDescent="0.25">
      <c r="A486" s="4" t="s">
        <v>805</v>
      </c>
      <c r="B486" s="1" t="s">
        <v>806</v>
      </c>
      <c r="C486" s="1" t="s">
        <v>20</v>
      </c>
      <c r="D486" s="1" t="s">
        <v>35</v>
      </c>
      <c r="E486" s="1" t="s">
        <v>22</v>
      </c>
      <c r="F486" s="1" t="s">
        <v>23</v>
      </c>
      <c r="G486" s="1" t="s">
        <v>12</v>
      </c>
      <c r="H486" s="1" t="s">
        <v>808</v>
      </c>
      <c r="I486" s="1" t="s">
        <v>24</v>
      </c>
      <c r="J486" s="1" t="s">
        <v>314</v>
      </c>
      <c r="K486" s="1" t="s">
        <v>25</v>
      </c>
      <c r="L486" s="1" t="s">
        <v>26</v>
      </c>
      <c r="M486" s="1" t="s">
        <v>25</v>
      </c>
      <c r="N486" s="1" t="s">
        <v>25</v>
      </c>
      <c r="O486" s="1" t="s">
        <v>25</v>
      </c>
      <c r="P486" s="1" t="s">
        <v>25</v>
      </c>
      <c r="Q486" s="1" t="s">
        <v>25</v>
      </c>
      <c r="R486" s="85" t="str">
        <f t="shared" si="28"/>
        <v>4545904</v>
      </c>
      <c r="S486" t="str">
        <f>VLOOKUP(A486,Data_NV!$A:$C,3,0)</f>
        <v>Trần Hạo Nhị</v>
      </c>
      <c r="T486" t="str">
        <f>VLOOKUP(A486,Data_NV!$A:$E,4,0)</f>
        <v>Kinh doanh</v>
      </c>
      <c r="U486" s="82">
        <f>DATEVALUE(Table2[[#This Row],[Ngày]])</f>
        <v>45904</v>
      </c>
      <c r="V486" t="str">
        <f>VLOOKUP(A486,Data_NV!$A:$E,5,0)</f>
        <v>Đang làm việc</v>
      </c>
      <c r="W486" s="10">
        <f>VLOOKUP(A486,Data_NV!$A:$I,8,0)</f>
        <v>0.33333333333333331</v>
      </c>
      <c r="X486" s="10">
        <f>VLOOKUP(A486,Data_NV!$A:$I,9,0)</f>
        <v>0.70833333333333337</v>
      </c>
      <c r="Y486" s="10">
        <f>IFERROR(TIMEVALUE(Table2[[#This Row],[Vào]]),0)</f>
        <v>0.33491898148148147</v>
      </c>
      <c r="Z486" s="10">
        <f>IFERROR(TIMEVALUE(Table2[[#This Row],[Ra]]),0)</f>
        <v>0</v>
      </c>
      <c r="AA486" t="str">
        <f t="shared" si="29"/>
        <v>x</v>
      </c>
      <c r="AB486" s="105">
        <f t="shared" si="30"/>
        <v>2.2833333333333439</v>
      </c>
      <c r="AC486" s="12" t="str">
        <f>IF(VLOOKUP(A486,Data_NV!$A:$I,7,0)="Không","",IF(OR(AND(Y486=0,Z486=0),AND(Y486&lt;&gt;0,Z486&lt;&gt;0)),"","Quên chấm công"))</f>
        <v/>
      </c>
      <c r="AD486" s="12">
        <f>IF(VLOOKUP(A486,Data_NV!$A:$I,7,0)="Không",0,IF(AND(Y486=0,Z486=0),0,IF(X486&lt;=Z486,0,ROUNDDOWN((X486-Z486)*24*60,0))))</f>
        <v>0</v>
      </c>
      <c r="AE486" s="12">
        <f>IF(VLOOKUP(A486,Data_NV!$A:$I,6,0)="Không",0,IF(Z486&lt;=X486,0,ROUNDDOWN((Z486-X486)*24*60,0)))</f>
        <v>0</v>
      </c>
      <c r="AF486" s="26">
        <f t="shared" si="31"/>
        <v>0</v>
      </c>
      <c r="AG486" s="27" t="str">
        <f>IF(AC486="","",IF(COUNTIFS($AC$3:AC486,"Quên chấm công",$S$3:S486,S486)&gt;3,"Không chấm công do vi phạm quá 3 lần",IF(COUNTIFS($AC$3:AC486,"Quên chấm công",$S$3:S486,S486)&gt;2,"Trừ toàn bộ chuyên cần tháng do vi phạm lần 3",IF(COUNTIFS($AC$3:AC486,"Quên chấm công",$S$3:S486,S486)&gt;1,"Trừ 1/2 ngày lương",50000))))</f>
        <v/>
      </c>
      <c r="AH486" s="12" t="str">
        <f>IF(AF486=0,"",IF(COUNTIFS($AF$3:AF486,"&gt;0",$S$3:S486,S486)&gt;3,"Trừ toàn bộ chuyên cần tháng",""))</f>
        <v/>
      </c>
      <c r="AI486" s="12"/>
    </row>
    <row r="487" spans="1:35" x14ac:dyDescent="0.25">
      <c r="A487" s="4" t="s">
        <v>805</v>
      </c>
      <c r="B487" s="1" t="s">
        <v>806</v>
      </c>
      <c r="C487" s="1" t="s">
        <v>20</v>
      </c>
      <c r="D487" s="1" t="s">
        <v>37</v>
      </c>
      <c r="E487" s="1" t="s">
        <v>22</v>
      </c>
      <c r="F487" s="1" t="s">
        <v>23</v>
      </c>
      <c r="G487" s="1" t="s">
        <v>12</v>
      </c>
      <c r="H487" s="1" t="s">
        <v>809</v>
      </c>
      <c r="I487" s="1" t="s">
        <v>24</v>
      </c>
      <c r="J487" s="1" t="s">
        <v>25</v>
      </c>
      <c r="K487" s="1" t="s">
        <v>25</v>
      </c>
      <c r="L487" s="1" t="s">
        <v>26</v>
      </c>
      <c r="M487" s="1" t="s">
        <v>25</v>
      </c>
      <c r="N487" s="1" t="s">
        <v>25</v>
      </c>
      <c r="O487" s="1" t="s">
        <v>25</v>
      </c>
      <c r="P487" s="1" t="s">
        <v>25</v>
      </c>
      <c r="Q487" s="1" t="s">
        <v>25</v>
      </c>
      <c r="R487" s="85" t="str">
        <f t="shared" si="28"/>
        <v>4545905</v>
      </c>
      <c r="S487" t="str">
        <f>VLOOKUP(A487,Data_NV!$A:$C,3,0)</f>
        <v>Trần Hạo Nhị</v>
      </c>
      <c r="T487" t="str">
        <f>VLOOKUP(A487,Data_NV!$A:$E,4,0)</f>
        <v>Kinh doanh</v>
      </c>
      <c r="U487" s="82">
        <f>DATEVALUE(Table2[[#This Row],[Ngày]])</f>
        <v>45905</v>
      </c>
      <c r="V487" t="str">
        <f>VLOOKUP(A487,Data_NV!$A:$E,5,0)</f>
        <v>Đang làm việc</v>
      </c>
      <c r="W487" s="10">
        <f>VLOOKUP(A487,Data_NV!$A:$I,8,0)</f>
        <v>0.33333333333333331</v>
      </c>
      <c r="X487" s="10">
        <f>VLOOKUP(A487,Data_NV!$A:$I,9,0)</f>
        <v>0.70833333333333337</v>
      </c>
      <c r="Y487" s="10">
        <f>IFERROR(TIMEVALUE(Table2[[#This Row],[Vào]]),0)</f>
        <v>0.33315972222222223</v>
      </c>
      <c r="Z487" s="10">
        <f>IFERROR(TIMEVALUE(Table2[[#This Row],[Ra]]),0)</f>
        <v>0</v>
      </c>
      <c r="AA487" t="str">
        <f t="shared" si="29"/>
        <v>x</v>
      </c>
      <c r="AB487" s="105">
        <f t="shared" si="30"/>
        <v>0</v>
      </c>
      <c r="AC487" s="12" t="str">
        <f>IF(VLOOKUP(A487,Data_NV!$A:$I,7,0)="Không","",IF(OR(AND(Y487=0,Z487=0),AND(Y487&lt;&gt;0,Z487&lt;&gt;0)),"","Quên chấm công"))</f>
        <v/>
      </c>
      <c r="AD487" s="12">
        <f>IF(VLOOKUP(A487,Data_NV!$A:$I,7,0)="Không",0,IF(AND(Y487=0,Z487=0),0,IF(X487&lt;=Z487,0,ROUNDDOWN((X487-Z487)*24*60,0))))</f>
        <v>0</v>
      </c>
      <c r="AE487" s="12">
        <f>IF(VLOOKUP(A487,Data_NV!$A:$I,6,0)="Không",0,IF(Z487&lt;=X487,0,ROUNDDOWN((Z487-X487)*24*60,0)))</f>
        <v>0</v>
      </c>
      <c r="AF487" s="26">
        <f t="shared" si="31"/>
        <v>0</v>
      </c>
      <c r="AG487" s="27" t="str">
        <f>IF(AC487="","",IF(COUNTIFS($AC$3:AC487,"Quên chấm công",$S$3:S487,S487)&gt;3,"Không chấm công do vi phạm quá 3 lần",IF(COUNTIFS($AC$3:AC487,"Quên chấm công",$S$3:S487,S487)&gt;2,"Trừ toàn bộ chuyên cần tháng do vi phạm lần 3",IF(COUNTIFS($AC$3:AC487,"Quên chấm công",$S$3:S487,S487)&gt;1,"Trừ 1/2 ngày lương",50000))))</f>
        <v/>
      </c>
      <c r="AH487" s="12" t="str">
        <f>IF(AF487=0,"",IF(COUNTIFS($AF$3:AF487,"&gt;0",$S$3:S487,S487)&gt;3,"Trừ toàn bộ chuyên cần tháng",""))</f>
        <v/>
      </c>
      <c r="AI487" s="12"/>
    </row>
    <row r="488" spans="1:35" x14ac:dyDescent="0.25">
      <c r="A488" s="4" t="s">
        <v>805</v>
      </c>
      <c r="B488" s="1" t="s">
        <v>806</v>
      </c>
      <c r="C488" s="1" t="s">
        <v>20</v>
      </c>
      <c r="D488" s="1" t="s">
        <v>42</v>
      </c>
      <c r="E488" s="1" t="s">
        <v>22</v>
      </c>
      <c r="F488" s="1" t="s">
        <v>23</v>
      </c>
      <c r="G488" s="1" t="s">
        <v>12</v>
      </c>
      <c r="H488" s="1" t="s">
        <v>810</v>
      </c>
      <c r="I488" s="1" t="s">
        <v>24</v>
      </c>
      <c r="J488" s="1" t="s">
        <v>358</v>
      </c>
      <c r="K488" s="1" t="s">
        <v>25</v>
      </c>
      <c r="L488" s="1" t="s">
        <v>26</v>
      </c>
      <c r="M488" s="1" t="s">
        <v>25</v>
      </c>
      <c r="N488" s="1" t="s">
        <v>25</v>
      </c>
      <c r="O488" s="1" t="s">
        <v>25</v>
      </c>
      <c r="P488" s="1" t="s">
        <v>25</v>
      </c>
      <c r="Q488" s="1" t="s">
        <v>25</v>
      </c>
      <c r="R488" s="85" t="str">
        <f t="shared" si="28"/>
        <v>4545906</v>
      </c>
      <c r="S488" t="str">
        <f>VLOOKUP(A488,Data_NV!$A:$C,3,0)</f>
        <v>Trần Hạo Nhị</v>
      </c>
      <c r="T488" t="str">
        <f>VLOOKUP(A488,Data_NV!$A:$E,4,0)</f>
        <v>Kinh doanh</v>
      </c>
      <c r="U488" s="82">
        <f>DATEVALUE(Table2[[#This Row],[Ngày]])</f>
        <v>45906</v>
      </c>
      <c r="V488" t="str">
        <f>VLOOKUP(A488,Data_NV!$A:$E,5,0)</f>
        <v>Đang làm việc</v>
      </c>
      <c r="W488" s="10">
        <f>VLOOKUP(A488,Data_NV!$A:$I,8,0)</f>
        <v>0.33333333333333331</v>
      </c>
      <c r="X488" s="10">
        <f>VLOOKUP(A488,Data_NV!$A:$I,9,0)</f>
        <v>0.70833333333333337</v>
      </c>
      <c r="Y488" s="10">
        <f>IFERROR(TIMEVALUE(Table2[[#This Row],[Vào]]),0)</f>
        <v>0.33387731481481481</v>
      </c>
      <c r="Z488" s="10">
        <f>IFERROR(TIMEVALUE(Table2[[#This Row],[Ra]]),0)</f>
        <v>0</v>
      </c>
      <c r="AA488" t="str">
        <f t="shared" si="29"/>
        <v>x</v>
      </c>
      <c r="AB488" s="105">
        <f t="shared" si="30"/>
        <v>0.7833333333333492</v>
      </c>
      <c r="AC488" s="12" t="str">
        <f>IF(VLOOKUP(A488,Data_NV!$A:$I,7,0)="Không","",IF(OR(AND(Y488=0,Z488=0),AND(Y488&lt;&gt;0,Z488&lt;&gt;0)),"","Quên chấm công"))</f>
        <v/>
      </c>
      <c r="AD488" s="12">
        <f>IF(VLOOKUP(A488,Data_NV!$A:$I,7,0)="Không",0,IF(AND(Y488=0,Z488=0),0,IF(X488&lt;=Z488,0,ROUNDDOWN((X488-Z488)*24*60,0))))</f>
        <v>0</v>
      </c>
      <c r="AE488" s="12">
        <f>IF(VLOOKUP(A488,Data_NV!$A:$I,6,0)="Không",0,IF(Z488&lt;=X488,0,ROUNDDOWN((Z488-X488)*24*60,0)))</f>
        <v>0</v>
      </c>
      <c r="AF488" s="26">
        <f t="shared" si="31"/>
        <v>0</v>
      </c>
      <c r="AG488" s="27" t="str">
        <f>IF(AC488="","",IF(COUNTIFS($AC$3:AC488,"Quên chấm công",$S$3:S488,S488)&gt;3,"Không chấm công do vi phạm quá 3 lần",IF(COUNTIFS($AC$3:AC488,"Quên chấm công",$S$3:S488,S488)&gt;2,"Trừ toàn bộ chuyên cần tháng do vi phạm lần 3",IF(COUNTIFS($AC$3:AC488,"Quên chấm công",$S$3:S488,S488)&gt;1,"Trừ 1/2 ngày lương",50000))))</f>
        <v/>
      </c>
      <c r="AH488" s="12" t="str">
        <f>IF(AF488=0,"",IF(COUNTIFS($AF$3:AF488,"&gt;0",$S$3:S488,S488)&gt;3,"Trừ toàn bộ chuyên cần tháng",""))</f>
        <v/>
      </c>
      <c r="AI488" s="12"/>
    </row>
    <row r="489" spans="1:35" x14ac:dyDescent="0.25">
      <c r="A489" s="4" t="s">
        <v>805</v>
      </c>
      <c r="B489" s="1" t="s">
        <v>806</v>
      </c>
      <c r="C489" s="1" t="s">
        <v>20</v>
      </c>
      <c r="D489" s="1" t="s">
        <v>47</v>
      </c>
      <c r="E489" s="1" t="s">
        <v>22</v>
      </c>
      <c r="F489" s="1" t="s">
        <v>23</v>
      </c>
      <c r="G489" s="1" t="s">
        <v>12</v>
      </c>
      <c r="H489" s="1" t="s">
        <v>24</v>
      </c>
      <c r="I489" s="1" t="s">
        <v>24</v>
      </c>
      <c r="J489" s="1" t="s">
        <v>25</v>
      </c>
      <c r="K489" s="1" t="s">
        <v>25</v>
      </c>
      <c r="L489" s="1" t="s">
        <v>26</v>
      </c>
      <c r="M489" s="1" t="s">
        <v>25</v>
      </c>
      <c r="N489" s="1" t="s">
        <v>25</v>
      </c>
      <c r="O489" s="1" t="s">
        <v>25</v>
      </c>
      <c r="P489" s="1" t="s">
        <v>25</v>
      </c>
      <c r="Q489" s="1" t="s">
        <v>25</v>
      </c>
      <c r="R489" s="85" t="str">
        <f t="shared" si="28"/>
        <v>4545907</v>
      </c>
      <c r="S489" t="str">
        <f>VLOOKUP(A489,Data_NV!$A:$C,3,0)</f>
        <v>Trần Hạo Nhị</v>
      </c>
      <c r="T489" t="str">
        <f>VLOOKUP(A489,Data_NV!$A:$E,4,0)</f>
        <v>Kinh doanh</v>
      </c>
      <c r="U489" s="82">
        <f>DATEVALUE(Table2[[#This Row],[Ngày]])</f>
        <v>45907</v>
      </c>
      <c r="V489" t="str">
        <f>VLOOKUP(A489,Data_NV!$A:$E,5,0)</f>
        <v>Đang làm việc</v>
      </c>
      <c r="W489" s="10">
        <f>VLOOKUP(A489,Data_NV!$A:$I,8,0)</f>
        <v>0.33333333333333331</v>
      </c>
      <c r="X489" s="10">
        <f>VLOOKUP(A489,Data_NV!$A:$I,9,0)</f>
        <v>0.70833333333333337</v>
      </c>
      <c r="Y489" s="10">
        <f>IFERROR(TIMEVALUE(Table2[[#This Row],[Vào]]),0)</f>
        <v>0</v>
      </c>
      <c r="Z489" s="10">
        <f>IFERROR(TIMEVALUE(Table2[[#This Row],[Ra]]),0)</f>
        <v>0</v>
      </c>
      <c r="AA489" t="str">
        <f t="shared" si="29"/>
        <v>Chủ nhật</v>
      </c>
      <c r="AB489" s="105">
        <f t="shared" si="30"/>
        <v>0</v>
      </c>
      <c r="AC489" s="12" t="str">
        <f>IF(VLOOKUP(A489,Data_NV!$A:$I,7,0)="Không","",IF(OR(AND(Y489=0,Z489=0),AND(Y489&lt;&gt;0,Z489&lt;&gt;0)),"","Quên chấm công"))</f>
        <v/>
      </c>
      <c r="AD489" s="12">
        <f>IF(VLOOKUP(A489,Data_NV!$A:$I,7,0)="Không",0,IF(AND(Y489=0,Z489=0),0,IF(X489&lt;=Z489,0,ROUNDDOWN((X489-Z489)*24*60,0))))</f>
        <v>0</v>
      </c>
      <c r="AE489" s="12">
        <f>IF(VLOOKUP(A489,Data_NV!$A:$I,6,0)="Không",0,IF(Z489&lt;=X489,0,ROUNDDOWN((Z489-X489)*24*60,0)))</f>
        <v>0</v>
      </c>
      <c r="AF489" s="26">
        <f t="shared" si="31"/>
        <v>0</v>
      </c>
      <c r="AG489" s="27" t="str">
        <f>IF(AC489="","",IF(COUNTIFS($AC$3:AC489,"Quên chấm công",$S$3:S489,S489)&gt;3,"Không chấm công do vi phạm quá 3 lần",IF(COUNTIFS($AC$3:AC489,"Quên chấm công",$S$3:S489,S489)&gt;2,"Trừ toàn bộ chuyên cần tháng do vi phạm lần 3",IF(COUNTIFS($AC$3:AC489,"Quên chấm công",$S$3:S489,S489)&gt;1,"Trừ 1/2 ngày lương",50000))))</f>
        <v/>
      </c>
      <c r="AH489" s="12" t="str">
        <f>IF(AF489=0,"",IF(COUNTIFS($AF$3:AF489,"&gt;0",$S$3:S489,S489)&gt;3,"Trừ toàn bộ chuyên cần tháng",""))</f>
        <v/>
      </c>
      <c r="AI489" s="12"/>
    </row>
    <row r="490" spans="1:35" x14ac:dyDescent="0.25">
      <c r="A490" s="4" t="s">
        <v>805</v>
      </c>
      <c r="B490" s="1" t="s">
        <v>806</v>
      </c>
      <c r="C490" s="1" t="s">
        <v>20</v>
      </c>
      <c r="D490" s="1" t="s">
        <v>48</v>
      </c>
      <c r="E490" s="1" t="s">
        <v>22</v>
      </c>
      <c r="F490" s="1" t="s">
        <v>23</v>
      </c>
      <c r="G490" s="1" t="s">
        <v>12</v>
      </c>
      <c r="H490" s="1" t="s">
        <v>811</v>
      </c>
      <c r="I490" s="1" t="s">
        <v>24</v>
      </c>
      <c r="J490" s="1" t="s">
        <v>251</v>
      </c>
      <c r="K490" s="1" t="s">
        <v>25</v>
      </c>
      <c r="L490" s="1" t="s">
        <v>26</v>
      </c>
      <c r="M490" s="1" t="s">
        <v>25</v>
      </c>
      <c r="N490" s="1" t="s">
        <v>25</v>
      </c>
      <c r="O490" s="1" t="s">
        <v>25</v>
      </c>
      <c r="P490" s="1" t="s">
        <v>25</v>
      </c>
      <c r="Q490" s="1" t="s">
        <v>25</v>
      </c>
      <c r="R490" s="85" t="str">
        <f t="shared" si="28"/>
        <v>4545908</v>
      </c>
      <c r="S490" t="str">
        <f>VLOOKUP(A490,Data_NV!$A:$C,3,0)</f>
        <v>Trần Hạo Nhị</v>
      </c>
      <c r="T490" t="str">
        <f>VLOOKUP(A490,Data_NV!$A:$E,4,0)</f>
        <v>Kinh doanh</v>
      </c>
      <c r="U490" s="82">
        <f>DATEVALUE(Table2[[#This Row],[Ngày]])</f>
        <v>45908</v>
      </c>
      <c r="V490" t="str">
        <f>VLOOKUP(A490,Data_NV!$A:$E,5,0)</f>
        <v>Đang làm việc</v>
      </c>
      <c r="W490" s="10">
        <f>VLOOKUP(A490,Data_NV!$A:$I,8,0)</f>
        <v>0.33333333333333331</v>
      </c>
      <c r="X490" s="10">
        <f>VLOOKUP(A490,Data_NV!$A:$I,9,0)</f>
        <v>0.70833333333333337</v>
      </c>
      <c r="Y490" s="10">
        <f>IFERROR(TIMEVALUE(Table2[[#This Row],[Vào]]),0)</f>
        <v>0.33633101851851854</v>
      </c>
      <c r="Z490" s="10">
        <f>IFERROR(TIMEVALUE(Table2[[#This Row],[Ra]]),0)</f>
        <v>0</v>
      </c>
      <c r="AA490" t="str">
        <f t="shared" si="29"/>
        <v>x</v>
      </c>
      <c r="AB490" s="105">
        <f t="shared" si="30"/>
        <v>4.3166666666667286</v>
      </c>
      <c r="AC490" s="12" t="str">
        <f>IF(VLOOKUP(A490,Data_NV!$A:$I,7,0)="Không","",IF(OR(AND(Y490=0,Z490=0),AND(Y490&lt;&gt;0,Z490&lt;&gt;0)),"","Quên chấm công"))</f>
        <v/>
      </c>
      <c r="AD490" s="12">
        <f>IF(VLOOKUP(A490,Data_NV!$A:$I,7,0)="Không",0,IF(AND(Y490=0,Z490=0),0,IF(X490&lt;=Z490,0,ROUNDDOWN((X490-Z490)*24*60,0))))</f>
        <v>0</v>
      </c>
      <c r="AE490" s="12">
        <f>IF(VLOOKUP(A490,Data_NV!$A:$I,6,0)="Không",0,IF(Z490&lt;=X490,0,ROUNDDOWN((Z490-X490)*24*60,0)))</f>
        <v>0</v>
      </c>
      <c r="AF490" s="26">
        <f t="shared" si="31"/>
        <v>0</v>
      </c>
      <c r="AG490" s="27" t="str">
        <f>IF(AC490="","",IF(COUNTIFS($AC$3:AC490,"Quên chấm công",$S$3:S490,S490)&gt;3,"Không chấm công do vi phạm quá 3 lần",IF(COUNTIFS($AC$3:AC490,"Quên chấm công",$S$3:S490,S490)&gt;2,"Trừ toàn bộ chuyên cần tháng do vi phạm lần 3",IF(COUNTIFS($AC$3:AC490,"Quên chấm công",$S$3:S490,S490)&gt;1,"Trừ 1/2 ngày lương",50000))))</f>
        <v/>
      </c>
      <c r="AH490" s="12" t="str">
        <f>IF(AF490=0,"",IF(COUNTIFS($AF$3:AF490,"&gt;0",$S$3:S490,S490)&gt;3,"Trừ toàn bộ chuyên cần tháng",""))</f>
        <v/>
      </c>
      <c r="AI490" s="12"/>
    </row>
    <row r="491" spans="1:35" x14ac:dyDescent="0.25">
      <c r="A491" s="4" t="s">
        <v>805</v>
      </c>
      <c r="B491" s="1" t="s">
        <v>806</v>
      </c>
      <c r="C491" s="1" t="s">
        <v>20</v>
      </c>
      <c r="D491" s="1" t="s">
        <v>53</v>
      </c>
      <c r="E491" s="1" t="s">
        <v>22</v>
      </c>
      <c r="F491" s="1" t="s">
        <v>23</v>
      </c>
      <c r="G491" s="1" t="s">
        <v>12</v>
      </c>
      <c r="H491" s="1" t="s">
        <v>812</v>
      </c>
      <c r="I491" s="1" t="s">
        <v>24</v>
      </c>
      <c r="J491" s="1" t="s">
        <v>25</v>
      </c>
      <c r="K491" s="1" t="s">
        <v>25</v>
      </c>
      <c r="L491" s="1" t="s">
        <v>26</v>
      </c>
      <c r="M491" s="1" t="s">
        <v>25</v>
      </c>
      <c r="N491" s="1" t="s">
        <v>25</v>
      </c>
      <c r="O491" s="1" t="s">
        <v>25</v>
      </c>
      <c r="P491" s="1" t="s">
        <v>25</v>
      </c>
      <c r="Q491" s="1" t="s">
        <v>25</v>
      </c>
      <c r="R491" s="85" t="str">
        <f t="shared" si="28"/>
        <v>4545909</v>
      </c>
      <c r="S491" t="str">
        <f>VLOOKUP(A491,Data_NV!$A:$C,3,0)</f>
        <v>Trần Hạo Nhị</v>
      </c>
      <c r="T491" t="str">
        <f>VLOOKUP(A491,Data_NV!$A:$E,4,0)</f>
        <v>Kinh doanh</v>
      </c>
      <c r="U491" s="82">
        <f>DATEVALUE(Table2[[#This Row],[Ngày]])</f>
        <v>45909</v>
      </c>
      <c r="V491" t="str">
        <f>VLOOKUP(A491,Data_NV!$A:$E,5,0)</f>
        <v>Đang làm việc</v>
      </c>
      <c r="W491" s="10">
        <f>VLOOKUP(A491,Data_NV!$A:$I,8,0)</f>
        <v>0.33333333333333331</v>
      </c>
      <c r="X491" s="10">
        <f>VLOOKUP(A491,Data_NV!$A:$I,9,0)</f>
        <v>0.70833333333333337</v>
      </c>
      <c r="Y491" s="10">
        <f>IFERROR(TIMEVALUE(Table2[[#This Row],[Vào]]),0)</f>
        <v>0.33358796296296295</v>
      </c>
      <c r="Z491" s="10">
        <f>IFERROR(TIMEVALUE(Table2[[#This Row],[Ra]]),0)</f>
        <v>0</v>
      </c>
      <c r="AA491" t="str">
        <f t="shared" si="29"/>
        <v>x</v>
      </c>
      <c r="AB491" s="105">
        <f t="shared" si="30"/>
        <v>0.36666666666667069</v>
      </c>
      <c r="AC491" s="12" t="str">
        <f>IF(VLOOKUP(A491,Data_NV!$A:$I,7,0)="Không","",IF(OR(AND(Y491=0,Z491=0),AND(Y491&lt;&gt;0,Z491&lt;&gt;0)),"","Quên chấm công"))</f>
        <v/>
      </c>
      <c r="AD491" s="12">
        <f>IF(VLOOKUP(A491,Data_NV!$A:$I,7,0)="Không",0,IF(AND(Y491=0,Z491=0),0,IF(X491&lt;=Z491,0,ROUNDDOWN((X491-Z491)*24*60,0))))</f>
        <v>0</v>
      </c>
      <c r="AE491" s="12">
        <f>IF(VLOOKUP(A491,Data_NV!$A:$I,6,0)="Không",0,IF(Z491&lt;=X491,0,ROUNDDOWN((Z491-X491)*24*60,0)))</f>
        <v>0</v>
      </c>
      <c r="AF491" s="26">
        <f t="shared" si="31"/>
        <v>0</v>
      </c>
      <c r="AG491" s="27" t="str">
        <f>IF(AC491="","",IF(COUNTIFS($AC$3:AC491,"Quên chấm công",$S$3:S491,S491)&gt;3,"Không chấm công do vi phạm quá 3 lần",IF(COUNTIFS($AC$3:AC491,"Quên chấm công",$S$3:S491,S491)&gt;2,"Trừ toàn bộ chuyên cần tháng do vi phạm lần 3",IF(COUNTIFS($AC$3:AC491,"Quên chấm công",$S$3:S491,S491)&gt;1,"Trừ 1/2 ngày lương",50000))))</f>
        <v/>
      </c>
      <c r="AH491" s="12" t="str">
        <f>IF(AF491=0,"",IF(COUNTIFS($AF$3:AF491,"&gt;0",$S$3:S491,S491)&gt;3,"Trừ toàn bộ chuyên cần tháng",""))</f>
        <v/>
      </c>
      <c r="AI491" s="12"/>
    </row>
    <row r="492" spans="1:35" x14ac:dyDescent="0.25">
      <c r="A492" s="4" t="s">
        <v>805</v>
      </c>
      <c r="B492" s="1" t="s">
        <v>806</v>
      </c>
      <c r="C492" s="1" t="s">
        <v>20</v>
      </c>
      <c r="D492" s="1" t="s">
        <v>58</v>
      </c>
      <c r="E492" s="1" t="s">
        <v>22</v>
      </c>
      <c r="F492" s="1" t="s">
        <v>23</v>
      </c>
      <c r="G492" s="1" t="s">
        <v>12</v>
      </c>
      <c r="H492" s="1" t="s">
        <v>813</v>
      </c>
      <c r="I492" s="1" t="s">
        <v>24</v>
      </c>
      <c r="J492" s="1" t="s">
        <v>691</v>
      </c>
      <c r="K492" s="1" t="s">
        <v>25</v>
      </c>
      <c r="L492" s="1" t="s">
        <v>26</v>
      </c>
      <c r="M492" s="1" t="s">
        <v>25</v>
      </c>
      <c r="N492" s="1" t="s">
        <v>25</v>
      </c>
      <c r="O492" s="1" t="s">
        <v>25</v>
      </c>
      <c r="P492" s="1" t="s">
        <v>25</v>
      </c>
      <c r="Q492" s="1" t="s">
        <v>25</v>
      </c>
      <c r="R492" s="85" t="str">
        <f t="shared" si="28"/>
        <v>4545910</v>
      </c>
      <c r="S492" t="str">
        <f>VLOOKUP(A492,Data_NV!$A:$C,3,0)</f>
        <v>Trần Hạo Nhị</v>
      </c>
      <c r="T492" t="str">
        <f>VLOOKUP(A492,Data_NV!$A:$E,4,0)</f>
        <v>Kinh doanh</v>
      </c>
      <c r="U492" s="82">
        <f>DATEVALUE(Table2[[#This Row],[Ngày]])</f>
        <v>45910</v>
      </c>
      <c r="V492" t="str">
        <f>VLOOKUP(A492,Data_NV!$A:$E,5,0)</f>
        <v>Đang làm việc</v>
      </c>
      <c r="W492" s="10">
        <f>VLOOKUP(A492,Data_NV!$A:$I,8,0)</f>
        <v>0.33333333333333331</v>
      </c>
      <c r="X492" s="10">
        <f>VLOOKUP(A492,Data_NV!$A:$I,9,0)</f>
        <v>0.70833333333333337</v>
      </c>
      <c r="Y492" s="10">
        <f>IFERROR(TIMEVALUE(Table2[[#This Row],[Vào]]),0)</f>
        <v>0.33554398148148146</v>
      </c>
      <c r="Z492" s="10">
        <f>IFERROR(TIMEVALUE(Table2[[#This Row],[Ra]]),0)</f>
        <v>0</v>
      </c>
      <c r="AA492" t="str">
        <f t="shared" si="29"/>
        <v>x</v>
      </c>
      <c r="AB492" s="105">
        <f t="shared" si="30"/>
        <v>3.1833333333333247</v>
      </c>
      <c r="AC492" s="12" t="str">
        <f>IF(VLOOKUP(A492,Data_NV!$A:$I,7,0)="Không","",IF(OR(AND(Y492=0,Z492=0),AND(Y492&lt;&gt;0,Z492&lt;&gt;0)),"","Quên chấm công"))</f>
        <v/>
      </c>
      <c r="AD492" s="12">
        <f>IF(VLOOKUP(A492,Data_NV!$A:$I,7,0)="Không",0,IF(AND(Y492=0,Z492=0),0,IF(X492&lt;=Z492,0,ROUNDDOWN((X492-Z492)*24*60,0))))</f>
        <v>0</v>
      </c>
      <c r="AE492" s="12">
        <f>IF(VLOOKUP(A492,Data_NV!$A:$I,6,0)="Không",0,IF(Z492&lt;=X492,0,ROUNDDOWN((Z492-X492)*24*60,0)))</f>
        <v>0</v>
      </c>
      <c r="AF492" s="26">
        <f t="shared" si="31"/>
        <v>0</v>
      </c>
      <c r="AG492" s="27" t="str">
        <f>IF(AC492="","",IF(COUNTIFS($AC$3:AC492,"Quên chấm công",$S$3:S492,S492)&gt;3,"Không chấm công do vi phạm quá 3 lần",IF(COUNTIFS($AC$3:AC492,"Quên chấm công",$S$3:S492,S492)&gt;2,"Trừ toàn bộ chuyên cần tháng do vi phạm lần 3",IF(COUNTIFS($AC$3:AC492,"Quên chấm công",$S$3:S492,S492)&gt;1,"Trừ 1/2 ngày lương",50000))))</f>
        <v/>
      </c>
      <c r="AH492" s="12" t="str">
        <f>IF(AF492=0,"",IF(COUNTIFS($AF$3:AF492,"&gt;0",$S$3:S492,S492)&gt;3,"Trừ toàn bộ chuyên cần tháng",""))</f>
        <v/>
      </c>
      <c r="AI492" s="12"/>
    </row>
    <row r="493" spans="1:35" x14ac:dyDescent="0.25">
      <c r="A493" s="4" t="s">
        <v>805</v>
      </c>
      <c r="B493" s="1" t="s">
        <v>806</v>
      </c>
      <c r="C493" s="1" t="s">
        <v>20</v>
      </c>
      <c r="D493" s="1" t="s">
        <v>63</v>
      </c>
      <c r="E493" s="1" t="s">
        <v>22</v>
      </c>
      <c r="F493" s="1" t="s">
        <v>23</v>
      </c>
      <c r="G493" s="1" t="s">
        <v>12</v>
      </c>
      <c r="H493" s="1" t="s">
        <v>814</v>
      </c>
      <c r="I493" s="1" t="s">
        <v>24</v>
      </c>
      <c r="J493" s="1" t="s">
        <v>251</v>
      </c>
      <c r="K493" s="1" t="s">
        <v>25</v>
      </c>
      <c r="L493" s="1" t="s">
        <v>26</v>
      </c>
      <c r="M493" s="1" t="s">
        <v>25</v>
      </c>
      <c r="N493" s="1" t="s">
        <v>25</v>
      </c>
      <c r="O493" s="1" t="s">
        <v>25</v>
      </c>
      <c r="P493" s="1" t="s">
        <v>25</v>
      </c>
      <c r="Q493" s="1" t="s">
        <v>25</v>
      </c>
      <c r="R493" s="85" t="str">
        <f t="shared" si="28"/>
        <v>4545911</v>
      </c>
      <c r="S493" t="str">
        <f>VLOOKUP(A493,Data_NV!$A:$C,3,0)</f>
        <v>Trần Hạo Nhị</v>
      </c>
      <c r="T493" t="str">
        <f>VLOOKUP(A493,Data_NV!$A:$E,4,0)</f>
        <v>Kinh doanh</v>
      </c>
      <c r="U493" s="82">
        <f>DATEVALUE(Table2[[#This Row],[Ngày]])</f>
        <v>45911</v>
      </c>
      <c r="V493" t="str">
        <f>VLOOKUP(A493,Data_NV!$A:$E,5,0)</f>
        <v>Đang làm việc</v>
      </c>
      <c r="W493" s="10">
        <f>VLOOKUP(A493,Data_NV!$A:$I,8,0)</f>
        <v>0.33333333333333331</v>
      </c>
      <c r="X493" s="10">
        <f>VLOOKUP(A493,Data_NV!$A:$I,9,0)</f>
        <v>0.70833333333333337</v>
      </c>
      <c r="Y493" s="10">
        <f>IFERROR(TIMEVALUE(Table2[[#This Row],[Vào]]),0)</f>
        <v>0.33627314814814813</v>
      </c>
      <c r="Z493" s="10">
        <f>IFERROR(TIMEVALUE(Table2[[#This Row],[Ra]]),0)</f>
        <v>0</v>
      </c>
      <c r="AA493" t="str">
        <f t="shared" si="29"/>
        <v>x</v>
      </c>
      <c r="AB493" s="105">
        <f t="shared" si="30"/>
        <v>4.233333333333329</v>
      </c>
      <c r="AC493" s="12" t="str">
        <f>IF(VLOOKUP(A493,Data_NV!$A:$I,7,0)="Không","",IF(OR(AND(Y493=0,Z493=0),AND(Y493&lt;&gt;0,Z493&lt;&gt;0)),"","Quên chấm công"))</f>
        <v/>
      </c>
      <c r="AD493" s="12">
        <f>IF(VLOOKUP(A493,Data_NV!$A:$I,7,0)="Không",0,IF(AND(Y493=0,Z493=0),0,IF(X493&lt;=Z493,0,ROUNDDOWN((X493-Z493)*24*60,0))))</f>
        <v>0</v>
      </c>
      <c r="AE493" s="12">
        <f>IF(VLOOKUP(A493,Data_NV!$A:$I,6,0)="Không",0,IF(Z493&lt;=X493,0,ROUNDDOWN((Z493-X493)*24*60,0)))</f>
        <v>0</v>
      </c>
      <c r="AF493" s="26">
        <f t="shared" si="31"/>
        <v>0</v>
      </c>
      <c r="AG493" s="27" t="str">
        <f>IF(AC493="","",IF(COUNTIFS($AC$3:AC493,"Quên chấm công",$S$3:S493,S493)&gt;3,"Không chấm công do vi phạm quá 3 lần",IF(COUNTIFS($AC$3:AC493,"Quên chấm công",$S$3:S493,S493)&gt;2,"Trừ toàn bộ chuyên cần tháng do vi phạm lần 3",IF(COUNTIFS($AC$3:AC493,"Quên chấm công",$S$3:S493,S493)&gt;1,"Trừ 1/2 ngày lương",50000))))</f>
        <v/>
      </c>
      <c r="AH493" s="12" t="str">
        <f>IF(AF493=0,"",IF(COUNTIFS($AF$3:AF493,"&gt;0",$S$3:S493,S493)&gt;3,"Trừ toàn bộ chuyên cần tháng",""))</f>
        <v/>
      </c>
      <c r="AI493" s="12"/>
    </row>
    <row r="494" spans="1:35" x14ac:dyDescent="0.25">
      <c r="A494" s="4" t="s">
        <v>805</v>
      </c>
      <c r="B494" s="1" t="s">
        <v>806</v>
      </c>
      <c r="C494" s="1" t="s">
        <v>20</v>
      </c>
      <c r="D494" s="1" t="s">
        <v>67</v>
      </c>
      <c r="E494" s="1" t="s">
        <v>22</v>
      </c>
      <c r="F494" s="1" t="s">
        <v>23</v>
      </c>
      <c r="G494" s="1" t="s">
        <v>12</v>
      </c>
      <c r="H494" s="1" t="s">
        <v>815</v>
      </c>
      <c r="I494" s="1" t="s">
        <v>24</v>
      </c>
      <c r="J494" s="1" t="s">
        <v>25</v>
      </c>
      <c r="K494" s="1" t="s">
        <v>25</v>
      </c>
      <c r="L494" s="1" t="s">
        <v>26</v>
      </c>
      <c r="M494" s="1" t="s">
        <v>25</v>
      </c>
      <c r="N494" s="1" t="s">
        <v>25</v>
      </c>
      <c r="O494" s="1" t="s">
        <v>25</v>
      </c>
      <c r="P494" s="1" t="s">
        <v>25</v>
      </c>
      <c r="Q494" s="1" t="s">
        <v>25</v>
      </c>
      <c r="R494" s="85" t="str">
        <f t="shared" si="28"/>
        <v>4545912</v>
      </c>
      <c r="S494" t="str">
        <f>VLOOKUP(A494,Data_NV!$A:$C,3,0)</f>
        <v>Trần Hạo Nhị</v>
      </c>
      <c r="T494" t="str">
        <f>VLOOKUP(A494,Data_NV!$A:$E,4,0)</f>
        <v>Kinh doanh</v>
      </c>
      <c r="U494" s="82">
        <f>DATEVALUE(Table2[[#This Row],[Ngày]])</f>
        <v>45912</v>
      </c>
      <c r="V494" t="str">
        <f>VLOOKUP(A494,Data_NV!$A:$E,5,0)</f>
        <v>Đang làm việc</v>
      </c>
      <c r="W494" s="10">
        <f>VLOOKUP(A494,Data_NV!$A:$I,8,0)</f>
        <v>0.33333333333333331</v>
      </c>
      <c r="X494" s="10">
        <f>VLOOKUP(A494,Data_NV!$A:$I,9,0)</f>
        <v>0.70833333333333337</v>
      </c>
      <c r="Y494" s="10">
        <f>IFERROR(TIMEVALUE(Table2[[#This Row],[Vào]]),0)</f>
        <v>0.33028935185185188</v>
      </c>
      <c r="Z494" s="10">
        <f>IFERROR(TIMEVALUE(Table2[[#This Row],[Ra]]),0)</f>
        <v>0</v>
      </c>
      <c r="AA494" t="str">
        <f t="shared" si="29"/>
        <v>x</v>
      </c>
      <c r="AB494" s="105">
        <f t="shared" si="30"/>
        <v>0</v>
      </c>
      <c r="AC494" s="12" t="str">
        <f>IF(VLOOKUP(A494,Data_NV!$A:$I,7,0)="Không","",IF(OR(AND(Y494=0,Z494=0),AND(Y494&lt;&gt;0,Z494&lt;&gt;0)),"","Quên chấm công"))</f>
        <v/>
      </c>
      <c r="AD494" s="12">
        <f>IF(VLOOKUP(A494,Data_NV!$A:$I,7,0)="Không",0,IF(AND(Y494=0,Z494=0),0,IF(X494&lt;=Z494,0,ROUNDDOWN((X494-Z494)*24*60,0))))</f>
        <v>0</v>
      </c>
      <c r="AE494" s="12">
        <f>IF(VLOOKUP(A494,Data_NV!$A:$I,6,0)="Không",0,IF(Z494&lt;=X494,0,ROUNDDOWN((Z494-X494)*24*60,0)))</f>
        <v>0</v>
      </c>
      <c r="AF494" s="26">
        <f t="shared" si="31"/>
        <v>0</v>
      </c>
      <c r="AG494" s="27" t="str">
        <f>IF(AC494="","",IF(COUNTIFS($AC$3:AC494,"Quên chấm công",$S$3:S494,S494)&gt;3,"Không chấm công do vi phạm quá 3 lần",IF(COUNTIFS($AC$3:AC494,"Quên chấm công",$S$3:S494,S494)&gt;2,"Trừ toàn bộ chuyên cần tháng do vi phạm lần 3",IF(COUNTIFS($AC$3:AC494,"Quên chấm công",$S$3:S494,S494)&gt;1,"Trừ 1/2 ngày lương",50000))))</f>
        <v/>
      </c>
      <c r="AH494" s="12" t="str">
        <f>IF(AF494=0,"",IF(COUNTIFS($AF$3:AF494,"&gt;0",$S$3:S494,S494)&gt;3,"Trừ toàn bộ chuyên cần tháng",""))</f>
        <v/>
      </c>
      <c r="AI494" s="12"/>
    </row>
    <row r="495" spans="1:35" x14ac:dyDescent="0.25">
      <c r="A495" s="4" t="s">
        <v>805</v>
      </c>
      <c r="B495" s="1" t="s">
        <v>806</v>
      </c>
      <c r="C495" s="1" t="s">
        <v>20</v>
      </c>
      <c r="D495" s="1" t="s">
        <v>69</v>
      </c>
      <c r="E495" s="1" t="s">
        <v>22</v>
      </c>
      <c r="F495" s="1" t="s">
        <v>23</v>
      </c>
      <c r="G495" s="1" t="s">
        <v>12</v>
      </c>
      <c r="H495" s="1" t="s">
        <v>247</v>
      </c>
      <c r="I495" s="1" t="s">
        <v>24</v>
      </c>
      <c r="J495" s="1" t="s">
        <v>248</v>
      </c>
      <c r="K495" s="1" t="s">
        <v>25</v>
      </c>
      <c r="L495" s="1" t="s">
        <v>26</v>
      </c>
      <c r="M495" s="1" t="s">
        <v>25</v>
      </c>
      <c r="N495" s="1" t="s">
        <v>25</v>
      </c>
      <c r="O495" s="1" t="s">
        <v>25</v>
      </c>
      <c r="P495" s="1" t="s">
        <v>25</v>
      </c>
      <c r="Q495" s="1" t="s">
        <v>25</v>
      </c>
      <c r="R495" s="85" t="str">
        <f t="shared" si="28"/>
        <v>4545913</v>
      </c>
      <c r="S495" t="str">
        <f>VLOOKUP(A495,Data_NV!$A:$C,3,0)</f>
        <v>Trần Hạo Nhị</v>
      </c>
      <c r="T495" t="str">
        <f>VLOOKUP(A495,Data_NV!$A:$E,4,0)</f>
        <v>Kinh doanh</v>
      </c>
      <c r="U495" s="82">
        <f>DATEVALUE(Table2[[#This Row],[Ngày]])</f>
        <v>45913</v>
      </c>
      <c r="V495" t="str">
        <f>VLOOKUP(A495,Data_NV!$A:$E,5,0)</f>
        <v>Đang làm việc</v>
      </c>
      <c r="W495" s="10">
        <f>VLOOKUP(A495,Data_NV!$A:$I,8,0)</f>
        <v>0.33333333333333331</v>
      </c>
      <c r="X495" s="10">
        <f>VLOOKUP(A495,Data_NV!$A:$I,9,0)</f>
        <v>0.70833333333333337</v>
      </c>
      <c r="Y495" s="10">
        <f>IFERROR(TIMEVALUE(Table2[[#This Row],[Vào]]),0)</f>
        <v>0.33829861111111109</v>
      </c>
      <c r="Z495" s="10">
        <f>IFERROR(TIMEVALUE(Table2[[#This Row],[Ra]]),0)</f>
        <v>0</v>
      </c>
      <c r="AA495" t="str">
        <f t="shared" si="29"/>
        <v>x</v>
      </c>
      <c r="AB495" s="105">
        <f t="shared" si="30"/>
        <v>7.1499999999999986</v>
      </c>
      <c r="AC495" s="12" t="str">
        <f>IF(VLOOKUP(A495,Data_NV!$A:$I,7,0)="Không","",IF(OR(AND(Y495=0,Z495=0),AND(Y495&lt;&gt;0,Z495&lt;&gt;0)),"","Quên chấm công"))</f>
        <v/>
      </c>
      <c r="AD495" s="12">
        <f>IF(VLOOKUP(A495,Data_NV!$A:$I,7,0)="Không",0,IF(AND(Y495=0,Z495=0),0,IF(X495&lt;=Z495,0,ROUNDDOWN((X495-Z495)*24*60,0))))</f>
        <v>0</v>
      </c>
      <c r="AE495" s="12">
        <f>IF(VLOOKUP(A495,Data_NV!$A:$I,6,0)="Không",0,IF(Z495&lt;=X495,0,ROUNDDOWN((Z495-X495)*24*60,0)))</f>
        <v>0</v>
      </c>
      <c r="AF495" s="26">
        <f t="shared" si="31"/>
        <v>30000</v>
      </c>
      <c r="AG495" s="27" t="str">
        <f>IF(AC495="","",IF(COUNTIFS($AC$3:AC495,"Quên chấm công",$S$3:S495,S495)&gt;3,"Không chấm công do vi phạm quá 3 lần",IF(COUNTIFS($AC$3:AC495,"Quên chấm công",$S$3:S495,S495)&gt;2,"Trừ toàn bộ chuyên cần tháng do vi phạm lần 3",IF(COUNTIFS($AC$3:AC495,"Quên chấm công",$S$3:S495,S495)&gt;1,"Trừ 1/2 ngày lương",50000))))</f>
        <v/>
      </c>
      <c r="AH495" s="12" t="str">
        <f>IF(AF495=0,"",IF(COUNTIFS($AF$3:AF495,"&gt;0",$S$3:S495,S495)&gt;3,"Trừ toàn bộ chuyên cần tháng",""))</f>
        <v/>
      </c>
      <c r="AI495" s="12"/>
    </row>
    <row r="496" spans="1:35" x14ac:dyDescent="0.25">
      <c r="A496" s="4" t="s">
        <v>805</v>
      </c>
      <c r="B496" s="1" t="s">
        <v>806</v>
      </c>
      <c r="C496" s="1" t="s">
        <v>20</v>
      </c>
      <c r="D496" s="1" t="s">
        <v>74</v>
      </c>
      <c r="E496" s="1" t="s">
        <v>22</v>
      </c>
      <c r="F496" s="1" t="s">
        <v>23</v>
      </c>
      <c r="G496" s="1" t="s">
        <v>12</v>
      </c>
      <c r="H496" s="1" t="s">
        <v>24</v>
      </c>
      <c r="I496" s="1" t="s">
        <v>24</v>
      </c>
      <c r="J496" s="1" t="s">
        <v>25</v>
      </c>
      <c r="K496" s="1" t="s">
        <v>25</v>
      </c>
      <c r="L496" s="1" t="s">
        <v>26</v>
      </c>
      <c r="M496" s="1" t="s">
        <v>25</v>
      </c>
      <c r="N496" s="1" t="s">
        <v>25</v>
      </c>
      <c r="O496" s="1" t="s">
        <v>25</v>
      </c>
      <c r="P496" s="1" t="s">
        <v>25</v>
      </c>
      <c r="Q496" s="1" t="s">
        <v>25</v>
      </c>
      <c r="R496" s="85" t="str">
        <f t="shared" si="28"/>
        <v>4545914</v>
      </c>
      <c r="S496" t="str">
        <f>VLOOKUP(A496,Data_NV!$A:$C,3,0)</f>
        <v>Trần Hạo Nhị</v>
      </c>
      <c r="T496" t="str">
        <f>VLOOKUP(A496,Data_NV!$A:$E,4,0)</f>
        <v>Kinh doanh</v>
      </c>
      <c r="U496" s="82">
        <f>DATEVALUE(Table2[[#This Row],[Ngày]])</f>
        <v>45914</v>
      </c>
      <c r="V496" t="str">
        <f>VLOOKUP(A496,Data_NV!$A:$E,5,0)</f>
        <v>Đang làm việc</v>
      </c>
      <c r="W496" s="10">
        <f>VLOOKUP(A496,Data_NV!$A:$I,8,0)</f>
        <v>0.33333333333333331</v>
      </c>
      <c r="X496" s="10">
        <f>VLOOKUP(A496,Data_NV!$A:$I,9,0)</f>
        <v>0.70833333333333337</v>
      </c>
      <c r="Y496" s="10">
        <f>IFERROR(TIMEVALUE(Table2[[#This Row],[Vào]]),0)</f>
        <v>0</v>
      </c>
      <c r="Z496" s="10">
        <f>IFERROR(TIMEVALUE(Table2[[#This Row],[Ra]]),0)</f>
        <v>0</v>
      </c>
      <c r="AA496" t="str">
        <f t="shared" si="29"/>
        <v>Chủ nhật</v>
      </c>
      <c r="AB496" s="105">
        <f t="shared" si="30"/>
        <v>0</v>
      </c>
      <c r="AC496" s="12" t="str">
        <f>IF(VLOOKUP(A496,Data_NV!$A:$I,7,0)="Không","",IF(OR(AND(Y496=0,Z496=0),AND(Y496&lt;&gt;0,Z496&lt;&gt;0)),"","Quên chấm công"))</f>
        <v/>
      </c>
      <c r="AD496" s="12">
        <f>IF(VLOOKUP(A496,Data_NV!$A:$I,7,0)="Không",0,IF(AND(Y496=0,Z496=0),0,IF(X496&lt;=Z496,0,ROUNDDOWN((X496-Z496)*24*60,0))))</f>
        <v>0</v>
      </c>
      <c r="AE496" s="12">
        <f>IF(VLOOKUP(A496,Data_NV!$A:$I,6,0)="Không",0,IF(Z496&lt;=X496,0,ROUNDDOWN((Z496-X496)*24*60,0)))</f>
        <v>0</v>
      </c>
      <c r="AF496" s="26">
        <f t="shared" si="31"/>
        <v>0</v>
      </c>
      <c r="AG496" s="27" t="str">
        <f>IF(AC496="","",IF(COUNTIFS($AC$3:AC496,"Quên chấm công",$S$3:S496,S496)&gt;3,"Không chấm công do vi phạm quá 3 lần",IF(COUNTIFS($AC$3:AC496,"Quên chấm công",$S$3:S496,S496)&gt;2,"Trừ toàn bộ chuyên cần tháng do vi phạm lần 3",IF(COUNTIFS($AC$3:AC496,"Quên chấm công",$S$3:S496,S496)&gt;1,"Trừ 1/2 ngày lương",50000))))</f>
        <v/>
      </c>
      <c r="AH496" s="12" t="str">
        <f>IF(AF496=0,"",IF(COUNTIFS($AF$3:AF496,"&gt;0",$S$3:S496,S496)&gt;3,"Trừ toàn bộ chuyên cần tháng",""))</f>
        <v/>
      </c>
      <c r="AI496" s="12"/>
    </row>
    <row r="497" spans="1:35" x14ac:dyDescent="0.25">
      <c r="A497" s="4" t="s">
        <v>805</v>
      </c>
      <c r="B497" s="1" t="s">
        <v>806</v>
      </c>
      <c r="C497" s="1" t="s">
        <v>20</v>
      </c>
      <c r="D497" s="1" t="s">
        <v>75</v>
      </c>
      <c r="E497" s="1" t="s">
        <v>22</v>
      </c>
      <c r="F497" s="1" t="s">
        <v>23</v>
      </c>
      <c r="G497" s="1" t="s">
        <v>12</v>
      </c>
      <c r="H497" s="1" t="s">
        <v>816</v>
      </c>
      <c r="I497" s="1" t="s">
        <v>24</v>
      </c>
      <c r="J497" s="1" t="s">
        <v>25</v>
      </c>
      <c r="K497" s="1" t="s">
        <v>25</v>
      </c>
      <c r="L497" s="1" t="s">
        <v>26</v>
      </c>
      <c r="M497" s="1" t="s">
        <v>25</v>
      </c>
      <c r="N497" s="1" t="s">
        <v>25</v>
      </c>
      <c r="O497" s="1" t="s">
        <v>25</v>
      </c>
      <c r="P497" s="1" t="s">
        <v>25</v>
      </c>
      <c r="Q497" s="1" t="s">
        <v>25</v>
      </c>
      <c r="R497" s="85" t="str">
        <f t="shared" si="28"/>
        <v>4545915</v>
      </c>
      <c r="S497" t="str">
        <f>VLOOKUP(A497,Data_NV!$A:$C,3,0)</f>
        <v>Trần Hạo Nhị</v>
      </c>
      <c r="T497" t="str">
        <f>VLOOKUP(A497,Data_NV!$A:$E,4,0)</f>
        <v>Kinh doanh</v>
      </c>
      <c r="U497" s="82">
        <f>DATEVALUE(Table2[[#This Row],[Ngày]])</f>
        <v>45915</v>
      </c>
      <c r="V497" t="str">
        <f>VLOOKUP(A497,Data_NV!$A:$E,5,0)</f>
        <v>Đang làm việc</v>
      </c>
      <c r="W497" s="10">
        <f>VLOOKUP(A497,Data_NV!$A:$I,8,0)</f>
        <v>0.33333333333333331</v>
      </c>
      <c r="X497" s="10">
        <f>VLOOKUP(A497,Data_NV!$A:$I,9,0)</f>
        <v>0.70833333333333337</v>
      </c>
      <c r="Y497" s="10">
        <f>IFERROR(TIMEVALUE(Table2[[#This Row],[Vào]]),0)</f>
        <v>0.32965277777777779</v>
      </c>
      <c r="Z497" s="10">
        <f>IFERROR(TIMEVALUE(Table2[[#This Row],[Ra]]),0)</f>
        <v>0</v>
      </c>
      <c r="AA497" t="str">
        <f t="shared" si="29"/>
        <v>x</v>
      </c>
      <c r="AB497" s="105">
        <f t="shared" si="30"/>
        <v>0</v>
      </c>
      <c r="AC497" s="12" t="str">
        <f>IF(VLOOKUP(A497,Data_NV!$A:$I,7,0)="Không","",IF(OR(AND(Y497=0,Z497=0),AND(Y497&lt;&gt;0,Z497&lt;&gt;0)),"","Quên chấm công"))</f>
        <v/>
      </c>
      <c r="AD497" s="12">
        <f>IF(VLOOKUP(A497,Data_NV!$A:$I,7,0)="Không",0,IF(AND(Y497=0,Z497=0),0,IF(X497&lt;=Z497,0,ROUNDDOWN((X497-Z497)*24*60,0))))</f>
        <v>0</v>
      </c>
      <c r="AE497" s="12">
        <f>IF(VLOOKUP(A497,Data_NV!$A:$I,6,0)="Không",0,IF(Z497&lt;=X497,0,ROUNDDOWN((Z497-X497)*24*60,0)))</f>
        <v>0</v>
      </c>
      <c r="AF497" s="26">
        <f t="shared" si="31"/>
        <v>0</v>
      </c>
      <c r="AG497" s="27" t="str">
        <f>IF(AC497="","",IF(COUNTIFS($AC$3:AC497,"Quên chấm công",$S$3:S497,S497)&gt;3,"Không chấm công do vi phạm quá 3 lần",IF(COUNTIFS($AC$3:AC497,"Quên chấm công",$S$3:S497,S497)&gt;2,"Trừ toàn bộ chuyên cần tháng do vi phạm lần 3",IF(COUNTIFS($AC$3:AC497,"Quên chấm công",$S$3:S497,S497)&gt;1,"Trừ 1/2 ngày lương",50000))))</f>
        <v/>
      </c>
      <c r="AH497" s="12" t="str">
        <f>IF(AF497=0,"",IF(COUNTIFS($AF$3:AF497,"&gt;0",$S$3:S497,S497)&gt;3,"Trừ toàn bộ chuyên cần tháng",""))</f>
        <v/>
      </c>
      <c r="AI497" s="12"/>
    </row>
    <row r="498" spans="1:35" x14ac:dyDescent="0.25">
      <c r="A498" s="4" t="s">
        <v>805</v>
      </c>
      <c r="B498" s="1" t="s">
        <v>806</v>
      </c>
      <c r="C498" s="1" t="s">
        <v>20</v>
      </c>
      <c r="D498" s="1" t="s">
        <v>80</v>
      </c>
      <c r="E498" s="1" t="s">
        <v>22</v>
      </c>
      <c r="F498" s="1" t="s">
        <v>23</v>
      </c>
      <c r="G498" s="1" t="s">
        <v>12</v>
      </c>
      <c r="H498" s="1" t="s">
        <v>817</v>
      </c>
      <c r="I498" s="1" t="s">
        <v>24</v>
      </c>
      <c r="J498" s="1" t="s">
        <v>25</v>
      </c>
      <c r="K498" s="1" t="s">
        <v>25</v>
      </c>
      <c r="L498" s="1" t="s">
        <v>26</v>
      </c>
      <c r="M498" s="1" t="s">
        <v>25</v>
      </c>
      <c r="N498" s="1" t="s">
        <v>25</v>
      </c>
      <c r="O498" s="1" t="s">
        <v>25</v>
      </c>
      <c r="P498" s="1" t="s">
        <v>25</v>
      </c>
      <c r="Q498" s="1" t="s">
        <v>25</v>
      </c>
      <c r="R498" s="85" t="str">
        <f t="shared" si="28"/>
        <v>4545916</v>
      </c>
      <c r="S498" t="str">
        <f>VLOOKUP(A498,Data_NV!$A:$C,3,0)</f>
        <v>Trần Hạo Nhị</v>
      </c>
      <c r="T498" t="str">
        <f>VLOOKUP(A498,Data_NV!$A:$E,4,0)</f>
        <v>Kinh doanh</v>
      </c>
      <c r="U498" s="82">
        <f>DATEVALUE(Table2[[#This Row],[Ngày]])</f>
        <v>45916</v>
      </c>
      <c r="V498" t="str">
        <f>VLOOKUP(A498,Data_NV!$A:$E,5,0)</f>
        <v>Đang làm việc</v>
      </c>
      <c r="W498" s="10">
        <f>VLOOKUP(A498,Data_NV!$A:$I,8,0)</f>
        <v>0.33333333333333331</v>
      </c>
      <c r="X498" s="10">
        <f>VLOOKUP(A498,Data_NV!$A:$I,9,0)</f>
        <v>0.70833333333333337</v>
      </c>
      <c r="Y498" s="10">
        <f>IFERROR(TIMEVALUE(Table2[[#This Row],[Vào]]),0)</f>
        <v>0.33324074074074073</v>
      </c>
      <c r="Z498" s="10">
        <f>IFERROR(TIMEVALUE(Table2[[#This Row],[Ra]]),0)</f>
        <v>0</v>
      </c>
      <c r="AA498" t="str">
        <f t="shared" si="29"/>
        <v>x</v>
      </c>
      <c r="AB498" s="105">
        <f t="shared" si="30"/>
        <v>0</v>
      </c>
      <c r="AC498" s="12" t="str">
        <f>IF(VLOOKUP(A498,Data_NV!$A:$I,7,0)="Không","",IF(OR(AND(Y498=0,Z498=0),AND(Y498&lt;&gt;0,Z498&lt;&gt;0)),"","Quên chấm công"))</f>
        <v/>
      </c>
      <c r="AD498" s="12">
        <f>IF(VLOOKUP(A498,Data_NV!$A:$I,7,0)="Không",0,IF(AND(Y498=0,Z498=0),0,IF(X498&lt;=Z498,0,ROUNDDOWN((X498-Z498)*24*60,0))))</f>
        <v>0</v>
      </c>
      <c r="AE498" s="12">
        <f>IF(VLOOKUP(A498,Data_NV!$A:$I,6,0)="Không",0,IF(Z498&lt;=X498,0,ROUNDDOWN((Z498-X498)*24*60,0)))</f>
        <v>0</v>
      </c>
      <c r="AF498" s="26">
        <f t="shared" si="31"/>
        <v>0</v>
      </c>
      <c r="AG498" s="27" t="str">
        <f>IF(AC498="","",IF(COUNTIFS($AC$3:AC498,"Quên chấm công",$S$3:S498,S498)&gt;3,"Không chấm công do vi phạm quá 3 lần",IF(COUNTIFS($AC$3:AC498,"Quên chấm công",$S$3:S498,S498)&gt;2,"Trừ toàn bộ chuyên cần tháng do vi phạm lần 3",IF(COUNTIFS($AC$3:AC498,"Quên chấm công",$S$3:S498,S498)&gt;1,"Trừ 1/2 ngày lương",50000))))</f>
        <v/>
      </c>
      <c r="AH498" s="12" t="str">
        <f>IF(AF498=0,"",IF(COUNTIFS($AF$3:AF498,"&gt;0",$S$3:S498,S498)&gt;3,"Trừ toàn bộ chuyên cần tháng",""))</f>
        <v/>
      </c>
      <c r="AI498" s="12"/>
    </row>
    <row r="499" spans="1:35" x14ac:dyDescent="0.25">
      <c r="A499" s="4" t="s">
        <v>805</v>
      </c>
      <c r="B499" s="1" t="s">
        <v>806</v>
      </c>
      <c r="C499" s="1" t="s">
        <v>20</v>
      </c>
      <c r="D499" s="1" t="s">
        <v>85</v>
      </c>
      <c r="E499" s="1" t="s">
        <v>22</v>
      </c>
      <c r="F499" s="1" t="s">
        <v>23</v>
      </c>
      <c r="G499" s="1" t="s">
        <v>12</v>
      </c>
      <c r="H499" s="1" t="s">
        <v>758</v>
      </c>
      <c r="I499" s="1" t="s">
        <v>24</v>
      </c>
      <c r="J499" s="1" t="s">
        <v>25</v>
      </c>
      <c r="K499" s="1" t="s">
        <v>25</v>
      </c>
      <c r="L499" s="1" t="s">
        <v>26</v>
      </c>
      <c r="M499" s="1" t="s">
        <v>25</v>
      </c>
      <c r="N499" s="1" t="s">
        <v>25</v>
      </c>
      <c r="O499" s="1" t="s">
        <v>25</v>
      </c>
      <c r="P499" s="1" t="s">
        <v>25</v>
      </c>
      <c r="Q499" s="1" t="s">
        <v>25</v>
      </c>
      <c r="R499" s="85" t="str">
        <f t="shared" si="28"/>
        <v>4545917</v>
      </c>
      <c r="S499" t="str">
        <f>VLOOKUP(A499,Data_NV!$A:$C,3,0)</f>
        <v>Trần Hạo Nhị</v>
      </c>
      <c r="T499" t="str">
        <f>VLOOKUP(A499,Data_NV!$A:$E,4,0)</f>
        <v>Kinh doanh</v>
      </c>
      <c r="U499" s="82">
        <f>DATEVALUE(Table2[[#This Row],[Ngày]])</f>
        <v>45917</v>
      </c>
      <c r="V499" t="str">
        <f>VLOOKUP(A499,Data_NV!$A:$E,5,0)</f>
        <v>Đang làm việc</v>
      </c>
      <c r="W499" s="10">
        <f>VLOOKUP(A499,Data_NV!$A:$I,8,0)</f>
        <v>0.33333333333333331</v>
      </c>
      <c r="X499" s="10">
        <f>VLOOKUP(A499,Data_NV!$A:$I,9,0)</f>
        <v>0.70833333333333337</v>
      </c>
      <c r="Y499" s="10">
        <f>IFERROR(TIMEVALUE(Table2[[#This Row],[Vào]]),0)</f>
        <v>0.33013888888888887</v>
      </c>
      <c r="Z499" s="10">
        <f>IFERROR(TIMEVALUE(Table2[[#This Row],[Ra]]),0)</f>
        <v>0</v>
      </c>
      <c r="AA499" s="100" t="s">
        <v>1355</v>
      </c>
      <c r="AB499" s="105">
        <f t="shared" si="30"/>
        <v>0</v>
      </c>
      <c r="AC499" s="12" t="str">
        <f>IF(VLOOKUP(A499,Data_NV!$A:$I,7,0)="Không","",IF(OR(AND(Y499=0,Z499=0),AND(Y499&lt;&gt;0,Z499&lt;&gt;0)),"","Quên chấm công"))</f>
        <v/>
      </c>
      <c r="AD499" s="12">
        <f>IF(VLOOKUP(A499,Data_NV!$A:$I,7,0)="Không",0,IF(AND(Y499=0,Z499=0),0,IF(X499&lt;=Z499,0,ROUNDDOWN((X499-Z499)*24*60,0))))</f>
        <v>0</v>
      </c>
      <c r="AE499" s="12">
        <f>IF(VLOOKUP(A499,Data_NV!$A:$I,6,0)="Không",0,IF(Z499&lt;=X499,0,ROUNDDOWN((Z499-X499)*24*60,0)))</f>
        <v>0</v>
      </c>
      <c r="AF499" s="26">
        <f t="shared" si="31"/>
        <v>0</v>
      </c>
      <c r="AG499" s="27" t="str">
        <f>IF(AC499="","",IF(COUNTIFS($AC$3:AC499,"Quên chấm công",$S$3:S499,S499)&gt;3,"Không chấm công do vi phạm quá 3 lần",IF(COUNTIFS($AC$3:AC499,"Quên chấm công",$S$3:S499,S499)&gt;2,"Trừ toàn bộ chuyên cần tháng do vi phạm lần 3",IF(COUNTIFS($AC$3:AC499,"Quên chấm công",$S$3:S499,S499)&gt;1,"Trừ 1/2 ngày lương",50000))))</f>
        <v/>
      </c>
      <c r="AH499" s="12" t="str">
        <f>IF(AF499=0,"",IF(COUNTIFS($AF$3:AF499,"&gt;0",$S$3:S499,S499)&gt;3,"Trừ toàn bộ chuyên cần tháng",""))</f>
        <v/>
      </c>
      <c r="AI499" s="12" t="s">
        <v>1389</v>
      </c>
    </row>
    <row r="500" spans="1:35" x14ac:dyDescent="0.25">
      <c r="A500" s="4" t="s">
        <v>805</v>
      </c>
      <c r="B500" s="1" t="s">
        <v>806</v>
      </c>
      <c r="C500" s="1" t="s">
        <v>20</v>
      </c>
      <c r="D500" s="1" t="s">
        <v>90</v>
      </c>
      <c r="E500" s="1" t="s">
        <v>22</v>
      </c>
      <c r="F500" s="1" t="s">
        <v>23</v>
      </c>
      <c r="G500" s="1" t="s">
        <v>12</v>
      </c>
      <c r="H500" s="1" t="s">
        <v>24</v>
      </c>
      <c r="I500" s="1" t="s">
        <v>24</v>
      </c>
      <c r="J500" s="1" t="s">
        <v>25</v>
      </c>
      <c r="K500" s="1" t="s">
        <v>25</v>
      </c>
      <c r="L500" s="1" t="s">
        <v>26</v>
      </c>
      <c r="M500" s="1" t="s">
        <v>25</v>
      </c>
      <c r="N500" s="1" t="s">
        <v>25</v>
      </c>
      <c r="O500" s="1" t="s">
        <v>25</v>
      </c>
      <c r="P500" s="1" t="s">
        <v>25</v>
      </c>
      <c r="Q500" s="1" t="s">
        <v>25</v>
      </c>
      <c r="R500" s="85" t="str">
        <f t="shared" si="28"/>
        <v>4545918</v>
      </c>
      <c r="S500" t="str">
        <f>VLOOKUP(A500,Data_NV!$A:$C,3,0)</f>
        <v>Trần Hạo Nhị</v>
      </c>
      <c r="T500" t="str">
        <f>VLOOKUP(A500,Data_NV!$A:$E,4,0)</f>
        <v>Kinh doanh</v>
      </c>
      <c r="U500" s="82">
        <f>DATEVALUE(Table2[[#This Row],[Ngày]])</f>
        <v>45918</v>
      </c>
      <c r="V500" t="str">
        <f>VLOOKUP(A500,Data_NV!$A:$E,5,0)</f>
        <v>Đang làm việc</v>
      </c>
      <c r="W500" s="10">
        <f>VLOOKUP(A500,Data_NV!$A:$I,8,0)</f>
        <v>0.33333333333333331</v>
      </c>
      <c r="X500" s="10">
        <f>VLOOKUP(A500,Data_NV!$A:$I,9,0)</f>
        <v>0.70833333333333337</v>
      </c>
      <c r="Y500" s="10">
        <f>IFERROR(TIMEVALUE(Table2[[#This Row],[Vào]]),0)</f>
        <v>0</v>
      </c>
      <c r="Z500" s="10">
        <f>IFERROR(TIMEVALUE(Table2[[#This Row],[Ra]]),0)</f>
        <v>0</v>
      </c>
      <c r="AA500" t="s">
        <v>1347</v>
      </c>
      <c r="AB500" s="105">
        <f t="shared" si="30"/>
        <v>0</v>
      </c>
      <c r="AC500" s="12" t="str">
        <f>IF(VLOOKUP(A500,Data_NV!$A:$I,7,0)="Không","",IF(OR(AND(Y500=0,Z500=0),AND(Y500&lt;&gt;0,Z500&lt;&gt;0)),"","Quên chấm công"))</f>
        <v/>
      </c>
      <c r="AD500" s="12">
        <f>IF(VLOOKUP(A500,Data_NV!$A:$I,7,0)="Không",0,IF(AND(Y500=0,Z500=0),0,IF(X500&lt;=Z500,0,ROUNDDOWN((X500-Z500)*24*60,0))))</f>
        <v>0</v>
      </c>
      <c r="AE500" s="12">
        <f>IF(VLOOKUP(A500,Data_NV!$A:$I,6,0)="Không",0,IF(Z500&lt;=X500,0,ROUNDDOWN((Z500-X500)*24*60,0)))</f>
        <v>0</v>
      </c>
      <c r="AF500" s="26">
        <f t="shared" si="31"/>
        <v>0</v>
      </c>
      <c r="AG500" s="27" t="str">
        <f>IF(AC500="","",IF(COUNTIFS($AC$3:AC500,"Quên chấm công",$S$3:S500,S500)&gt;3,"Không chấm công do vi phạm quá 3 lần",IF(COUNTIFS($AC$3:AC500,"Quên chấm công",$S$3:S500,S500)&gt;2,"Trừ toàn bộ chuyên cần tháng do vi phạm lần 3",IF(COUNTIFS($AC$3:AC500,"Quên chấm công",$S$3:S500,S500)&gt;1,"Trừ 1/2 ngày lương",50000))))</f>
        <v/>
      </c>
      <c r="AH500" s="12" t="str">
        <f>IF(AF500=0,"",IF(COUNTIFS($AF$3:AF500,"&gt;0",$S$3:S500,S500)&gt;3,"Trừ toàn bộ chuyên cần tháng",""))</f>
        <v/>
      </c>
      <c r="AI500" s="12" t="s">
        <v>1376</v>
      </c>
    </row>
    <row r="501" spans="1:35" x14ac:dyDescent="0.25">
      <c r="A501" s="4" t="s">
        <v>805</v>
      </c>
      <c r="B501" s="1" t="s">
        <v>806</v>
      </c>
      <c r="C501" s="1" t="s">
        <v>20</v>
      </c>
      <c r="D501" s="1" t="s">
        <v>95</v>
      </c>
      <c r="E501" s="1" t="s">
        <v>22</v>
      </c>
      <c r="F501" s="1" t="s">
        <v>23</v>
      </c>
      <c r="G501" s="1" t="s">
        <v>12</v>
      </c>
      <c r="H501" s="1" t="s">
        <v>818</v>
      </c>
      <c r="I501" s="1" t="s">
        <v>24</v>
      </c>
      <c r="J501" s="1" t="s">
        <v>25</v>
      </c>
      <c r="K501" s="1" t="s">
        <v>25</v>
      </c>
      <c r="L501" s="1" t="s">
        <v>26</v>
      </c>
      <c r="M501" s="1" t="s">
        <v>25</v>
      </c>
      <c r="N501" s="1" t="s">
        <v>25</v>
      </c>
      <c r="O501" s="1" t="s">
        <v>25</v>
      </c>
      <c r="P501" s="1" t="s">
        <v>25</v>
      </c>
      <c r="Q501" s="1" t="s">
        <v>25</v>
      </c>
      <c r="R501" s="85" t="str">
        <f t="shared" si="28"/>
        <v>4545919</v>
      </c>
      <c r="S501" t="str">
        <f>VLOOKUP(A501,Data_NV!$A:$C,3,0)</f>
        <v>Trần Hạo Nhị</v>
      </c>
      <c r="T501" t="str">
        <f>VLOOKUP(A501,Data_NV!$A:$E,4,0)</f>
        <v>Kinh doanh</v>
      </c>
      <c r="U501" s="82">
        <f>DATEVALUE(Table2[[#This Row],[Ngày]])</f>
        <v>45919</v>
      </c>
      <c r="V501" t="str">
        <f>VLOOKUP(A501,Data_NV!$A:$E,5,0)</f>
        <v>Đang làm việc</v>
      </c>
      <c r="W501" s="10">
        <f>VLOOKUP(A501,Data_NV!$A:$I,8,0)</f>
        <v>0.33333333333333331</v>
      </c>
      <c r="X501" s="10">
        <f>VLOOKUP(A501,Data_NV!$A:$I,9,0)</f>
        <v>0.70833333333333337</v>
      </c>
      <c r="Y501" s="10">
        <f>IFERROR(TIMEVALUE(Table2[[#This Row],[Vào]]),0)</f>
        <v>0.3283449074074074</v>
      </c>
      <c r="Z501" s="10">
        <f>IFERROR(TIMEVALUE(Table2[[#This Row],[Ra]]),0)</f>
        <v>0</v>
      </c>
      <c r="AA501" t="str">
        <f t="shared" si="29"/>
        <v>x</v>
      </c>
      <c r="AB501" s="105">
        <f t="shared" si="30"/>
        <v>0</v>
      </c>
      <c r="AC501" s="12" t="str">
        <f>IF(VLOOKUP(A501,Data_NV!$A:$I,7,0)="Không","",IF(OR(AND(Y501=0,Z501=0),AND(Y501&lt;&gt;0,Z501&lt;&gt;0)),"","Quên chấm công"))</f>
        <v/>
      </c>
      <c r="AD501" s="12">
        <f>IF(VLOOKUP(A501,Data_NV!$A:$I,7,0)="Không",0,IF(AND(Y501=0,Z501=0),0,IF(X501&lt;=Z501,0,ROUNDDOWN((X501-Z501)*24*60,0))))</f>
        <v>0</v>
      </c>
      <c r="AE501" s="12">
        <f>IF(VLOOKUP(A501,Data_NV!$A:$I,6,0)="Không",0,IF(Z501&lt;=X501,0,ROUNDDOWN((Z501-X501)*24*60,0)))</f>
        <v>0</v>
      </c>
      <c r="AF501" s="26">
        <f t="shared" si="31"/>
        <v>0</v>
      </c>
      <c r="AG501" s="27" t="str">
        <f>IF(AC501="","",IF(COUNTIFS($AC$3:AC501,"Quên chấm công",$S$3:S501,S501)&gt;3,"Không chấm công do vi phạm quá 3 lần",IF(COUNTIFS($AC$3:AC501,"Quên chấm công",$S$3:S501,S501)&gt;2,"Trừ toàn bộ chuyên cần tháng do vi phạm lần 3",IF(COUNTIFS($AC$3:AC501,"Quên chấm công",$S$3:S501,S501)&gt;1,"Trừ 1/2 ngày lương",50000))))</f>
        <v/>
      </c>
      <c r="AH501" s="12" t="str">
        <f>IF(AF501=0,"",IF(COUNTIFS($AF$3:AF501,"&gt;0",$S$3:S501,S501)&gt;3,"Trừ toàn bộ chuyên cần tháng",""))</f>
        <v/>
      </c>
      <c r="AI501" s="12"/>
    </row>
    <row r="502" spans="1:35" x14ac:dyDescent="0.25">
      <c r="A502" s="4" t="s">
        <v>805</v>
      </c>
      <c r="B502" s="1" t="s">
        <v>806</v>
      </c>
      <c r="C502" s="1" t="s">
        <v>20</v>
      </c>
      <c r="D502" s="1" t="s">
        <v>100</v>
      </c>
      <c r="E502" s="1" t="s">
        <v>22</v>
      </c>
      <c r="F502" s="1" t="s">
        <v>23</v>
      </c>
      <c r="G502" s="1" t="s">
        <v>12</v>
      </c>
      <c r="H502" s="1" t="s">
        <v>819</v>
      </c>
      <c r="I502" s="1" t="s">
        <v>24</v>
      </c>
      <c r="J502" s="1" t="s">
        <v>25</v>
      </c>
      <c r="K502" s="1" t="s">
        <v>25</v>
      </c>
      <c r="L502" s="1" t="s">
        <v>26</v>
      </c>
      <c r="M502" s="1" t="s">
        <v>25</v>
      </c>
      <c r="N502" s="1" t="s">
        <v>25</v>
      </c>
      <c r="O502" s="1" t="s">
        <v>25</v>
      </c>
      <c r="P502" s="1" t="s">
        <v>25</v>
      </c>
      <c r="Q502" s="1" t="s">
        <v>25</v>
      </c>
      <c r="R502" s="85" t="str">
        <f t="shared" si="28"/>
        <v>4545920</v>
      </c>
      <c r="S502" t="str">
        <f>VLOOKUP(A502,Data_NV!$A:$C,3,0)</f>
        <v>Trần Hạo Nhị</v>
      </c>
      <c r="T502" t="str">
        <f>VLOOKUP(A502,Data_NV!$A:$E,4,0)</f>
        <v>Kinh doanh</v>
      </c>
      <c r="U502" s="82">
        <f>DATEVALUE(Table2[[#This Row],[Ngày]])</f>
        <v>45920</v>
      </c>
      <c r="V502" t="str">
        <f>VLOOKUP(A502,Data_NV!$A:$E,5,0)</f>
        <v>Đang làm việc</v>
      </c>
      <c r="W502" s="10">
        <f>VLOOKUP(A502,Data_NV!$A:$I,8,0)</f>
        <v>0.33333333333333331</v>
      </c>
      <c r="X502" s="10">
        <f>VLOOKUP(A502,Data_NV!$A:$I,9,0)</f>
        <v>0.70833333333333337</v>
      </c>
      <c r="Y502" s="10">
        <f>IFERROR(TIMEVALUE(Table2[[#This Row],[Vào]]),0)</f>
        <v>0.31159722222222225</v>
      </c>
      <c r="Z502" s="10">
        <f>IFERROR(TIMEVALUE(Table2[[#This Row],[Ra]]),0)</f>
        <v>0</v>
      </c>
      <c r="AA502" t="str">
        <f t="shared" si="29"/>
        <v>x</v>
      </c>
      <c r="AB502" s="105">
        <f t="shared" si="30"/>
        <v>0</v>
      </c>
      <c r="AC502" s="12" t="str">
        <f>IF(VLOOKUP(A502,Data_NV!$A:$I,7,0)="Không","",IF(OR(AND(Y502=0,Z502=0),AND(Y502&lt;&gt;0,Z502&lt;&gt;0)),"","Quên chấm công"))</f>
        <v/>
      </c>
      <c r="AD502" s="12">
        <f>IF(VLOOKUP(A502,Data_NV!$A:$I,7,0)="Không",0,IF(AND(Y502=0,Z502=0),0,IF(X502&lt;=Z502,0,ROUNDDOWN((X502-Z502)*24*60,0))))</f>
        <v>0</v>
      </c>
      <c r="AE502" s="12">
        <f>IF(VLOOKUP(A502,Data_NV!$A:$I,6,0)="Không",0,IF(Z502&lt;=X502,0,ROUNDDOWN((Z502-X502)*24*60,0)))</f>
        <v>0</v>
      </c>
      <c r="AF502" s="26">
        <f t="shared" si="31"/>
        <v>0</v>
      </c>
      <c r="AG502" s="27" t="str">
        <f>IF(AC502="","",IF(COUNTIFS($AC$3:AC502,"Quên chấm công",$S$3:S502,S502)&gt;3,"Không chấm công do vi phạm quá 3 lần",IF(COUNTIFS($AC$3:AC502,"Quên chấm công",$S$3:S502,S502)&gt;2,"Trừ toàn bộ chuyên cần tháng do vi phạm lần 3",IF(COUNTIFS($AC$3:AC502,"Quên chấm công",$S$3:S502,S502)&gt;1,"Trừ 1/2 ngày lương",50000))))</f>
        <v/>
      </c>
      <c r="AH502" s="12" t="str">
        <f>IF(AF502=0,"",IF(COUNTIFS($AF$3:AF502,"&gt;0",$S$3:S502,S502)&gt;3,"Trừ toàn bộ chuyên cần tháng",""))</f>
        <v/>
      </c>
      <c r="AI502" s="12"/>
    </row>
    <row r="503" spans="1:35" x14ac:dyDescent="0.25">
      <c r="A503" s="4" t="s">
        <v>805</v>
      </c>
      <c r="B503" s="1" t="s">
        <v>806</v>
      </c>
      <c r="C503" s="1" t="s">
        <v>20</v>
      </c>
      <c r="D503" s="1" t="s">
        <v>105</v>
      </c>
      <c r="E503" s="1" t="s">
        <v>22</v>
      </c>
      <c r="F503" s="1" t="s">
        <v>23</v>
      </c>
      <c r="G503" s="1" t="s">
        <v>12</v>
      </c>
      <c r="H503" s="1" t="s">
        <v>24</v>
      </c>
      <c r="I503" s="1" t="s">
        <v>24</v>
      </c>
      <c r="J503" s="1" t="s">
        <v>25</v>
      </c>
      <c r="K503" s="1" t="s">
        <v>25</v>
      </c>
      <c r="L503" s="1" t="s">
        <v>26</v>
      </c>
      <c r="M503" s="1" t="s">
        <v>25</v>
      </c>
      <c r="N503" s="1" t="s">
        <v>25</v>
      </c>
      <c r="O503" s="1" t="s">
        <v>25</v>
      </c>
      <c r="P503" s="1" t="s">
        <v>25</v>
      </c>
      <c r="Q503" s="1" t="s">
        <v>25</v>
      </c>
      <c r="R503" s="85" t="str">
        <f t="shared" si="28"/>
        <v>4545921</v>
      </c>
      <c r="S503" t="str">
        <f>VLOOKUP(A503,Data_NV!$A:$C,3,0)</f>
        <v>Trần Hạo Nhị</v>
      </c>
      <c r="T503" t="str">
        <f>VLOOKUP(A503,Data_NV!$A:$E,4,0)</f>
        <v>Kinh doanh</v>
      </c>
      <c r="U503" s="82">
        <f>DATEVALUE(Table2[[#This Row],[Ngày]])</f>
        <v>45921</v>
      </c>
      <c r="V503" t="str">
        <f>VLOOKUP(A503,Data_NV!$A:$E,5,0)</f>
        <v>Đang làm việc</v>
      </c>
      <c r="W503" s="10">
        <f>VLOOKUP(A503,Data_NV!$A:$I,8,0)</f>
        <v>0.33333333333333331</v>
      </c>
      <c r="X503" s="10">
        <f>VLOOKUP(A503,Data_NV!$A:$I,9,0)</f>
        <v>0.70833333333333337</v>
      </c>
      <c r="Y503" s="10">
        <f>IFERROR(TIMEVALUE(Table2[[#This Row],[Vào]]),0)</f>
        <v>0</v>
      </c>
      <c r="Z503" s="10">
        <f>IFERROR(TIMEVALUE(Table2[[#This Row],[Ra]]),0)</f>
        <v>0</v>
      </c>
      <c r="AA503" t="str">
        <f t="shared" si="29"/>
        <v>Chủ nhật</v>
      </c>
      <c r="AB503" s="105">
        <f t="shared" si="30"/>
        <v>0</v>
      </c>
      <c r="AC503" s="12" t="str">
        <f>IF(VLOOKUP(A503,Data_NV!$A:$I,7,0)="Không","",IF(OR(AND(Y503=0,Z503=0),AND(Y503&lt;&gt;0,Z503&lt;&gt;0)),"","Quên chấm công"))</f>
        <v/>
      </c>
      <c r="AD503" s="12">
        <f>IF(VLOOKUP(A503,Data_NV!$A:$I,7,0)="Không",0,IF(AND(Y503=0,Z503=0),0,IF(X503&lt;=Z503,0,ROUNDDOWN((X503-Z503)*24*60,0))))</f>
        <v>0</v>
      </c>
      <c r="AE503" s="12">
        <f>IF(VLOOKUP(A503,Data_NV!$A:$I,6,0)="Không",0,IF(Z503&lt;=X503,0,ROUNDDOWN((Z503-X503)*24*60,0)))</f>
        <v>0</v>
      </c>
      <c r="AF503" s="26">
        <f t="shared" si="31"/>
        <v>0</v>
      </c>
      <c r="AG503" s="27" t="str">
        <f>IF(AC503="","",IF(COUNTIFS($AC$3:AC503,"Quên chấm công",$S$3:S503,S503)&gt;3,"Không chấm công do vi phạm quá 3 lần",IF(COUNTIFS($AC$3:AC503,"Quên chấm công",$S$3:S503,S503)&gt;2,"Trừ toàn bộ chuyên cần tháng do vi phạm lần 3",IF(COUNTIFS($AC$3:AC503,"Quên chấm công",$S$3:S503,S503)&gt;1,"Trừ 1/2 ngày lương",50000))))</f>
        <v/>
      </c>
      <c r="AH503" s="12" t="str">
        <f>IF(AF503=0,"",IF(COUNTIFS($AF$3:AF503,"&gt;0",$S$3:S503,S503)&gt;3,"Trừ toàn bộ chuyên cần tháng",""))</f>
        <v/>
      </c>
      <c r="AI503" s="12"/>
    </row>
    <row r="504" spans="1:35" x14ac:dyDescent="0.25">
      <c r="A504" s="4" t="s">
        <v>805</v>
      </c>
      <c r="B504" s="1" t="s">
        <v>806</v>
      </c>
      <c r="C504" s="1" t="s">
        <v>20</v>
      </c>
      <c r="D504" s="1" t="s">
        <v>106</v>
      </c>
      <c r="E504" s="1" t="s">
        <v>22</v>
      </c>
      <c r="F504" s="1" t="s">
        <v>23</v>
      </c>
      <c r="G504" s="1" t="s">
        <v>12</v>
      </c>
      <c r="H504" s="1" t="s">
        <v>820</v>
      </c>
      <c r="I504" s="1" t="s">
        <v>24</v>
      </c>
      <c r="J504" s="1" t="s">
        <v>691</v>
      </c>
      <c r="K504" s="1" t="s">
        <v>25</v>
      </c>
      <c r="L504" s="1" t="s">
        <v>26</v>
      </c>
      <c r="M504" s="1" t="s">
        <v>25</v>
      </c>
      <c r="N504" s="1" t="s">
        <v>25</v>
      </c>
      <c r="O504" s="1" t="s">
        <v>25</v>
      </c>
      <c r="P504" s="1" t="s">
        <v>25</v>
      </c>
      <c r="Q504" s="1" t="s">
        <v>25</v>
      </c>
      <c r="R504" s="85" t="str">
        <f t="shared" si="28"/>
        <v>4545922</v>
      </c>
      <c r="S504" t="str">
        <f>VLOOKUP(A504,Data_NV!$A:$C,3,0)</f>
        <v>Trần Hạo Nhị</v>
      </c>
      <c r="T504" t="str">
        <f>VLOOKUP(A504,Data_NV!$A:$E,4,0)</f>
        <v>Kinh doanh</v>
      </c>
      <c r="U504" s="82">
        <f>DATEVALUE(Table2[[#This Row],[Ngày]])</f>
        <v>45922</v>
      </c>
      <c r="V504" t="str">
        <f>VLOOKUP(A504,Data_NV!$A:$E,5,0)</f>
        <v>Đang làm việc</v>
      </c>
      <c r="W504" s="10">
        <f>VLOOKUP(A504,Data_NV!$A:$I,8,0)</f>
        <v>0.33333333333333331</v>
      </c>
      <c r="X504" s="10">
        <f>VLOOKUP(A504,Data_NV!$A:$I,9,0)</f>
        <v>0.70833333333333337</v>
      </c>
      <c r="Y504" s="10">
        <f>IFERROR(TIMEVALUE(Table2[[#This Row],[Vào]]),0)</f>
        <v>0.33556712962962965</v>
      </c>
      <c r="Z504" s="10">
        <f>IFERROR(TIMEVALUE(Table2[[#This Row],[Ra]]),0)</f>
        <v>0</v>
      </c>
      <c r="AA504" t="str">
        <f t="shared" si="29"/>
        <v>x</v>
      </c>
      <c r="AB504" s="105">
        <f t="shared" si="30"/>
        <v>3.2166666666667165</v>
      </c>
      <c r="AC504" s="12" t="str">
        <f>IF(VLOOKUP(A504,Data_NV!$A:$I,7,0)="Không","",IF(OR(AND(Y504=0,Z504=0),AND(Y504&lt;&gt;0,Z504&lt;&gt;0)),"","Quên chấm công"))</f>
        <v/>
      </c>
      <c r="AD504" s="12">
        <f>IF(VLOOKUP(A504,Data_NV!$A:$I,7,0)="Không",0,IF(AND(Y504=0,Z504=0),0,IF(X504&lt;=Z504,0,ROUNDDOWN((X504-Z504)*24*60,0))))</f>
        <v>0</v>
      </c>
      <c r="AE504" s="12">
        <f>IF(VLOOKUP(A504,Data_NV!$A:$I,6,0)="Không",0,IF(Z504&lt;=X504,0,ROUNDDOWN((Z504-X504)*24*60,0)))</f>
        <v>0</v>
      </c>
      <c r="AF504" s="26">
        <f t="shared" si="31"/>
        <v>0</v>
      </c>
      <c r="AG504" s="27" t="str">
        <f>IF(AC504="","",IF(COUNTIFS($AC$3:AC504,"Quên chấm công",$S$3:S504,S504)&gt;3,"Không chấm công do vi phạm quá 3 lần",IF(COUNTIFS($AC$3:AC504,"Quên chấm công",$S$3:S504,S504)&gt;2,"Trừ toàn bộ chuyên cần tháng do vi phạm lần 3",IF(COUNTIFS($AC$3:AC504,"Quên chấm công",$S$3:S504,S504)&gt;1,"Trừ 1/2 ngày lương",50000))))</f>
        <v/>
      </c>
      <c r="AH504" s="12" t="str">
        <f>IF(AF504=0,"",IF(COUNTIFS($AF$3:AF504,"&gt;0",$S$3:S504,S504)&gt;3,"Trừ toàn bộ chuyên cần tháng",""))</f>
        <v/>
      </c>
      <c r="AI504" s="12"/>
    </row>
    <row r="505" spans="1:35" x14ac:dyDescent="0.25">
      <c r="A505" s="4" t="s">
        <v>805</v>
      </c>
      <c r="B505" s="1" t="s">
        <v>806</v>
      </c>
      <c r="C505" s="1" t="s">
        <v>20</v>
      </c>
      <c r="D505" s="1" t="s">
        <v>111</v>
      </c>
      <c r="E505" s="1" t="s">
        <v>22</v>
      </c>
      <c r="F505" s="1" t="s">
        <v>23</v>
      </c>
      <c r="G505" s="1" t="s">
        <v>12</v>
      </c>
      <c r="H505" s="1" t="s">
        <v>821</v>
      </c>
      <c r="I505" s="1" t="s">
        <v>24</v>
      </c>
      <c r="J505" s="1" t="s">
        <v>25</v>
      </c>
      <c r="K505" s="1" t="s">
        <v>25</v>
      </c>
      <c r="L505" s="1" t="s">
        <v>26</v>
      </c>
      <c r="M505" s="1" t="s">
        <v>25</v>
      </c>
      <c r="N505" s="1" t="s">
        <v>25</v>
      </c>
      <c r="O505" s="1" t="s">
        <v>25</v>
      </c>
      <c r="P505" s="1" t="s">
        <v>25</v>
      </c>
      <c r="Q505" s="1" t="s">
        <v>25</v>
      </c>
      <c r="R505" s="85" t="str">
        <f t="shared" si="28"/>
        <v>4545923</v>
      </c>
      <c r="S505" t="str">
        <f>VLOOKUP(A505,Data_NV!$A:$C,3,0)</f>
        <v>Trần Hạo Nhị</v>
      </c>
      <c r="T505" t="str">
        <f>VLOOKUP(A505,Data_NV!$A:$E,4,0)</f>
        <v>Kinh doanh</v>
      </c>
      <c r="U505" s="82">
        <f>DATEVALUE(Table2[[#This Row],[Ngày]])</f>
        <v>45923</v>
      </c>
      <c r="V505" t="str">
        <f>VLOOKUP(A505,Data_NV!$A:$E,5,0)</f>
        <v>Đang làm việc</v>
      </c>
      <c r="W505" s="10">
        <f>VLOOKUP(A505,Data_NV!$A:$I,8,0)</f>
        <v>0.33333333333333331</v>
      </c>
      <c r="X505" s="10">
        <f>VLOOKUP(A505,Data_NV!$A:$I,9,0)</f>
        <v>0.70833333333333337</v>
      </c>
      <c r="Y505" s="10">
        <f>IFERROR(TIMEVALUE(Table2[[#This Row],[Vào]]),0)</f>
        <v>0.33150462962962962</v>
      </c>
      <c r="Z505" s="10">
        <f>IFERROR(TIMEVALUE(Table2[[#This Row],[Ra]]),0)</f>
        <v>0</v>
      </c>
      <c r="AA505" t="str">
        <f t="shared" si="29"/>
        <v>x</v>
      </c>
      <c r="AB505" s="105">
        <f t="shared" si="30"/>
        <v>0</v>
      </c>
      <c r="AC505" s="12" t="str">
        <f>IF(VLOOKUP(A505,Data_NV!$A:$I,7,0)="Không","",IF(OR(AND(Y505=0,Z505=0),AND(Y505&lt;&gt;0,Z505&lt;&gt;0)),"","Quên chấm công"))</f>
        <v/>
      </c>
      <c r="AD505" s="12">
        <f>IF(VLOOKUP(A505,Data_NV!$A:$I,7,0)="Không",0,IF(AND(Y505=0,Z505=0),0,IF(X505&lt;=Z505,0,ROUNDDOWN((X505-Z505)*24*60,0))))</f>
        <v>0</v>
      </c>
      <c r="AE505" s="12">
        <f>IF(VLOOKUP(A505,Data_NV!$A:$I,6,0)="Không",0,IF(Z505&lt;=X505,0,ROUNDDOWN((Z505-X505)*24*60,0)))</f>
        <v>0</v>
      </c>
      <c r="AF505" s="26">
        <f t="shared" si="31"/>
        <v>0</v>
      </c>
      <c r="AG505" s="27" t="str">
        <f>IF(AC505="","",IF(COUNTIFS($AC$3:AC505,"Quên chấm công",$S$3:S505,S505)&gt;3,"Không chấm công do vi phạm quá 3 lần",IF(COUNTIFS($AC$3:AC505,"Quên chấm công",$S$3:S505,S505)&gt;2,"Trừ toàn bộ chuyên cần tháng do vi phạm lần 3",IF(COUNTIFS($AC$3:AC505,"Quên chấm công",$S$3:S505,S505)&gt;1,"Trừ 1/2 ngày lương",50000))))</f>
        <v/>
      </c>
      <c r="AH505" s="12" t="str">
        <f>IF(AF505=0,"",IF(COUNTIFS($AF$3:AF505,"&gt;0",$S$3:S505,S505)&gt;3,"Trừ toàn bộ chuyên cần tháng",""))</f>
        <v/>
      </c>
      <c r="AI505" s="12"/>
    </row>
    <row r="506" spans="1:35" x14ac:dyDescent="0.25">
      <c r="A506" s="4" t="s">
        <v>805</v>
      </c>
      <c r="B506" s="1" t="s">
        <v>806</v>
      </c>
      <c r="C506" s="1" t="s">
        <v>20</v>
      </c>
      <c r="D506" s="1" t="s">
        <v>116</v>
      </c>
      <c r="E506" s="1" t="s">
        <v>22</v>
      </c>
      <c r="F506" s="1" t="s">
        <v>23</v>
      </c>
      <c r="G506" s="1" t="s">
        <v>12</v>
      </c>
      <c r="H506" s="1" t="s">
        <v>822</v>
      </c>
      <c r="I506" s="1" t="s">
        <v>24</v>
      </c>
      <c r="J506" s="1" t="s">
        <v>25</v>
      </c>
      <c r="K506" s="1" t="s">
        <v>25</v>
      </c>
      <c r="L506" s="1" t="s">
        <v>26</v>
      </c>
      <c r="M506" s="1" t="s">
        <v>25</v>
      </c>
      <c r="N506" s="1" t="s">
        <v>25</v>
      </c>
      <c r="O506" s="1" t="s">
        <v>25</v>
      </c>
      <c r="P506" s="1" t="s">
        <v>25</v>
      </c>
      <c r="Q506" s="1" t="s">
        <v>25</v>
      </c>
      <c r="R506" s="85" t="str">
        <f t="shared" si="28"/>
        <v>4545924</v>
      </c>
      <c r="S506" t="str">
        <f>VLOOKUP(A506,Data_NV!$A:$C,3,0)</f>
        <v>Trần Hạo Nhị</v>
      </c>
      <c r="T506" t="str">
        <f>VLOOKUP(A506,Data_NV!$A:$E,4,0)</f>
        <v>Kinh doanh</v>
      </c>
      <c r="U506" s="82">
        <f>DATEVALUE(Table2[[#This Row],[Ngày]])</f>
        <v>45924</v>
      </c>
      <c r="V506" t="str">
        <f>VLOOKUP(A506,Data_NV!$A:$E,5,0)</f>
        <v>Đang làm việc</v>
      </c>
      <c r="W506" s="10">
        <f>VLOOKUP(A506,Data_NV!$A:$I,8,0)</f>
        <v>0.33333333333333331</v>
      </c>
      <c r="X506" s="10">
        <f>VLOOKUP(A506,Data_NV!$A:$I,9,0)</f>
        <v>0.70833333333333337</v>
      </c>
      <c r="Y506" s="10">
        <f>IFERROR(TIMEVALUE(Table2[[#This Row],[Vào]]),0)</f>
        <v>0.3319097222222222</v>
      </c>
      <c r="Z506" s="10">
        <f>IFERROR(TIMEVALUE(Table2[[#This Row],[Ra]]),0)</f>
        <v>0</v>
      </c>
      <c r="AA506" t="str">
        <f t="shared" si="29"/>
        <v>x</v>
      </c>
      <c r="AB506" s="105">
        <f t="shared" si="30"/>
        <v>0</v>
      </c>
      <c r="AC506" s="12" t="str">
        <f>IF(VLOOKUP(A506,Data_NV!$A:$I,7,0)="Không","",IF(OR(AND(Y506=0,Z506=0),AND(Y506&lt;&gt;0,Z506&lt;&gt;0)),"","Quên chấm công"))</f>
        <v/>
      </c>
      <c r="AD506" s="12">
        <f>IF(VLOOKUP(A506,Data_NV!$A:$I,7,0)="Không",0,IF(AND(Y506=0,Z506=0),0,IF(X506&lt;=Z506,0,ROUNDDOWN((X506-Z506)*24*60,0))))</f>
        <v>0</v>
      </c>
      <c r="AE506" s="12">
        <f>IF(VLOOKUP(A506,Data_NV!$A:$I,6,0)="Không",0,IF(Z506&lt;=X506,0,ROUNDDOWN((Z506-X506)*24*60,0)))</f>
        <v>0</v>
      </c>
      <c r="AF506" s="26">
        <f t="shared" si="31"/>
        <v>0</v>
      </c>
      <c r="AG506" s="27" t="str">
        <f>IF(AC506="","",IF(COUNTIFS($AC$3:AC506,"Quên chấm công",$S$3:S506,S506)&gt;3,"Không chấm công do vi phạm quá 3 lần",IF(COUNTIFS($AC$3:AC506,"Quên chấm công",$S$3:S506,S506)&gt;2,"Trừ toàn bộ chuyên cần tháng do vi phạm lần 3",IF(COUNTIFS($AC$3:AC506,"Quên chấm công",$S$3:S506,S506)&gt;1,"Trừ 1/2 ngày lương",50000))))</f>
        <v/>
      </c>
      <c r="AH506" s="12" t="str">
        <f>IF(AF506=0,"",IF(COUNTIFS($AF$3:AF506,"&gt;0",$S$3:S506,S506)&gt;3,"Trừ toàn bộ chuyên cần tháng",""))</f>
        <v/>
      </c>
      <c r="AI506" s="12"/>
    </row>
    <row r="507" spans="1:35" x14ac:dyDescent="0.25">
      <c r="A507" s="4" t="s">
        <v>805</v>
      </c>
      <c r="B507" s="1" t="s">
        <v>806</v>
      </c>
      <c r="C507" s="1" t="s">
        <v>20</v>
      </c>
      <c r="D507" s="1" t="s">
        <v>121</v>
      </c>
      <c r="E507" s="1" t="s">
        <v>22</v>
      </c>
      <c r="F507" s="1" t="s">
        <v>23</v>
      </c>
      <c r="G507" s="1" t="s">
        <v>12</v>
      </c>
      <c r="H507" s="1" t="s">
        <v>823</v>
      </c>
      <c r="I507" s="1" t="s">
        <v>24</v>
      </c>
      <c r="J507" s="1" t="s">
        <v>691</v>
      </c>
      <c r="K507" s="1" t="s">
        <v>25</v>
      </c>
      <c r="L507" s="1" t="s">
        <v>26</v>
      </c>
      <c r="M507" s="1" t="s">
        <v>25</v>
      </c>
      <c r="N507" s="1" t="s">
        <v>25</v>
      </c>
      <c r="O507" s="1" t="s">
        <v>25</v>
      </c>
      <c r="P507" s="1" t="s">
        <v>25</v>
      </c>
      <c r="Q507" s="1" t="s">
        <v>25</v>
      </c>
      <c r="R507" s="85" t="str">
        <f t="shared" si="28"/>
        <v>4545925</v>
      </c>
      <c r="S507" t="str">
        <f>VLOOKUP(A507,Data_NV!$A:$C,3,0)</f>
        <v>Trần Hạo Nhị</v>
      </c>
      <c r="T507" t="str">
        <f>VLOOKUP(A507,Data_NV!$A:$E,4,0)</f>
        <v>Kinh doanh</v>
      </c>
      <c r="U507" s="82">
        <f>DATEVALUE(Table2[[#This Row],[Ngày]])</f>
        <v>45925</v>
      </c>
      <c r="V507" t="str">
        <f>VLOOKUP(A507,Data_NV!$A:$E,5,0)</f>
        <v>Đang làm việc</v>
      </c>
      <c r="W507" s="10">
        <f>VLOOKUP(A507,Data_NV!$A:$I,8,0)</f>
        <v>0.33333333333333331</v>
      </c>
      <c r="X507" s="10">
        <f>VLOOKUP(A507,Data_NV!$A:$I,9,0)</f>
        <v>0.70833333333333337</v>
      </c>
      <c r="Y507" s="10">
        <f>IFERROR(TIMEVALUE(Table2[[#This Row],[Vào]]),0)</f>
        <v>0.33512731481481484</v>
      </c>
      <c r="Z507" s="10">
        <f>IFERROR(TIMEVALUE(Table2[[#This Row],[Ra]]),0)</f>
        <v>0</v>
      </c>
      <c r="AA507" t="str">
        <f t="shared" si="29"/>
        <v>x</v>
      </c>
      <c r="AB507" s="105">
        <f t="shared" si="30"/>
        <v>2.5833333333333908</v>
      </c>
      <c r="AC507" s="12" t="str">
        <f>IF(VLOOKUP(A507,Data_NV!$A:$I,7,0)="Không","",IF(OR(AND(Y507=0,Z507=0),AND(Y507&lt;&gt;0,Z507&lt;&gt;0)),"","Quên chấm công"))</f>
        <v/>
      </c>
      <c r="AD507" s="12">
        <f>IF(VLOOKUP(A507,Data_NV!$A:$I,7,0)="Không",0,IF(AND(Y507=0,Z507=0),0,IF(X507&lt;=Z507,0,ROUNDDOWN((X507-Z507)*24*60,0))))</f>
        <v>0</v>
      </c>
      <c r="AE507" s="12">
        <f>IF(VLOOKUP(A507,Data_NV!$A:$I,6,0)="Không",0,IF(Z507&lt;=X507,0,ROUNDDOWN((Z507-X507)*24*60,0)))</f>
        <v>0</v>
      </c>
      <c r="AF507" s="26">
        <f t="shared" si="31"/>
        <v>0</v>
      </c>
      <c r="AG507" s="27" t="str">
        <f>IF(AC507="","",IF(COUNTIFS($AC$3:AC507,"Quên chấm công",$S$3:S507,S507)&gt;3,"Không chấm công do vi phạm quá 3 lần",IF(COUNTIFS($AC$3:AC507,"Quên chấm công",$S$3:S507,S507)&gt;2,"Trừ toàn bộ chuyên cần tháng do vi phạm lần 3",IF(COUNTIFS($AC$3:AC507,"Quên chấm công",$S$3:S507,S507)&gt;1,"Trừ 1/2 ngày lương",50000))))</f>
        <v/>
      </c>
      <c r="AH507" s="12" t="str">
        <f>IF(AF507=0,"",IF(COUNTIFS($AF$3:AF507,"&gt;0",$S$3:S507,S507)&gt;3,"Trừ toàn bộ chuyên cần tháng",""))</f>
        <v/>
      </c>
      <c r="AI507" s="12"/>
    </row>
    <row r="508" spans="1:35" x14ac:dyDescent="0.25">
      <c r="A508" s="4" t="s">
        <v>805</v>
      </c>
      <c r="B508" s="1" t="s">
        <v>806</v>
      </c>
      <c r="C508" s="1" t="s">
        <v>20</v>
      </c>
      <c r="D508" s="1" t="s">
        <v>123</v>
      </c>
      <c r="E508" s="1" t="s">
        <v>22</v>
      </c>
      <c r="F508" s="1" t="s">
        <v>23</v>
      </c>
      <c r="G508" s="1" t="s">
        <v>12</v>
      </c>
      <c r="H508" s="1" t="s">
        <v>824</v>
      </c>
      <c r="I508" s="1" t="s">
        <v>24</v>
      </c>
      <c r="J508" s="1" t="s">
        <v>682</v>
      </c>
      <c r="K508" s="1" t="s">
        <v>25</v>
      </c>
      <c r="L508" s="1" t="s">
        <v>26</v>
      </c>
      <c r="M508" s="1" t="s">
        <v>25</v>
      </c>
      <c r="N508" s="1" t="s">
        <v>25</v>
      </c>
      <c r="O508" s="1" t="s">
        <v>25</v>
      </c>
      <c r="P508" s="1" t="s">
        <v>25</v>
      </c>
      <c r="Q508" s="1" t="s">
        <v>25</v>
      </c>
      <c r="R508" s="85" t="str">
        <f t="shared" si="28"/>
        <v>4545926</v>
      </c>
      <c r="S508" t="str">
        <f>VLOOKUP(A508,Data_NV!$A:$C,3,0)</f>
        <v>Trần Hạo Nhị</v>
      </c>
      <c r="T508" t="str">
        <f>VLOOKUP(A508,Data_NV!$A:$E,4,0)</f>
        <v>Kinh doanh</v>
      </c>
      <c r="U508" s="82">
        <f>DATEVALUE(Table2[[#This Row],[Ngày]])</f>
        <v>45926</v>
      </c>
      <c r="V508" t="str">
        <f>VLOOKUP(A508,Data_NV!$A:$E,5,0)</f>
        <v>Đang làm việc</v>
      </c>
      <c r="W508" s="10">
        <f>VLOOKUP(A508,Data_NV!$A:$I,8,0)</f>
        <v>0.33333333333333331</v>
      </c>
      <c r="X508" s="10">
        <f>VLOOKUP(A508,Data_NV!$A:$I,9,0)</f>
        <v>0.70833333333333337</v>
      </c>
      <c r="Y508" s="10">
        <f>IFERROR(TIMEVALUE(Table2[[#This Row],[Vào]]),0)</f>
        <v>0.33688657407407407</v>
      </c>
      <c r="Z508" s="10">
        <f>IFERROR(TIMEVALUE(Table2[[#This Row],[Ra]]),0)</f>
        <v>0</v>
      </c>
      <c r="AA508" t="str">
        <f t="shared" si="29"/>
        <v>x</v>
      </c>
      <c r="AB508" s="105">
        <f t="shared" si="30"/>
        <v>5.1166666666666938</v>
      </c>
      <c r="AC508" s="12" t="str">
        <f>IF(VLOOKUP(A508,Data_NV!$A:$I,7,0)="Không","",IF(OR(AND(Y508=0,Z508=0),AND(Y508&lt;&gt;0,Z508&lt;&gt;0)),"","Quên chấm công"))</f>
        <v/>
      </c>
      <c r="AD508" s="12">
        <f>IF(VLOOKUP(A508,Data_NV!$A:$I,7,0)="Không",0,IF(AND(Y508=0,Z508=0),0,IF(X508&lt;=Z508,0,ROUNDDOWN((X508-Z508)*24*60,0))))</f>
        <v>0</v>
      </c>
      <c r="AE508" s="12">
        <f>IF(VLOOKUP(A508,Data_NV!$A:$I,6,0)="Không",0,IF(Z508&lt;=X508,0,ROUNDDOWN((Z508-X508)*24*60,0)))</f>
        <v>0</v>
      </c>
      <c r="AF508" s="26">
        <f t="shared" si="31"/>
        <v>0</v>
      </c>
      <c r="AG508" s="27" t="str">
        <f>IF(AC508="","",IF(COUNTIFS($AC$3:AC508,"Quên chấm công",$S$3:S508,S508)&gt;3,"Không chấm công do vi phạm quá 3 lần",IF(COUNTIFS($AC$3:AC508,"Quên chấm công",$S$3:S508,S508)&gt;2,"Trừ toàn bộ chuyên cần tháng do vi phạm lần 3",IF(COUNTIFS($AC$3:AC508,"Quên chấm công",$S$3:S508,S508)&gt;1,"Trừ 1/2 ngày lương",50000))))</f>
        <v/>
      </c>
      <c r="AH508" s="12" t="str">
        <f>IF(AF508=0,"",IF(COUNTIFS($AF$3:AF508,"&gt;0",$S$3:S508,S508)&gt;3,"Trừ toàn bộ chuyên cần tháng",""))</f>
        <v/>
      </c>
      <c r="AI508" s="12"/>
    </row>
    <row r="509" spans="1:35" x14ac:dyDescent="0.25">
      <c r="A509" s="4" t="s">
        <v>805</v>
      </c>
      <c r="B509" s="1" t="s">
        <v>806</v>
      </c>
      <c r="C509" s="1" t="s">
        <v>20</v>
      </c>
      <c r="D509" s="1" t="s">
        <v>125</v>
      </c>
      <c r="E509" s="1" t="s">
        <v>22</v>
      </c>
      <c r="F509" s="1" t="s">
        <v>23</v>
      </c>
      <c r="G509" s="1" t="s">
        <v>12</v>
      </c>
      <c r="H509" s="1" t="s">
        <v>24</v>
      </c>
      <c r="I509" s="1" t="s">
        <v>24</v>
      </c>
      <c r="J509" s="1" t="s">
        <v>25</v>
      </c>
      <c r="K509" s="1" t="s">
        <v>25</v>
      </c>
      <c r="L509" s="1" t="s">
        <v>26</v>
      </c>
      <c r="M509" s="1" t="s">
        <v>25</v>
      </c>
      <c r="N509" s="1" t="s">
        <v>25</v>
      </c>
      <c r="O509" s="1" t="s">
        <v>25</v>
      </c>
      <c r="P509" s="1" t="s">
        <v>25</v>
      </c>
      <c r="Q509" s="1" t="s">
        <v>25</v>
      </c>
      <c r="R509" s="85" t="str">
        <f t="shared" si="28"/>
        <v>4545927</v>
      </c>
      <c r="S509" t="str">
        <f>VLOOKUP(A509,Data_NV!$A:$C,3,0)</f>
        <v>Trần Hạo Nhị</v>
      </c>
      <c r="T509" t="str">
        <f>VLOOKUP(A509,Data_NV!$A:$E,4,0)</f>
        <v>Kinh doanh</v>
      </c>
      <c r="U509" s="82">
        <f>DATEVALUE(Table2[[#This Row],[Ngày]])</f>
        <v>45927</v>
      </c>
      <c r="V509" t="str">
        <f>VLOOKUP(A509,Data_NV!$A:$E,5,0)</f>
        <v>Đang làm việc</v>
      </c>
      <c r="W509" s="10">
        <f>VLOOKUP(A509,Data_NV!$A:$I,8,0)</f>
        <v>0.33333333333333331</v>
      </c>
      <c r="X509" s="10">
        <f>VLOOKUP(A509,Data_NV!$A:$I,9,0)</f>
        <v>0.70833333333333337</v>
      </c>
      <c r="Y509" s="10">
        <f>IFERROR(TIMEVALUE(Table2[[#This Row],[Vào]]),0)</f>
        <v>0</v>
      </c>
      <c r="Z509" s="10">
        <f>IFERROR(TIMEVALUE(Table2[[#This Row],[Ra]]),0)</f>
        <v>0</v>
      </c>
      <c r="AA509" t="s">
        <v>1384</v>
      </c>
      <c r="AB509" s="105">
        <f t="shared" si="30"/>
        <v>0</v>
      </c>
      <c r="AC509" s="12" t="str">
        <f>IF(VLOOKUP(A509,Data_NV!$A:$I,7,0)="Không","",IF(OR(AND(Y509=0,Z509=0),AND(Y509&lt;&gt;0,Z509&lt;&gt;0)),"","Quên chấm công"))</f>
        <v/>
      </c>
      <c r="AD509" s="12">
        <f>IF(VLOOKUP(A509,Data_NV!$A:$I,7,0)="Không",0,IF(AND(Y509=0,Z509=0),0,IF(X509&lt;=Z509,0,ROUNDDOWN((X509-Z509)*24*60,0))))</f>
        <v>0</v>
      </c>
      <c r="AE509" s="12">
        <f>IF(VLOOKUP(A509,Data_NV!$A:$I,6,0)="Không",0,IF(Z509&lt;=X509,0,ROUNDDOWN((Z509-X509)*24*60,0)))</f>
        <v>0</v>
      </c>
      <c r="AF509" s="26">
        <f t="shared" si="31"/>
        <v>0</v>
      </c>
      <c r="AG509" s="27" t="str">
        <f>IF(AC509="","",IF(COUNTIFS($AC$3:AC509,"Quên chấm công",$S$3:S509,S509)&gt;3,"Không chấm công do vi phạm quá 3 lần",IF(COUNTIFS($AC$3:AC509,"Quên chấm công",$S$3:S509,S509)&gt;2,"Trừ toàn bộ chuyên cần tháng do vi phạm lần 3",IF(COUNTIFS($AC$3:AC509,"Quên chấm công",$S$3:S509,S509)&gt;1,"Trừ 1/2 ngày lương",50000))))</f>
        <v/>
      </c>
      <c r="AH509" s="12" t="str">
        <f>IF(AF509=0,"",IF(COUNTIFS($AF$3:AF509,"&gt;0",$S$3:S509,S509)&gt;3,"Trừ toàn bộ chuyên cần tháng",""))</f>
        <v/>
      </c>
      <c r="AI509" s="12" t="s">
        <v>1390</v>
      </c>
    </row>
    <row r="510" spans="1:35" x14ac:dyDescent="0.25">
      <c r="A510" s="4" t="s">
        <v>805</v>
      </c>
      <c r="B510" s="1" t="s">
        <v>806</v>
      </c>
      <c r="C510" s="1" t="s">
        <v>20</v>
      </c>
      <c r="D510" s="1" t="s">
        <v>130</v>
      </c>
      <c r="E510" s="1" t="s">
        <v>22</v>
      </c>
      <c r="F510" s="1" t="s">
        <v>23</v>
      </c>
      <c r="G510" s="1" t="s">
        <v>12</v>
      </c>
      <c r="H510" s="1" t="s">
        <v>24</v>
      </c>
      <c r="I510" s="1" t="s">
        <v>24</v>
      </c>
      <c r="J510" s="1" t="s">
        <v>25</v>
      </c>
      <c r="K510" s="1" t="s">
        <v>25</v>
      </c>
      <c r="L510" s="1" t="s">
        <v>26</v>
      </c>
      <c r="M510" s="1" t="s">
        <v>25</v>
      </c>
      <c r="N510" s="1" t="s">
        <v>25</v>
      </c>
      <c r="O510" s="1" t="s">
        <v>25</v>
      </c>
      <c r="P510" s="1" t="s">
        <v>25</v>
      </c>
      <c r="Q510" s="1" t="s">
        <v>25</v>
      </c>
      <c r="R510" s="85" t="str">
        <f t="shared" si="28"/>
        <v>4545928</v>
      </c>
      <c r="S510" t="str">
        <f>VLOOKUP(A510,Data_NV!$A:$C,3,0)</f>
        <v>Trần Hạo Nhị</v>
      </c>
      <c r="T510" t="str">
        <f>VLOOKUP(A510,Data_NV!$A:$E,4,0)</f>
        <v>Kinh doanh</v>
      </c>
      <c r="U510" s="82">
        <f>DATEVALUE(Table2[[#This Row],[Ngày]])</f>
        <v>45928</v>
      </c>
      <c r="V510" t="str">
        <f>VLOOKUP(A510,Data_NV!$A:$E,5,0)</f>
        <v>Đang làm việc</v>
      </c>
      <c r="W510" s="10">
        <f>VLOOKUP(A510,Data_NV!$A:$I,8,0)</f>
        <v>0.33333333333333331</v>
      </c>
      <c r="X510" s="10">
        <f>VLOOKUP(A510,Data_NV!$A:$I,9,0)</f>
        <v>0.70833333333333337</v>
      </c>
      <c r="Y510" s="10">
        <f>IFERROR(TIMEVALUE(Table2[[#This Row],[Vào]]),0)</f>
        <v>0</v>
      </c>
      <c r="Z510" s="10">
        <f>IFERROR(TIMEVALUE(Table2[[#This Row],[Ra]]),0)</f>
        <v>0</v>
      </c>
      <c r="AA510" t="str">
        <f t="shared" si="29"/>
        <v>Chủ nhật</v>
      </c>
      <c r="AB510" s="105">
        <f t="shared" si="30"/>
        <v>0</v>
      </c>
      <c r="AC510" s="12" t="str">
        <f>IF(VLOOKUP(A510,Data_NV!$A:$I,7,0)="Không","",IF(OR(AND(Y510=0,Z510=0),AND(Y510&lt;&gt;0,Z510&lt;&gt;0)),"","Quên chấm công"))</f>
        <v/>
      </c>
      <c r="AD510" s="12">
        <f>IF(VLOOKUP(A510,Data_NV!$A:$I,7,0)="Không",0,IF(AND(Y510=0,Z510=0),0,IF(X510&lt;=Z510,0,ROUNDDOWN((X510-Z510)*24*60,0))))</f>
        <v>0</v>
      </c>
      <c r="AE510" s="12">
        <f>IF(VLOOKUP(A510,Data_NV!$A:$I,6,0)="Không",0,IF(Z510&lt;=X510,0,ROUNDDOWN((Z510-X510)*24*60,0)))</f>
        <v>0</v>
      </c>
      <c r="AF510" s="26">
        <f t="shared" si="31"/>
        <v>0</v>
      </c>
      <c r="AG510" s="27" t="str">
        <f>IF(AC510="","",IF(COUNTIFS($AC$3:AC510,"Quên chấm công",$S$3:S510,S510)&gt;3,"Không chấm công do vi phạm quá 3 lần",IF(COUNTIFS($AC$3:AC510,"Quên chấm công",$S$3:S510,S510)&gt;2,"Trừ toàn bộ chuyên cần tháng do vi phạm lần 3",IF(COUNTIFS($AC$3:AC510,"Quên chấm công",$S$3:S510,S510)&gt;1,"Trừ 1/2 ngày lương",50000))))</f>
        <v/>
      </c>
      <c r="AH510" s="12" t="str">
        <f>IF(AF510=0,"",IF(COUNTIFS($AF$3:AF510,"&gt;0",$S$3:S510,S510)&gt;3,"Trừ toàn bộ chuyên cần tháng",""))</f>
        <v/>
      </c>
      <c r="AI510" s="12"/>
    </row>
    <row r="511" spans="1:35" x14ac:dyDescent="0.25">
      <c r="A511" s="4" t="s">
        <v>805</v>
      </c>
      <c r="B511" s="1" t="s">
        <v>806</v>
      </c>
      <c r="C511" s="1" t="s">
        <v>20</v>
      </c>
      <c r="D511" s="1" t="s">
        <v>131</v>
      </c>
      <c r="E511" s="1" t="s">
        <v>22</v>
      </c>
      <c r="F511" s="1" t="s">
        <v>23</v>
      </c>
      <c r="G511" s="1" t="s">
        <v>12</v>
      </c>
      <c r="H511" s="1" t="s">
        <v>825</v>
      </c>
      <c r="I511" s="1" t="s">
        <v>24</v>
      </c>
      <c r="J511" s="1" t="s">
        <v>358</v>
      </c>
      <c r="K511" s="1" t="s">
        <v>25</v>
      </c>
      <c r="L511" s="1" t="s">
        <v>26</v>
      </c>
      <c r="M511" s="1" t="s">
        <v>25</v>
      </c>
      <c r="N511" s="1" t="s">
        <v>25</v>
      </c>
      <c r="O511" s="1" t="s">
        <v>25</v>
      </c>
      <c r="P511" s="1" t="s">
        <v>25</v>
      </c>
      <c r="Q511" s="1" t="s">
        <v>25</v>
      </c>
      <c r="R511" s="85" t="str">
        <f t="shared" si="28"/>
        <v>4545929</v>
      </c>
      <c r="S511" t="str">
        <f>VLOOKUP(A511,Data_NV!$A:$C,3,0)</f>
        <v>Trần Hạo Nhị</v>
      </c>
      <c r="T511" t="str">
        <f>VLOOKUP(A511,Data_NV!$A:$E,4,0)</f>
        <v>Kinh doanh</v>
      </c>
      <c r="U511" s="82">
        <f>DATEVALUE(Table2[[#This Row],[Ngày]])</f>
        <v>45929</v>
      </c>
      <c r="V511" t="str">
        <f>VLOOKUP(A511,Data_NV!$A:$E,5,0)</f>
        <v>Đang làm việc</v>
      </c>
      <c r="W511" s="10">
        <f>VLOOKUP(A511,Data_NV!$A:$I,8,0)</f>
        <v>0.33333333333333331</v>
      </c>
      <c r="X511" s="10">
        <f>VLOOKUP(A511,Data_NV!$A:$I,9,0)</f>
        <v>0.70833333333333337</v>
      </c>
      <c r="Y511" s="10">
        <f>IFERROR(TIMEVALUE(Table2[[#This Row],[Vào]]),0)</f>
        <v>0.33368055555555554</v>
      </c>
      <c r="Z511" s="10">
        <f>IFERROR(TIMEVALUE(Table2[[#This Row],[Ra]]),0)</f>
        <v>0</v>
      </c>
      <c r="AA511" t="str">
        <f t="shared" si="29"/>
        <v>x</v>
      </c>
      <c r="AB511" s="105">
        <f t="shared" si="30"/>
        <v>0.49999999999999822</v>
      </c>
      <c r="AC511" s="12" t="str">
        <f>IF(VLOOKUP(A511,Data_NV!$A:$I,7,0)="Không","",IF(OR(AND(Y511=0,Z511=0),AND(Y511&lt;&gt;0,Z511&lt;&gt;0)),"","Quên chấm công"))</f>
        <v/>
      </c>
      <c r="AD511" s="12">
        <f>IF(VLOOKUP(A511,Data_NV!$A:$I,7,0)="Không",0,IF(AND(Y511=0,Z511=0),0,IF(X511&lt;=Z511,0,ROUNDDOWN((X511-Z511)*24*60,0))))</f>
        <v>0</v>
      </c>
      <c r="AE511" s="12">
        <f>IF(VLOOKUP(A511,Data_NV!$A:$I,6,0)="Không",0,IF(Z511&lt;=X511,0,ROUNDDOWN((Z511-X511)*24*60,0)))</f>
        <v>0</v>
      </c>
      <c r="AF511" s="26">
        <f t="shared" si="31"/>
        <v>0</v>
      </c>
      <c r="AG511" s="27" t="str">
        <f>IF(AC511="","",IF(COUNTIFS($AC$3:AC511,"Quên chấm công",$S$3:S511,S511)&gt;3,"Không chấm công do vi phạm quá 3 lần",IF(COUNTIFS($AC$3:AC511,"Quên chấm công",$S$3:S511,S511)&gt;2,"Trừ toàn bộ chuyên cần tháng do vi phạm lần 3",IF(COUNTIFS($AC$3:AC511,"Quên chấm công",$S$3:S511,S511)&gt;1,"Trừ 1/2 ngày lương",50000))))</f>
        <v/>
      </c>
      <c r="AH511" s="12" t="str">
        <f>IF(AF511=0,"",IF(COUNTIFS($AF$3:AF511,"&gt;0",$S$3:S511,S511)&gt;3,"Trừ toàn bộ chuyên cần tháng",""))</f>
        <v/>
      </c>
      <c r="AI511" s="12"/>
    </row>
    <row r="512" spans="1:35" x14ac:dyDescent="0.25">
      <c r="A512" s="4" t="s">
        <v>805</v>
      </c>
      <c r="B512" s="1" t="s">
        <v>806</v>
      </c>
      <c r="C512" s="1" t="s">
        <v>20</v>
      </c>
      <c r="D512" s="1" t="s">
        <v>136</v>
      </c>
      <c r="E512" s="1" t="s">
        <v>22</v>
      </c>
      <c r="F512" s="1" t="s">
        <v>23</v>
      </c>
      <c r="G512" s="1" t="s">
        <v>12</v>
      </c>
      <c r="H512" s="1" t="s">
        <v>826</v>
      </c>
      <c r="I512" s="1" t="s">
        <v>24</v>
      </c>
      <c r="J512" s="1" t="s">
        <v>682</v>
      </c>
      <c r="K512" s="1" t="s">
        <v>25</v>
      </c>
      <c r="L512" s="1" t="s">
        <v>26</v>
      </c>
      <c r="M512" s="1" t="s">
        <v>25</v>
      </c>
      <c r="N512" s="1" t="s">
        <v>25</v>
      </c>
      <c r="O512" s="1" t="s">
        <v>25</v>
      </c>
      <c r="P512" s="1" t="s">
        <v>25</v>
      </c>
      <c r="Q512" s="1" t="s">
        <v>25</v>
      </c>
      <c r="R512" s="85" t="str">
        <f t="shared" si="28"/>
        <v>4545930</v>
      </c>
      <c r="S512" t="str">
        <f>VLOOKUP(A512,Data_NV!$A:$C,3,0)</f>
        <v>Trần Hạo Nhị</v>
      </c>
      <c r="T512" t="str">
        <f>VLOOKUP(A512,Data_NV!$A:$E,4,0)</f>
        <v>Kinh doanh</v>
      </c>
      <c r="U512" s="82">
        <f>DATEVALUE(Table2[[#This Row],[Ngày]])</f>
        <v>45930</v>
      </c>
      <c r="V512" t="str">
        <f>VLOOKUP(A512,Data_NV!$A:$E,5,0)</f>
        <v>Đang làm việc</v>
      </c>
      <c r="W512" s="10">
        <f>VLOOKUP(A512,Data_NV!$A:$I,8,0)</f>
        <v>0.33333333333333331</v>
      </c>
      <c r="X512" s="10">
        <f>VLOOKUP(A512,Data_NV!$A:$I,9,0)</f>
        <v>0.70833333333333337</v>
      </c>
      <c r="Y512" s="10">
        <f>IFERROR(TIMEVALUE(Table2[[#This Row],[Vào]]),0)</f>
        <v>0.33699074074074076</v>
      </c>
      <c r="Z512" s="10">
        <f>IFERROR(TIMEVALUE(Table2[[#This Row],[Ra]]),0)</f>
        <v>0</v>
      </c>
      <c r="AA512" t="str">
        <f t="shared" si="29"/>
        <v>x</v>
      </c>
      <c r="AB512" s="105">
        <f t="shared" si="30"/>
        <v>5.2666666666667172</v>
      </c>
      <c r="AC512" s="12" t="str">
        <f>IF(VLOOKUP(A512,Data_NV!$A:$I,7,0)="Không","",IF(OR(AND(Y512=0,Z512=0),AND(Y512&lt;&gt;0,Z512&lt;&gt;0)),"","Quên chấm công"))</f>
        <v/>
      </c>
      <c r="AD512" s="12">
        <f>IF(VLOOKUP(A512,Data_NV!$A:$I,7,0)="Không",0,IF(AND(Y512=0,Z512=0),0,IF(X512&lt;=Z512,0,ROUNDDOWN((X512-Z512)*24*60,0))))</f>
        <v>0</v>
      </c>
      <c r="AE512" s="12">
        <f>IF(VLOOKUP(A512,Data_NV!$A:$I,6,0)="Không",0,IF(Z512&lt;=X512,0,ROUNDDOWN((Z512-X512)*24*60,0)))</f>
        <v>0</v>
      </c>
      <c r="AF512" s="26">
        <f t="shared" si="31"/>
        <v>0</v>
      </c>
      <c r="AG512" s="27" t="str">
        <f>IF(AC512="","",IF(COUNTIFS($AC$3:AC512,"Quên chấm công",$S$3:S512,S512)&gt;3,"Không chấm công do vi phạm quá 3 lần",IF(COUNTIFS($AC$3:AC512,"Quên chấm công",$S$3:S512,S512)&gt;2,"Trừ toàn bộ chuyên cần tháng do vi phạm lần 3",IF(COUNTIFS($AC$3:AC512,"Quên chấm công",$S$3:S512,S512)&gt;1,"Trừ 1/2 ngày lương",50000))))</f>
        <v/>
      </c>
      <c r="AH512" s="12" t="str">
        <f>IF(AF512=0,"",IF(COUNTIFS($AF$3:AF512,"&gt;0",$S$3:S512,S512)&gt;3,"Trừ toàn bộ chuyên cần tháng",""))</f>
        <v/>
      </c>
      <c r="AI512" s="12"/>
    </row>
    <row r="513" spans="1:35" x14ac:dyDescent="0.25">
      <c r="A513" s="4" t="s">
        <v>835</v>
      </c>
      <c r="B513" s="1" t="s">
        <v>836</v>
      </c>
      <c r="C513" s="1" t="s">
        <v>20</v>
      </c>
      <c r="D513" s="1" t="s">
        <v>21</v>
      </c>
      <c r="E513" s="1" t="s">
        <v>22</v>
      </c>
      <c r="F513" s="1" t="s">
        <v>23</v>
      </c>
      <c r="G513" s="1" t="s">
        <v>12</v>
      </c>
      <c r="H513" s="1" t="s">
        <v>24</v>
      </c>
      <c r="I513" s="1" t="s">
        <v>24</v>
      </c>
      <c r="J513" s="1" t="s">
        <v>25</v>
      </c>
      <c r="K513" s="1" t="s">
        <v>25</v>
      </c>
      <c r="L513" s="1" t="s">
        <v>26</v>
      </c>
      <c r="M513" s="1" t="s">
        <v>25</v>
      </c>
      <c r="N513" s="1" t="s">
        <v>25</v>
      </c>
      <c r="O513" s="1" t="s">
        <v>25</v>
      </c>
      <c r="P513" s="1" t="s">
        <v>25</v>
      </c>
      <c r="Q513" s="1" t="s">
        <v>25</v>
      </c>
      <c r="R513" s="85" t="str">
        <f t="shared" si="28"/>
        <v>545901</v>
      </c>
      <c r="S513" t="str">
        <f>VLOOKUP(A513,Data_NV!$A:$C,3,0)</f>
        <v xml:space="preserve"> Hàng Minh Thư   </v>
      </c>
      <c r="T513" t="str">
        <f>VLOOKUP(A513,Data_NV!$A:$E,4,0)</f>
        <v>Kế toán - Văn phòng</v>
      </c>
      <c r="U513" s="82">
        <f>DATEVALUE(Table2[[#This Row],[Ngày]])</f>
        <v>45901</v>
      </c>
      <c r="V513" t="str">
        <f>VLOOKUP(A513,Data_NV!$A:$E,5,0)</f>
        <v>Đang làm việc</v>
      </c>
      <c r="W513" s="10">
        <f>VLOOKUP(A513,Data_NV!$A:$I,8,0)</f>
        <v>0.33333333333333331</v>
      </c>
      <c r="X513" s="10">
        <f>VLOOKUP(A513,Data_NV!$A:$I,9,0)</f>
        <v>0.70833333333333337</v>
      </c>
      <c r="Y513" s="10">
        <f>IFERROR(TIMEVALUE(Table2[[#This Row],[Vào]]),0)</f>
        <v>0</v>
      </c>
      <c r="Z513" s="10">
        <f>IFERROR(TIMEVALUE(Table2[[#This Row],[Ra]]),0)</f>
        <v>0</v>
      </c>
      <c r="AA513" s="97" t="s">
        <v>1349</v>
      </c>
      <c r="AB513" s="105">
        <f t="shared" si="30"/>
        <v>0</v>
      </c>
      <c r="AC513" s="12" t="str">
        <f>IF(VLOOKUP(A513,Data_NV!$A:$I,7,0)="Không","",IF(OR(AND(Y513=0,Z513=0),AND(Y513&lt;&gt;0,Z513&lt;&gt;0)),"","Quên chấm công"))</f>
        <v/>
      </c>
      <c r="AD513" s="12">
        <f>IF(VLOOKUP(A513,Data_NV!$A:$I,7,0)="Không",0,IF(AND(Y513=0,Z513=0),0,IF(X513&lt;=Z513,0,ROUNDDOWN((X513-Z513)*24*60,0))))</f>
        <v>0</v>
      </c>
      <c r="AE513" s="12">
        <f>IF(VLOOKUP(A513,Data_NV!$A:$I,6,0)="Không",0,IF(Z513&lt;=X513,0,ROUNDDOWN((Z513-X513)*24*60,0)))</f>
        <v>0</v>
      </c>
      <c r="AF513" s="26">
        <f t="shared" si="31"/>
        <v>0</v>
      </c>
      <c r="AG513" s="27" t="str">
        <f>IF(AC513="","",IF(COUNTIFS($AC$3:AC513,"Quên chấm công",$S$3:S513,S513)&gt;3,"Không chấm công do vi phạm quá 3 lần",IF(COUNTIFS($AC$3:AC513,"Quên chấm công",$S$3:S513,S513)&gt;2,"Trừ toàn bộ chuyên cần tháng do vi phạm lần 3",IF(COUNTIFS($AC$3:AC513,"Quên chấm công",$S$3:S513,S513)&gt;1,"Trừ 1/2 ngày lương",50000))))</f>
        <v/>
      </c>
      <c r="AH513" s="12" t="str">
        <f>IF(AF513=0,"",IF(COUNTIFS($AF$3:AF513,"&gt;0",$S$3:S513,S513)&gt;3,"Trừ toàn bộ chuyên cần tháng",""))</f>
        <v/>
      </c>
      <c r="AI513" s="98" t="s">
        <v>1369</v>
      </c>
    </row>
    <row r="514" spans="1:35" x14ac:dyDescent="0.25">
      <c r="A514" s="4" t="s">
        <v>835</v>
      </c>
      <c r="B514" s="1" t="s">
        <v>836</v>
      </c>
      <c r="C514" s="1" t="s">
        <v>20</v>
      </c>
      <c r="D514" s="1" t="s">
        <v>27</v>
      </c>
      <c r="E514" s="1" t="s">
        <v>22</v>
      </c>
      <c r="F514" s="1" t="s">
        <v>23</v>
      </c>
      <c r="G514" s="1" t="s">
        <v>12</v>
      </c>
      <c r="H514" s="1" t="s">
        <v>24</v>
      </c>
      <c r="I514" s="1" t="s">
        <v>24</v>
      </c>
      <c r="J514" s="1" t="s">
        <v>25</v>
      </c>
      <c r="K514" s="1" t="s">
        <v>25</v>
      </c>
      <c r="L514" s="1" t="s">
        <v>26</v>
      </c>
      <c r="M514" s="1" t="s">
        <v>25</v>
      </c>
      <c r="N514" s="1" t="s">
        <v>25</v>
      </c>
      <c r="O514" s="1" t="s">
        <v>25</v>
      </c>
      <c r="P514" s="1" t="s">
        <v>25</v>
      </c>
      <c r="Q514" s="1" t="s">
        <v>25</v>
      </c>
      <c r="R514" s="85" t="str">
        <f t="shared" si="28"/>
        <v>545902</v>
      </c>
      <c r="S514" t="str">
        <f>VLOOKUP(A514,Data_NV!$A:$C,3,0)</f>
        <v xml:space="preserve"> Hàng Minh Thư   </v>
      </c>
      <c r="T514" t="str">
        <f>VLOOKUP(A514,Data_NV!$A:$E,4,0)</f>
        <v>Kế toán - Văn phòng</v>
      </c>
      <c r="U514" s="82">
        <f>DATEVALUE(Table2[[#This Row],[Ngày]])</f>
        <v>45902</v>
      </c>
      <c r="V514" t="str">
        <f>VLOOKUP(A514,Data_NV!$A:$E,5,0)</f>
        <v>Đang làm việc</v>
      </c>
      <c r="W514" s="10">
        <f>VLOOKUP(A514,Data_NV!$A:$I,8,0)</f>
        <v>0.33333333333333331</v>
      </c>
      <c r="X514" s="10">
        <f>VLOOKUP(A514,Data_NV!$A:$I,9,0)</f>
        <v>0.70833333333333337</v>
      </c>
      <c r="Y514" s="10">
        <f>IFERROR(TIMEVALUE(Table2[[#This Row],[Vào]]),0)</f>
        <v>0</v>
      </c>
      <c r="Z514" s="10">
        <f>IFERROR(TIMEVALUE(Table2[[#This Row],[Ra]]),0)</f>
        <v>0</v>
      </c>
      <c r="AA514" s="97" t="s">
        <v>1349</v>
      </c>
      <c r="AB514" s="105">
        <f t="shared" si="30"/>
        <v>0</v>
      </c>
      <c r="AC514" s="12" t="str">
        <f>IF(VLOOKUP(A514,Data_NV!$A:$I,7,0)="Không","",IF(OR(AND(Y514=0,Z514=0),AND(Y514&lt;&gt;0,Z514&lt;&gt;0)),"","Quên chấm công"))</f>
        <v/>
      </c>
      <c r="AD514" s="12">
        <f>IF(VLOOKUP(A514,Data_NV!$A:$I,7,0)="Không",0,IF(AND(Y514=0,Z514=0),0,IF(X514&lt;=Z514,0,ROUNDDOWN((X514-Z514)*24*60,0))))</f>
        <v>0</v>
      </c>
      <c r="AE514" s="12">
        <f>IF(VLOOKUP(A514,Data_NV!$A:$I,6,0)="Không",0,IF(Z514&lt;=X514,0,ROUNDDOWN((Z514-X514)*24*60,0)))</f>
        <v>0</v>
      </c>
      <c r="AF514" s="26">
        <f t="shared" si="31"/>
        <v>0</v>
      </c>
      <c r="AG514" s="27" t="str">
        <f>IF(AC514="","",IF(COUNTIFS($AC$3:AC514,"Quên chấm công",$S$3:S514,S514)&gt;3,"Không chấm công do vi phạm quá 3 lần",IF(COUNTIFS($AC$3:AC514,"Quên chấm công",$S$3:S514,S514)&gt;2,"Trừ toàn bộ chuyên cần tháng do vi phạm lần 3",IF(COUNTIFS($AC$3:AC514,"Quên chấm công",$S$3:S514,S514)&gt;1,"Trừ 1/2 ngày lương",50000))))</f>
        <v/>
      </c>
      <c r="AH514" s="12" t="str">
        <f>IF(AF514=0,"",IF(COUNTIFS($AF$3:AF514,"&gt;0",$S$3:S514,S514)&gt;3,"Trừ toàn bộ chuyên cần tháng",""))</f>
        <v/>
      </c>
      <c r="AI514" s="98" t="s">
        <v>1369</v>
      </c>
    </row>
    <row r="515" spans="1:35" x14ac:dyDescent="0.25">
      <c r="A515" s="4" t="s">
        <v>835</v>
      </c>
      <c r="B515" s="1" t="s">
        <v>836</v>
      </c>
      <c r="C515" s="1" t="s">
        <v>20</v>
      </c>
      <c r="D515" s="1" t="s">
        <v>28</v>
      </c>
      <c r="E515" s="1" t="s">
        <v>22</v>
      </c>
      <c r="F515" s="1" t="s">
        <v>23</v>
      </c>
      <c r="G515" s="1" t="s">
        <v>29</v>
      </c>
      <c r="H515" s="1" t="s">
        <v>837</v>
      </c>
      <c r="I515" s="1" t="s">
        <v>838</v>
      </c>
      <c r="J515" s="1" t="s">
        <v>25</v>
      </c>
      <c r="K515" s="1" t="s">
        <v>512</v>
      </c>
      <c r="L515" s="1" t="s">
        <v>25</v>
      </c>
      <c r="M515" s="1" t="s">
        <v>26</v>
      </c>
      <c r="N515" s="1" t="s">
        <v>25</v>
      </c>
      <c r="O515" s="1" t="s">
        <v>513</v>
      </c>
      <c r="P515" s="1" t="s">
        <v>25</v>
      </c>
      <c r="Q515" s="1" t="s">
        <v>25</v>
      </c>
      <c r="R515" s="85" t="str">
        <f t="shared" ref="R515:R578" si="32">A515&amp;U515</f>
        <v>545903</v>
      </c>
      <c r="S515" t="str">
        <f>VLOOKUP(A515,Data_NV!$A:$C,3,0)</f>
        <v xml:space="preserve"> Hàng Minh Thư   </v>
      </c>
      <c r="T515" t="str">
        <f>VLOOKUP(A515,Data_NV!$A:$E,4,0)</f>
        <v>Kế toán - Văn phòng</v>
      </c>
      <c r="U515" s="82">
        <f>DATEVALUE(Table2[[#This Row],[Ngày]])</f>
        <v>45903</v>
      </c>
      <c r="V515" t="str">
        <f>VLOOKUP(A515,Data_NV!$A:$E,5,0)</f>
        <v>Đang làm việc</v>
      </c>
      <c r="W515" s="10">
        <f>VLOOKUP(A515,Data_NV!$A:$I,8,0)</f>
        <v>0.33333333333333331</v>
      </c>
      <c r="X515" s="10">
        <f>VLOOKUP(A515,Data_NV!$A:$I,9,0)</f>
        <v>0.70833333333333337</v>
      </c>
      <c r="Y515" s="10">
        <f>IFERROR(TIMEVALUE(Table2[[#This Row],[Vào]]),0)</f>
        <v>0.32885416666666667</v>
      </c>
      <c r="Z515" s="10">
        <f>IFERROR(TIMEVALUE(Table2[[#This Row],[Ra]]),0)</f>
        <v>0.77626157407407403</v>
      </c>
      <c r="AA515" t="str">
        <f t="shared" ref="AA515:AA578" si="33">IF(TEXT($U515,"ddd")="CN","Chủ nhật",IF(OR(AND(Y515=0,Z515=0),AG515="Không chấm công do vi phạm quá 3 lần"),"",IF(OR(AG515="Trừ 1/2 ngày lương",AF515="Trừ 1/2 ngày lương",AB515&gt;=60),"1/2","x")))</f>
        <v>x</v>
      </c>
      <c r="AB515" s="105">
        <f t="shared" ref="AB515:AB578" si="34">IF(Y515&lt;=W515,0,(Y515-W515)*24*60)</f>
        <v>0</v>
      </c>
      <c r="AC515" s="12" t="str">
        <f>IF(VLOOKUP(A515,Data_NV!$A:$I,7,0)="Không","",IF(OR(AND(Y515=0,Z515=0),AND(Y515&lt;&gt;0,Z515&lt;&gt;0)),"","Quên chấm công"))</f>
        <v/>
      </c>
      <c r="AD515" s="12">
        <f>IF(VLOOKUP(A515,Data_NV!$A:$I,7,0)="Không",0,IF(AND(Y515=0,Z515=0),0,IF(X515&lt;=Z515,0,ROUNDDOWN((X515-Z515)*24*60,0))))</f>
        <v>0</v>
      </c>
      <c r="AE515" s="12">
        <f>IF(VLOOKUP(A515,Data_NV!$A:$I,6,0)="Không",0,IF(Z515&lt;=X515,0,ROUNDDOWN((Z515-X515)*24*60,0)))</f>
        <v>97</v>
      </c>
      <c r="AF515" s="26">
        <f t="shared" ref="AF515:AF578" si="35">IF(AB515&gt;60,"Trừ 1/2 ngày lương",IF(AB515&gt;15,50000,IF(AB515&gt;6,30000,0)))</f>
        <v>0</v>
      </c>
      <c r="AG515" s="27" t="str">
        <f>IF(AC515="","",IF(COUNTIFS($AC$3:AC515,"Quên chấm công",$S$3:S515,S515)&gt;3,"Không chấm công do vi phạm quá 3 lần",IF(COUNTIFS($AC$3:AC515,"Quên chấm công",$S$3:S515,S515)&gt;2,"Trừ toàn bộ chuyên cần tháng do vi phạm lần 3",IF(COUNTIFS($AC$3:AC515,"Quên chấm công",$S$3:S515,S515)&gt;1,"Trừ 1/2 ngày lương",50000))))</f>
        <v/>
      </c>
      <c r="AH515" s="12" t="str">
        <f>IF(AF515=0,"",IF(COUNTIFS($AF$3:AF515,"&gt;0",$S$3:S515,S515)&gt;3,"Trừ toàn bộ chuyên cần tháng",""))</f>
        <v/>
      </c>
      <c r="AI515" s="12"/>
    </row>
    <row r="516" spans="1:35" x14ac:dyDescent="0.25">
      <c r="A516" s="4" t="s">
        <v>835</v>
      </c>
      <c r="B516" s="1" t="s">
        <v>836</v>
      </c>
      <c r="C516" s="1" t="s">
        <v>20</v>
      </c>
      <c r="D516" s="1" t="s">
        <v>35</v>
      </c>
      <c r="E516" s="1" t="s">
        <v>22</v>
      </c>
      <c r="F516" s="1" t="s">
        <v>23</v>
      </c>
      <c r="G516" s="1" t="s">
        <v>29</v>
      </c>
      <c r="H516" s="1" t="s">
        <v>839</v>
      </c>
      <c r="I516" s="1" t="s">
        <v>840</v>
      </c>
      <c r="J516" s="1" t="s">
        <v>25</v>
      </c>
      <c r="K516" s="1" t="s">
        <v>841</v>
      </c>
      <c r="L516" s="1" t="s">
        <v>25</v>
      </c>
      <c r="M516" s="1" t="s">
        <v>26</v>
      </c>
      <c r="N516" s="1" t="s">
        <v>25</v>
      </c>
      <c r="O516" s="1" t="s">
        <v>842</v>
      </c>
      <c r="P516" s="1" t="s">
        <v>25</v>
      </c>
      <c r="Q516" s="1" t="s">
        <v>25</v>
      </c>
      <c r="R516" s="85" t="str">
        <f t="shared" si="32"/>
        <v>545904</v>
      </c>
      <c r="S516" t="str">
        <f>VLOOKUP(A516,Data_NV!$A:$C,3,0)</f>
        <v xml:space="preserve"> Hàng Minh Thư   </v>
      </c>
      <c r="T516" t="str">
        <f>VLOOKUP(A516,Data_NV!$A:$E,4,0)</f>
        <v>Kế toán - Văn phòng</v>
      </c>
      <c r="U516" s="82">
        <f>DATEVALUE(Table2[[#This Row],[Ngày]])</f>
        <v>45904</v>
      </c>
      <c r="V516" t="str">
        <f>VLOOKUP(A516,Data_NV!$A:$E,5,0)</f>
        <v>Đang làm việc</v>
      </c>
      <c r="W516" s="10">
        <f>VLOOKUP(A516,Data_NV!$A:$I,8,0)</f>
        <v>0.33333333333333331</v>
      </c>
      <c r="X516" s="10">
        <f>VLOOKUP(A516,Data_NV!$A:$I,9,0)</f>
        <v>0.70833333333333337</v>
      </c>
      <c r="Y516" s="10">
        <f>IFERROR(TIMEVALUE(Table2[[#This Row],[Vào]]),0)</f>
        <v>0.32827546296296295</v>
      </c>
      <c r="Z516" s="10">
        <f>IFERROR(TIMEVALUE(Table2[[#This Row],[Ra]]),0)</f>
        <v>0.7646412037037037</v>
      </c>
      <c r="AA516" t="str">
        <f t="shared" si="33"/>
        <v>x</v>
      </c>
      <c r="AB516" s="105">
        <f t="shared" si="34"/>
        <v>0</v>
      </c>
      <c r="AC516" s="12" t="str">
        <f>IF(VLOOKUP(A516,Data_NV!$A:$I,7,0)="Không","",IF(OR(AND(Y516=0,Z516=0),AND(Y516&lt;&gt;0,Z516&lt;&gt;0)),"","Quên chấm công"))</f>
        <v/>
      </c>
      <c r="AD516" s="12">
        <f>IF(VLOOKUP(A516,Data_NV!$A:$I,7,0)="Không",0,IF(AND(Y516=0,Z516=0),0,IF(X516&lt;=Z516,0,ROUNDDOWN((X516-Z516)*24*60,0))))</f>
        <v>0</v>
      </c>
      <c r="AE516" s="12">
        <f>IF(VLOOKUP(A516,Data_NV!$A:$I,6,0)="Không",0,IF(Z516&lt;=X516,0,ROUNDDOWN((Z516-X516)*24*60,0)))</f>
        <v>81</v>
      </c>
      <c r="AF516" s="26">
        <f t="shared" si="35"/>
        <v>0</v>
      </c>
      <c r="AG516" s="27" t="str">
        <f>IF(AC516="","",IF(COUNTIFS($AC$3:AC516,"Quên chấm công",$S$3:S516,S516)&gt;3,"Không chấm công do vi phạm quá 3 lần",IF(COUNTIFS($AC$3:AC516,"Quên chấm công",$S$3:S516,S516)&gt;2,"Trừ toàn bộ chuyên cần tháng do vi phạm lần 3",IF(COUNTIFS($AC$3:AC516,"Quên chấm công",$S$3:S516,S516)&gt;1,"Trừ 1/2 ngày lương",50000))))</f>
        <v/>
      </c>
      <c r="AH516" s="12" t="str">
        <f>IF(AF516=0,"",IF(COUNTIFS($AF$3:AF516,"&gt;0",$S$3:S516,S516)&gt;3,"Trừ toàn bộ chuyên cần tháng",""))</f>
        <v/>
      </c>
      <c r="AI516" s="12"/>
    </row>
    <row r="517" spans="1:35" x14ac:dyDescent="0.25">
      <c r="A517" s="4" t="s">
        <v>835</v>
      </c>
      <c r="B517" s="1" t="s">
        <v>836</v>
      </c>
      <c r="C517" s="1" t="s">
        <v>20</v>
      </c>
      <c r="D517" s="1" t="s">
        <v>37</v>
      </c>
      <c r="E517" s="1" t="s">
        <v>22</v>
      </c>
      <c r="F517" s="1" t="s">
        <v>23</v>
      </c>
      <c r="G517" s="1" t="s">
        <v>29</v>
      </c>
      <c r="H517" s="1" t="s">
        <v>843</v>
      </c>
      <c r="I517" s="1" t="s">
        <v>844</v>
      </c>
      <c r="J517" s="1" t="s">
        <v>25</v>
      </c>
      <c r="K517" s="1" t="s">
        <v>845</v>
      </c>
      <c r="L517" s="1" t="s">
        <v>25</v>
      </c>
      <c r="M517" s="1" t="s">
        <v>26</v>
      </c>
      <c r="N517" s="1" t="s">
        <v>25</v>
      </c>
      <c r="O517" s="1" t="s">
        <v>846</v>
      </c>
      <c r="P517" s="1" t="s">
        <v>25</v>
      </c>
      <c r="Q517" s="1" t="s">
        <v>25</v>
      </c>
      <c r="R517" s="85" t="str">
        <f t="shared" si="32"/>
        <v>545905</v>
      </c>
      <c r="S517" t="str">
        <f>VLOOKUP(A517,Data_NV!$A:$C,3,0)</f>
        <v xml:space="preserve"> Hàng Minh Thư   </v>
      </c>
      <c r="T517" t="str">
        <f>VLOOKUP(A517,Data_NV!$A:$E,4,0)</f>
        <v>Kế toán - Văn phòng</v>
      </c>
      <c r="U517" s="82">
        <f>DATEVALUE(Table2[[#This Row],[Ngày]])</f>
        <v>45905</v>
      </c>
      <c r="V517" t="str">
        <f>VLOOKUP(A517,Data_NV!$A:$E,5,0)</f>
        <v>Đang làm việc</v>
      </c>
      <c r="W517" s="10">
        <f>VLOOKUP(A517,Data_NV!$A:$I,8,0)</f>
        <v>0.33333333333333331</v>
      </c>
      <c r="X517" s="10">
        <f>VLOOKUP(A517,Data_NV!$A:$I,9,0)</f>
        <v>0.70833333333333337</v>
      </c>
      <c r="Y517" s="10">
        <f>IFERROR(TIMEVALUE(Table2[[#This Row],[Vào]]),0)</f>
        <v>0.32997685185185183</v>
      </c>
      <c r="Z517" s="10">
        <f>IFERROR(TIMEVALUE(Table2[[#This Row],[Ra]]),0)</f>
        <v>0.78377314814814814</v>
      </c>
      <c r="AA517" t="str">
        <f t="shared" si="33"/>
        <v>x</v>
      </c>
      <c r="AB517" s="105">
        <f t="shared" si="34"/>
        <v>0</v>
      </c>
      <c r="AC517" s="12" t="str">
        <f>IF(VLOOKUP(A517,Data_NV!$A:$I,7,0)="Không","",IF(OR(AND(Y517=0,Z517=0),AND(Y517&lt;&gt;0,Z517&lt;&gt;0)),"","Quên chấm công"))</f>
        <v/>
      </c>
      <c r="AD517" s="12">
        <f>IF(VLOOKUP(A517,Data_NV!$A:$I,7,0)="Không",0,IF(AND(Y517=0,Z517=0),0,IF(X517&lt;=Z517,0,ROUNDDOWN((X517-Z517)*24*60,0))))</f>
        <v>0</v>
      </c>
      <c r="AE517" s="12">
        <f>IF(VLOOKUP(A517,Data_NV!$A:$I,6,0)="Không",0,IF(Z517&lt;=X517,0,ROUNDDOWN((Z517-X517)*24*60,0)))</f>
        <v>108</v>
      </c>
      <c r="AF517" s="26">
        <f t="shared" si="35"/>
        <v>0</v>
      </c>
      <c r="AG517" s="27" t="str">
        <f>IF(AC517="","",IF(COUNTIFS($AC$3:AC517,"Quên chấm công",$S$3:S517,S517)&gt;3,"Không chấm công do vi phạm quá 3 lần",IF(COUNTIFS($AC$3:AC517,"Quên chấm công",$S$3:S517,S517)&gt;2,"Trừ toàn bộ chuyên cần tháng do vi phạm lần 3",IF(COUNTIFS($AC$3:AC517,"Quên chấm công",$S$3:S517,S517)&gt;1,"Trừ 1/2 ngày lương",50000))))</f>
        <v/>
      </c>
      <c r="AH517" s="12" t="str">
        <f>IF(AF517=0,"",IF(COUNTIFS($AF$3:AF517,"&gt;0",$S$3:S517,S517)&gt;3,"Trừ toàn bộ chuyên cần tháng",""))</f>
        <v/>
      </c>
      <c r="AI517" s="12"/>
    </row>
    <row r="518" spans="1:35" x14ac:dyDescent="0.25">
      <c r="A518" s="4" t="s">
        <v>835</v>
      </c>
      <c r="B518" s="1" t="s">
        <v>836</v>
      </c>
      <c r="C518" s="1" t="s">
        <v>20</v>
      </c>
      <c r="D518" s="1" t="s">
        <v>42</v>
      </c>
      <c r="E518" s="1" t="s">
        <v>22</v>
      </c>
      <c r="F518" s="1" t="s">
        <v>23</v>
      </c>
      <c r="G518" s="1" t="s">
        <v>29</v>
      </c>
      <c r="H518" s="1" t="s">
        <v>847</v>
      </c>
      <c r="I518" s="1" t="s">
        <v>848</v>
      </c>
      <c r="J518" s="1" t="s">
        <v>25</v>
      </c>
      <c r="K518" s="1" t="s">
        <v>271</v>
      </c>
      <c r="L518" s="1" t="s">
        <v>25</v>
      </c>
      <c r="M518" s="1" t="s">
        <v>26</v>
      </c>
      <c r="N518" s="1" t="s">
        <v>25</v>
      </c>
      <c r="O518" s="1" t="s">
        <v>272</v>
      </c>
      <c r="P518" s="1" t="s">
        <v>25</v>
      </c>
      <c r="Q518" s="1" t="s">
        <v>25</v>
      </c>
      <c r="R518" s="85" t="str">
        <f t="shared" si="32"/>
        <v>545906</v>
      </c>
      <c r="S518" t="str">
        <f>VLOOKUP(A518,Data_NV!$A:$C,3,0)</f>
        <v xml:space="preserve"> Hàng Minh Thư   </v>
      </c>
      <c r="T518" t="str">
        <f>VLOOKUP(A518,Data_NV!$A:$E,4,0)</f>
        <v>Kế toán - Văn phòng</v>
      </c>
      <c r="U518" s="82">
        <f>DATEVALUE(Table2[[#This Row],[Ngày]])</f>
        <v>45906</v>
      </c>
      <c r="V518" t="str">
        <f>VLOOKUP(A518,Data_NV!$A:$E,5,0)</f>
        <v>Đang làm việc</v>
      </c>
      <c r="W518" s="10">
        <f>VLOOKUP(A518,Data_NV!$A:$I,8,0)</f>
        <v>0.33333333333333331</v>
      </c>
      <c r="X518" s="10">
        <f>VLOOKUP(A518,Data_NV!$A:$I,9,0)</f>
        <v>0.70833333333333337</v>
      </c>
      <c r="Y518" s="10">
        <f>IFERROR(TIMEVALUE(Table2[[#This Row],[Vào]]),0)</f>
        <v>0.33314814814814814</v>
      </c>
      <c r="Z518" s="10">
        <f>IFERROR(TIMEVALUE(Table2[[#This Row],[Ra]]),0)</f>
        <v>0.78190972222222221</v>
      </c>
      <c r="AA518" t="str">
        <f t="shared" si="33"/>
        <v>x</v>
      </c>
      <c r="AB518" s="105">
        <f t="shared" si="34"/>
        <v>0</v>
      </c>
      <c r="AC518" s="12" t="str">
        <f>IF(VLOOKUP(A518,Data_NV!$A:$I,7,0)="Không","",IF(OR(AND(Y518=0,Z518=0),AND(Y518&lt;&gt;0,Z518&lt;&gt;0)),"","Quên chấm công"))</f>
        <v/>
      </c>
      <c r="AD518" s="12">
        <f>IF(VLOOKUP(A518,Data_NV!$A:$I,7,0)="Không",0,IF(AND(Y518=0,Z518=0),0,IF(X518&lt;=Z518,0,ROUNDDOWN((X518-Z518)*24*60,0))))</f>
        <v>0</v>
      </c>
      <c r="AE518" s="12">
        <f>IF(VLOOKUP(A518,Data_NV!$A:$I,6,0)="Không",0,IF(Z518&lt;=X518,0,ROUNDDOWN((Z518-X518)*24*60,0)))</f>
        <v>105</v>
      </c>
      <c r="AF518" s="26">
        <f t="shared" si="35"/>
        <v>0</v>
      </c>
      <c r="AG518" s="27" t="str">
        <f>IF(AC518="","",IF(COUNTIFS($AC$3:AC518,"Quên chấm công",$S$3:S518,S518)&gt;3,"Không chấm công do vi phạm quá 3 lần",IF(COUNTIFS($AC$3:AC518,"Quên chấm công",$S$3:S518,S518)&gt;2,"Trừ toàn bộ chuyên cần tháng do vi phạm lần 3",IF(COUNTIFS($AC$3:AC518,"Quên chấm công",$S$3:S518,S518)&gt;1,"Trừ 1/2 ngày lương",50000))))</f>
        <v/>
      </c>
      <c r="AH518" s="12" t="str">
        <f>IF(AF518=0,"",IF(COUNTIFS($AF$3:AF518,"&gt;0",$S$3:S518,S518)&gt;3,"Trừ toàn bộ chuyên cần tháng",""))</f>
        <v/>
      </c>
      <c r="AI518" s="12"/>
    </row>
    <row r="519" spans="1:35" x14ac:dyDescent="0.25">
      <c r="A519" s="4" t="s">
        <v>835</v>
      </c>
      <c r="B519" s="1" t="s">
        <v>836</v>
      </c>
      <c r="C519" s="1" t="s">
        <v>20</v>
      </c>
      <c r="D519" s="1" t="s">
        <v>47</v>
      </c>
      <c r="E519" s="1" t="s">
        <v>22</v>
      </c>
      <c r="F519" s="1" t="s">
        <v>23</v>
      </c>
      <c r="G519" s="1" t="s">
        <v>12</v>
      </c>
      <c r="H519" s="1" t="s">
        <v>24</v>
      </c>
      <c r="I519" s="1" t="s">
        <v>24</v>
      </c>
      <c r="J519" s="1" t="s">
        <v>25</v>
      </c>
      <c r="K519" s="1" t="s">
        <v>25</v>
      </c>
      <c r="L519" s="1" t="s">
        <v>26</v>
      </c>
      <c r="M519" s="1" t="s">
        <v>25</v>
      </c>
      <c r="N519" s="1" t="s">
        <v>25</v>
      </c>
      <c r="O519" s="1" t="s">
        <v>25</v>
      </c>
      <c r="P519" s="1" t="s">
        <v>25</v>
      </c>
      <c r="Q519" s="1" t="s">
        <v>25</v>
      </c>
      <c r="R519" s="85" t="str">
        <f t="shared" si="32"/>
        <v>545907</v>
      </c>
      <c r="S519" t="str">
        <f>VLOOKUP(A519,Data_NV!$A:$C,3,0)</f>
        <v xml:space="preserve"> Hàng Minh Thư   </v>
      </c>
      <c r="T519" t="str">
        <f>VLOOKUP(A519,Data_NV!$A:$E,4,0)</f>
        <v>Kế toán - Văn phòng</v>
      </c>
      <c r="U519" s="82">
        <f>DATEVALUE(Table2[[#This Row],[Ngày]])</f>
        <v>45907</v>
      </c>
      <c r="V519" t="str">
        <f>VLOOKUP(A519,Data_NV!$A:$E,5,0)</f>
        <v>Đang làm việc</v>
      </c>
      <c r="W519" s="10">
        <f>VLOOKUP(A519,Data_NV!$A:$I,8,0)</f>
        <v>0.33333333333333331</v>
      </c>
      <c r="X519" s="10">
        <f>VLOOKUP(A519,Data_NV!$A:$I,9,0)</f>
        <v>0.70833333333333337</v>
      </c>
      <c r="Y519" s="10">
        <f>IFERROR(TIMEVALUE(Table2[[#This Row],[Vào]]),0)</f>
        <v>0</v>
      </c>
      <c r="Z519" s="10">
        <f>IFERROR(TIMEVALUE(Table2[[#This Row],[Ra]]),0)</f>
        <v>0</v>
      </c>
      <c r="AA519" t="str">
        <f t="shared" si="33"/>
        <v>Chủ nhật</v>
      </c>
      <c r="AB519" s="105">
        <f t="shared" si="34"/>
        <v>0</v>
      </c>
      <c r="AC519" s="12" t="str">
        <f>IF(VLOOKUP(A519,Data_NV!$A:$I,7,0)="Không","",IF(OR(AND(Y519=0,Z519=0),AND(Y519&lt;&gt;0,Z519&lt;&gt;0)),"","Quên chấm công"))</f>
        <v/>
      </c>
      <c r="AD519" s="12">
        <f>IF(VLOOKUP(A519,Data_NV!$A:$I,7,0)="Không",0,IF(AND(Y519=0,Z519=0),0,IF(X519&lt;=Z519,0,ROUNDDOWN((X519-Z519)*24*60,0))))</f>
        <v>0</v>
      </c>
      <c r="AE519" s="12">
        <f>IF(VLOOKUP(A519,Data_NV!$A:$I,6,0)="Không",0,IF(Z519&lt;=X519,0,ROUNDDOWN((Z519-X519)*24*60,0)))</f>
        <v>0</v>
      </c>
      <c r="AF519" s="26">
        <f t="shared" si="35"/>
        <v>0</v>
      </c>
      <c r="AG519" s="27" t="str">
        <f>IF(AC519="","",IF(COUNTIFS($AC$3:AC519,"Quên chấm công",$S$3:S519,S519)&gt;3,"Không chấm công do vi phạm quá 3 lần",IF(COUNTIFS($AC$3:AC519,"Quên chấm công",$S$3:S519,S519)&gt;2,"Trừ toàn bộ chuyên cần tháng do vi phạm lần 3",IF(COUNTIFS($AC$3:AC519,"Quên chấm công",$S$3:S519,S519)&gt;1,"Trừ 1/2 ngày lương",50000))))</f>
        <v/>
      </c>
      <c r="AH519" s="12" t="str">
        <f>IF(AF519=0,"",IF(COUNTIFS($AF$3:AF519,"&gt;0",$S$3:S519,S519)&gt;3,"Trừ toàn bộ chuyên cần tháng",""))</f>
        <v/>
      </c>
      <c r="AI519" s="12"/>
    </row>
    <row r="520" spans="1:35" x14ac:dyDescent="0.25">
      <c r="A520" s="4" t="s">
        <v>835</v>
      </c>
      <c r="B520" s="1" t="s">
        <v>836</v>
      </c>
      <c r="C520" s="1" t="s">
        <v>20</v>
      </c>
      <c r="D520" s="1" t="s">
        <v>48</v>
      </c>
      <c r="E520" s="1" t="s">
        <v>22</v>
      </c>
      <c r="F520" s="1" t="s">
        <v>23</v>
      </c>
      <c r="G520" s="1" t="s">
        <v>29</v>
      </c>
      <c r="H520" s="1" t="s">
        <v>763</v>
      </c>
      <c r="I520" s="1" t="s">
        <v>849</v>
      </c>
      <c r="J520" s="1" t="s">
        <v>25</v>
      </c>
      <c r="K520" s="1" t="s">
        <v>491</v>
      </c>
      <c r="L520" s="1" t="s">
        <v>25</v>
      </c>
      <c r="M520" s="1" t="s">
        <v>26</v>
      </c>
      <c r="N520" s="1" t="s">
        <v>25</v>
      </c>
      <c r="O520" s="1" t="s">
        <v>492</v>
      </c>
      <c r="P520" s="1" t="s">
        <v>25</v>
      </c>
      <c r="Q520" s="1" t="s">
        <v>25</v>
      </c>
      <c r="R520" s="85" t="str">
        <f t="shared" si="32"/>
        <v>545908</v>
      </c>
      <c r="S520" t="str">
        <f>VLOOKUP(A520,Data_NV!$A:$C,3,0)</f>
        <v xml:space="preserve"> Hàng Minh Thư   </v>
      </c>
      <c r="T520" t="str">
        <f>VLOOKUP(A520,Data_NV!$A:$E,4,0)</f>
        <v>Kế toán - Văn phòng</v>
      </c>
      <c r="U520" s="82">
        <f>DATEVALUE(Table2[[#This Row],[Ngày]])</f>
        <v>45908</v>
      </c>
      <c r="V520" t="str">
        <f>VLOOKUP(A520,Data_NV!$A:$E,5,0)</f>
        <v>Đang làm việc</v>
      </c>
      <c r="W520" s="10">
        <f>VLOOKUP(A520,Data_NV!$A:$I,8,0)</f>
        <v>0.33333333333333331</v>
      </c>
      <c r="X520" s="10">
        <f>VLOOKUP(A520,Data_NV!$A:$I,9,0)</f>
        <v>0.70833333333333337</v>
      </c>
      <c r="Y520" s="10">
        <f>IFERROR(TIMEVALUE(Table2[[#This Row],[Vào]]),0)</f>
        <v>0.32971064814814816</v>
      </c>
      <c r="Z520" s="10">
        <f>IFERROR(TIMEVALUE(Table2[[#This Row],[Ra]]),0)</f>
        <v>0.76702546296296292</v>
      </c>
      <c r="AA520" t="str">
        <f t="shared" si="33"/>
        <v>x</v>
      </c>
      <c r="AB520" s="105">
        <f t="shared" si="34"/>
        <v>0</v>
      </c>
      <c r="AC520" s="12" t="str">
        <f>IF(VLOOKUP(A520,Data_NV!$A:$I,7,0)="Không","",IF(OR(AND(Y520=0,Z520=0),AND(Y520&lt;&gt;0,Z520&lt;&gt;0)),"","Quên chấm công"))</f>
        <v/>
      </c>
      <c r="AD520" s="12">
        <f>IF(VLOOKUP(A520,Data_NV!$A:$I,7,0)="Không",0,IF(AND(Y520=0,Z520=0),0,IF(X520&lt;=Z520,0,ROUNDDOWN((X520-Z520)*24*60,0))))</f>
        <v>0</v>
      </c>
      <c r="AE520" s="12">
        <f>IF(VLOOKUP(A520,Data_NV!$A:$I,6,0)="Không",0,IF(Z520&lt;=X520,0,ROUNDDOWN((Z520-X520)*24*60,0)))</f>
        <v>84</v>
      </c>
      <c r="AF520" s="26">
        <f t="shared" si="35"/>
        <v>0</v>
      </c>
      <c r="AG520" s="27" t="str">
        <f>IF(AC520="","",IF(COUNTIFS($AC$3:AC520,"Quên chấm công",$S$3:S520,S520)&gt;3,"Không chấm công do vi phạm quá 3 lần",IF(COUNTIFS($AC$3:AC520,"Quên chấm công",$S$3:S520,S520)&gt;2,"Trừ toàn bộ chuyên cần tháng do vi phạm lần 3",IF(COUNTIFS($AC$3:AC520,"Quên chấm công",$S$3:S520,S520)&gt;1,"Trừ 1/2 ngày lương",50000))))</f>
        <v/>
      </c>
      <c r="AH520" s="12" t="str">
        <f>IF(AF520=0,"",IF(COUNTIFS($AF$3:AF520,"&gt;0",$S$3:S520,S520)&gt;3,"Trừ toàn bộ chuyên cần tháng",""))</f>
        <v/>
      </c>
      <c r="AI520" s="12"/>
    </row>
    <row r="521" spans="1:35" x14ac:dyDescent="0.25">
      <c r="A521" s="4" t="s">
        <v>835</v>
      </c>
      <c r="B521" s="1" t="s">
        <v>836</v>
      </c>
      <c r="C521" s="1" t="s">
        <v>20</v>
      </c>
      <c r="D521" s="1" t="s">
        <v>53</v>
      </c>
      <c r="E521" s="1" t="s">
        <v>22</v>
      </c>
      <c r="F521" s="1" t="s">
        <v>23</v>
      </c>
      <c r="G521" s="1" t="s">
        <v>29</v>
      </c>
      <c r="H521" s="1" t="s">
        <v>850</v>
      </c>
      <c r="I521" s="1" t="s">
        <v>851</v>
      </c>
      <c r="J521" s="1" t="s">
        <v>25</v>
      </c>
      <c r="K521" s="1" t="s">
        <v>310</v>
      </c>
      <c r="L521" s="1" t="s">
        <v>25</v>
      </c>
      <c r="M521" s="1" t="s">
        <v>26</v>
      </c>
      <c r="N521" s="1" t="s">
        <v>25</v>
      </c>
      <c r="O521" s="1" t="s">
        <v>311</v>
      </c>
      <c r="P521" s="1" t="s">
        <v>25</v>
      </c>
      <c r="Q521" s="1" t="s">
        <v>25</v>
      </c>
      <c r="R521" s="85" t="str">
        <f t="shared" si="32"/>
        <v>545909</v>
      </c>
      <c r="S521" t="str">
        <f>VLOOKUP(A521,Data_NV!$A:$C,3,0)</f>
        <v xml:space="preserve"> Hàng Minh Thư   </v>
      </c>
      <c r="T521" t="str">
        <f>VLOOKUP(A521,Data_NV!$A:$E,4,0)</f>
        <v>Kế toán - Văn phòng</v>
      </c>
      <c r="U521" s="82">
        <f>DATEVALUE(Table2[[#This Row],[Ngày]])</f>
        <v>45909</v>
      </c>
      <c r="V521" t="str">
        <f>VLOOKUP(A521,Data_NV!$A:$E,5,0)</f>
        <v>Đang làm việc</v>
      </c>
      <c r="W521" s="10">
        <f>VLOOKUP(A521,Data_NV!$A:$I,8,0)</f>
        <v>0.33333333333333331</v>
      </c>
      <c r="X521" s="10">
        <f>VLOOKUP(A521,Data_NV!$A:$I,9,0)</f>
        <v>0.70833333333333337</v>
      </c>
      <c r="Y521" s="10">
        <f>IFERROR(TIMEVALUE(Table2[[#This Row],[Vào]]),0)</f>
        <v>0.32777777777777778</v>
      </c>
      <c r="Z521" s="10">
        <f>IFERROR(TIMEVALUE(Table2[[#This Row],[Ra]]),0)</f>
        <v>0.76538194444444441</v>
      </c>
      <c r="AA521" t="str">
        <f t="shared" si="33"/>
        <v>x</v>
      </c>
      <c r="AB521" s="105">
        <f t="shared" si="34"/>
        <v>0</v>
      </c>
      <c r="AC521" s="12" t="str">
        <f>IF(VLOOKUP(A521,Data_NV!$A:$I,7,0)="Không","",IF(OR(AND(Y521=0,Z521=0),AND(Y521&lt;&gt;0,Z521&lt;&gt;0)),"","Quên chấm công"))</f>
        <v/>
      </c>
      <c r="AD521" s="12">
        <f>IF(VLOOKUP(A521,Data_NV!$A:$I,7,0)="Không",0,IF(AND(Y521=0,Z521=0),0,IF(X521&lt;=Z521,0,ROUNDDOWN((X521-Z521)*24*60,0))))</f>
        <v>0</v>
      </c>
      <c r="AE521" s="12">
        <f>IF(VLOOKUP(A521,Data_NV!$A:$I,6,0)="Không",0,IF(Z521&lt;=X521,0,ROUNDDOWN((Z521-X521)*24*60,0)))</f>
        <v>82</v>
      </c>
      <c r="AF521" s="26">
        <f t="shared" si="35"/>
        <v>0</v>
      </c>
      <c r="AG521" s="27" t="str">
        <f>IF(AC521="","",IF(COUNTIFS($AC$3:AC521,"Quên chấm công",$S$3:S521,S521)&gt;3,"Không chấm công do vi phạm quá 3 lần",IF(COUNTIFS($AC$3:AC521,"Quên chấm công",$S$3:S521,S521)&gt;2,"Trừ toàn bộ chuyên cần tháng do vi phạm lần 3",IF(COUNTIFS($AC$3:AC521,"Quên chấm công",$S$3:S521,S521)&gt;1,"Trừ 1/2 ngày lương",50000))))</f>
        <v/>
      </c>
      <c r="AH521" s="12" t="str">
        <f>IF(AF521=0,"",IF(COUNTIFS($AF$3:AF521,"&gt;0",$S$3:S521,S521)&gt;3,"Trừ toàn bộ chuyên cần tháng",""))</f>
        <v/>
      </c>
      <c r="AI521" s="12"/>
    </row>
    <row r="522" spans="1:35" x14ac:dyDescent="0.25">
      <c r="A522" s="4" t="s">
        <v>835</v>
      </c>
      <c r="B522" s="1" t="s">
        <v>836</v>
      </c>
      <c r="C522" s="1" t="s">
        <v>20</v>
      </c>
      <c r="D522" s="1" t="s">
        <v>58</v>
      </c>
      <c r="E522" s="1" t="s">
        <v>22</v>
      </c>
      <c r="F522" s="1" t="s">
        <v>23</v>
      </c>
      <c r="G522" s="1" t="s">
        <v>29</v>
      </c>
      <c r="H522" s="1" t="s">
        <v>386</v>
      </c>
      <c r="I522" s="1" t="s">
        <v>852</v>
      </c>
      <c r="J522" s="1" t="s">
        <v>25</v>
      </c>
      <c r="K522" s="1" t="s">
        <v>423</v>
      </c>
      <c r="L522" s="1" t="s">
        <v>25</v>
      </c>
      <c r="M522" s="1" t="s">
        <v>26</v>
      </c>
      <c r="N522" s="1" t="s">
        <v>25</v>
      </c>
      <c r="O522" s="1" t="s">
        <v>424</v>
      </c>
      <c r="P522" s="1" t="s">
        <v>25</v>
      </c>
      <c r="Q522" s="1" t="s">
        <v>25</v>
      </c>
      <c r="R522" s="85" t="str">
        <f t="shared" si="32"/>
        <v>545910</v>
      </c>
      <c r="S522" t="str">
        <f>VLOOKUP(A522,Data_NV!$A:$C,3,0)</f>
        <v xml:space="preserve"> Hàng Minh Thư   </v>
      </c>
      <c r="T522" t="str">
        <f>VLOOKUP(A522,Data_NV!$A:$E,4,0)</f>
        <v>Kế toán - Văn phòng</v>
      </c>
      <c r="U522" s="82">
        <f>DATEVALUE(Table2[[#This Row],[Ngày]])</f>
        <v>45910</v>
      </c>
      <c r="V522" t="str">
        <f>VLOOKUP(A522,Data_NV!$A:$E,5,0)</f>
        <v>Đang làm việc</v>
      </c>
      <c r="W522" s="10">
        <f>VLOOKUP(A522,Data_NV!$A:$I,8,0)</f>
        <v>0.33333333333333331</v>
      </c>
      <c r="X522" s="10">
        <f>VLOOKUP(A522,Data_NV!$A:$I,9,0)</f>
        <v>0.70833333333333337</v>
      </c>
      <c r="Y522" s="10">
        <f>IFERROR(TIMEVALUE(Table2[[#This Row],[Vào]]),0)</f>
        <v>0.33053240740740741</v>
      </c>
      <c r="Z522" s="10">
        <f>IFERROR(TIMEVALUE(Table2[[#This Row],[Ra]]),0)</f>
        <v>0.78866898148148146</v>
      </c>
      <c r="AA522" t="str">
        <f t="shared" si="33"/>
        <v>x</v>
      </c>
      <c r="AB522" s="105">
        <f t="shared" si="34"/>
        <v>0</v>
      </c>
      <c r="AC522" s="12" t="str">
        <f>IF(VLOOKUP(A522,Data_NV!$A:$I,7,0)="Không","",IF(OR(AND(Y522=0,Z522=0),AND(Y522&lt;&gt;0,Z522&lt;&gt;0)),"","Quên chấm công"))</f>
        <v/>
      </c>
      <c r="AD522" s="12">
        <f>IF(VLOOKUP(A522,Data_NV!$A:$I,7,0)="Không",0,IF(AND(Y522=0,Z522=0),0,IF(X522&lt;=Z522,0,ROUNDDOWN((X522-Z522)*24*60,0))))</f>
        <v>0</v>
      </c>
      <c r="AE522" s="12">
        <f>IF(VLOOKUP(A522,Data_NV!$A:$I,6,0)="Không",0,IF(Z522&lt;=X522,0,ROUNDDOWN((Z522-X522)*24*60,0)))</f>
        <v>115</v>
      </c>
      <c r="AF522" s="26">
        <f t="shared" si="35"/>
        <v>0</v>
      </c>
      <c r="AG522" s="27" t="str">
        <f>IF(AC522="","",IF(COUNTIFS($AC$3:AC522,"Quên chấm công",$S$3:S522,S522)&gt;3,"Không chấm công do vi phạm quá 3 lần",IF(COUNTIFS($AC$3:AC522,"Quên chấm công",$S$3:S522,S522)&gt;2,"Trừ toàn bộ chuyên cần tháng do vi phạm lần 3",IF(COUNTIFS($AC$3:AC522,"Quên chấm công",$S$3:S522,S522)&gt;1,"Trừ 1/2 ngày lương",50000))))</f>
        <v/>
      </c>
      <c r="AH522" s="12" t="str">
        <f>IF(AF522=0,"",IF(COUNTIFS($AF$3:AF522,"&gt;0",$S$3:S522,S522)&gt;3,"Trừ toàn bộ chuyên cần tháng",""))</f>
        <v/>
      </c>
      <c r="AI522" s="12"/>
    </row>
    <row r="523" spans="1:35" x14ac:dyDescent="0.25">
      <c r="A523" s="4" t="s">
        <v>835</v>
      </c>
      <c r="B523" s="1" t="s">
        <v>836</v>
      </c>
      <c r="C523" s="1" t="s">
        <v>20</v>
      </c>
      <c r="D523" s="1" t="s">
        <v>63</v>
      </c>
      <c r="E523" s="1" t="s">
        <v>22</v>
      </c>
      <c r="F523" s="1" t="s">
        <v>23</v>
      </c>
      <c r="G523" s="1" t="s">
        <v>29</v>
      </c>
      <c r="H523" s="1" t="s">
        <v>853</v>
      </c>
      <c r="I523" s="1" t="s">
        <v>854</v>
      </c>
      <c r="J523" s="1" t="s">
        <v>25</v>
      </c>
      <c r="K523" s="1" t="s">
        <v>369</v>
      </c>
      <c r="L523" s="1" t="s">
        <v>25</v>
      </c>
      <c r="M523" s="1" t="s">
        <v>26</v>
      </c>
      <c r="N523" s="1" t="s">
        <v>25</v>
      </c>
      <c r="O523" s="1" t="s">
        <v>316</v>
      </c>
      <c r="P523" s="1" t="s">
        <v>25</v>
      </c>
      <c r="Q523" s="1" t="s">
        <v>25</v>
      </c>
      <c r="R523" s="85" t="str">
        <f t="shared" si="32"/>
        <v>545911</v>
      </c>
      <c r="S523" t="str">
        <f>VLOOKUP(A523,Data_NV!$A:$C,3,0)</f>
        <v xml:space="preserve"> Hàng Minh Thư   </v>
      </c>
      <c r="T523" t="str">
        <f>VLOOKUP(A523,Data_NV!$A:$E,4,0)</f>
        <v>Kế toán - Văn phòng</v>
      </c>
      <c r="U523" s="82">
        <f>DATEVALUE(Table2[[#This Row],[Ngày]])</f>
        <v>45911</v>
      </c>
      <c r="V523" t="str">
        <f>VLOOKUP(A523,Data_NV!$A:$E,5,0)</f>
        <v>Đang làm việc</v>
      </c>
      <c r="W523" s="10">
        <f>VLOOKUP(A523,Data_NV!$A:$I,8,0)</f>
        <v>0.33333333333333331</v>
      </c>
      <c r="X523" s="10">
        <f>VLOOKUP(A523,Data_NV!$A:$I,9,0)</f>
        <v>0.70833333333333337</v>
      </c>
      <c r="Y523" s="10">
        <f>IFERROR(TIMEVALUE(Table2[[#This Row],[Vào]]),0)</f>
        <v>0.33134259259259258</v>
      </c>
      <c r="Z523" s="10">
        <f>IFERROR(TIMEVALUE(Table2[[#This Row],[Ra]]),0)</f>
        <v>0.78684027777777776</v>
      </c>
      <c r="AA523" t="str">
        <f t="shared" si="33"/>
        <v>x</v>
      </c>
      <c r="AB523" s="105">
        <f t="shared" si="34"/>
        <v>0</v>
      </c>
      <c r="AC523" s="12" t="str">
        <f>IF(VLOOKUP(A523,Data_NV!$A:$I,7,0)="Không","",IF(OR(AND(Y523=0,Z523=0),AND(Y523&lt;&gt;0,Z523&lt;&gt;0)),"","Quên chấm công"))</f>
        <v/>
      </c>
      <c r="AD523" s="12">
        <f>IF(VLOOKUP(A523,Data_NV!$A:$I,7,0)="Không",0,IF(AND(Y523=0,Z523=0),0,IF(X523&lt;=Z523,0,ROUNDDOWN((X523-Z523)*24*60,0))))</f>
        <v>0</v>
      </c>
      <c r="AE523" s="12">
        <f>IF(VLOOKUP(A523,Data_NV!$A:$I,6,0)="Không",0,IF(Z523&lt;=X523,0,ROUNDDOWN((Z523-X523)*24*60,0)))</f>
        <v>113</v>
      </c>
      <c r="AF523" s="26">
        <f t="shared" si="35"/>
        <v>0</v>
      </c>
      <c r="AG523" s="27" t="str">
        <f>IF(AC523="","",IF(COUNTIFS($AC$3:AC523,"Quên chấm công",$S$3:S523,S523)&gt;3,"Không chấm công do vi phạm quá 3 lần",IF(COUNTIFS($AC$3:AC523,"Quên chấm công",$S$3:S523,S523)&gt;2,"Trừ toàn bộ chuyên cần tháng do vi phạm lần 3",IF(COUNTIFS($AC$3:AC523,"Quên chấm công",$S$3:S523,S523)&gt;1,"Trừ 1/2 ngày lương",50000))))</f>
        <v/>
      </c>
      <c r="AH523" s="12" t="str">
        <f>IF(AF523=0,"",IF(COUNTIFS($AF$3:AF523,"&gt;0",$S$3:S523,S523)&gt;3,"Trừ toàn bộ chuyên cần tháng",""))</f>
        <v/>
      </c>
      <c r="AI523" s="12"/>
    </row>
    <row r="524" spans="1:35" x14ac:dyDescent="0.25">
      <c r="A524" s="4" t="s">
        <v>835</v>
      </c>
      <c r="B524" s="1" t="s">
        <v>836</v>
      </c>
      <c r="C524" s="1" t="s">
        <v>20</v>
      </c>
      <c r="D524" s="1" t="s">
        <v>67</v>
      </c>
      <c r="E524" s="1" t="s">
        <v>22</v>
      </c>
      <c r="F524" s="1" t="s">
        <v>23</v>
      </c>
      <c r="G524" s="1" t="s">
        <v>29</v>
      </c>
      <c r="H524" s="1" t="s">
        <v>855</v>
      </c>
      <c r="I524" s="1" t="s">
        <v>382</v>
      </c>
      <c r="J524" s="1" t="s">
        <v>25</v>
      </c>
      <c r="K524" s="1" t="s">
        <v>383</v>
      </c>
      <c r="L524" s="1" t="s">
        <v>25</v>
      </c>
      <c r="M524" s="1" t="s">
        <v>26</v>
      </c>
      <c r="N524" s="1" t="s">
        <v>25</v>
      </c>
      <c r="O524" s="1" t="s">
        <v>384</v>
      </c>
      <c r="P524" s="1" t="s">
        <v>25</v>
      </c>
      <c r="Q524" s="1" t="s">
        <v>25</v>
      </c>
      <c r="R524" s="85" t="str">
        <f t="shared" si="32"/>
        <v>545912</v>
      </c>
      <c r="S524" t="str">
        <f>VLOOKUP(A524,Data_NV!$A:$C,3,0)</f>
        <v xml:space="preserve"> Hàng Minh Thư   </v>
      </c>
      <c r="T524" t="str">
        <f>VLOOKUP(A524,Data_NV!$A:$E,4,0)</f>
        <v>Kế toán - Văn phòng</v>
      </c>
      <c r="U524" s="82">
        <f>DATEVALUE(Table2[[#This Row],[Ngày]])</f>
        <v>45912</v>
      </c>
      <c r="V524" t="str">
        <f>VLOOKUP(A524,Data_NV!$A:$E,5,0)</f>
        <v>Đang làm việc</v>
      </c>
      <c r="W524" s="10">
        <f>VLOOKUP(A524,Data_NV!$A:$I,8,0)</f>
        <v>0.33333333333333331</v>
      </c>
      <c r="X524" s="10">
        <f>VLOOKUP(A524,Data_NV!$A:$I,9,0)</f>
        <v>0.70833333333333337</v>
      </c>
      <c r="Y524" s="10">
        <f>IFERROR(TIMEVALUE(Table2[[#This Row],[Vào]]),0)</f>
        <v>0.33185185185185184</v>
      </c>
      <c r="Z524" s="10">
        <f>IFERROR(TIMEVALUE(Table2[[#This Row],[Ra]]),0)</f>
        <v>0.7557638888888889</v>
      </c>
      <c r="AA524" t="str">
        <f t="shared" si="33"/>
        <v>x</v>
      </c>
      <c r="AB524" s="105">
        <f t="shared" si="34"/>
        <v>0</v>
      </c>
      <c r="AC524" s="12" t="str">
        <f>IF(VLOOKUP(A524,Data_NV!$A:$I,7,0)="Không","",IF(OR(AND(Y524=0,Z524=0),AND(Y524&lt;&gt;0,Z524&lt;&gt;0)),"","Quên chấm công"))</f>
        <v/>
      </c>
      <c r="AD524" s="12">
        <f>IF(VLOOKUP(A524,Data_NV!$A:$I,7,0)="Không",0,IF(AND(Y524=0,Z524=0),0,IF(X524&lt;=Z524,0,ROUNDDOWN((X524-Z524)*24*60,0))))</f>
        <v>0</v>
      </c>
      <c r="AE524" s="12">
        <f>IF(VLOOKUP(A524,Data_NV!$A:$I,6,0)="Không",0,IF(Z524&lt;=X524,0,ROUNDDOWN((Z524-X524)*24*60,0)))</f>
        <v>68</v>
      </c>
      <c r="AF524" s="26">
        <f t="shared" si="35"/>
        <v>0</v>
      </c>
      <c r="AG524" s="27" t="str">
        <f>IF(AC524="","",IF(COUNTIFS($AC$3:AC524,"Quên chấm công",$S$3:S524,S524)&gt;3,"Không chấm công do vi phạm quá 3 lần",IF(COUNTIFS($AC$3:AC524,"Quên chấm công",$S$3:S524,S524)&gt;2,"Trừ toàn bộ chuyên cần tháng do vi phạm lần 3",IF(COUNTIFS($AC$3:AC524,"Quên chấm công",$S$3:S524,S524)&gt;1,"Trừ 1/2 ngày lương",50000))))</f>
        <v/>
      </c>
      <c r="AH524" s="12" t="str">
        <f>IF(AF524=0,"",IF(COUNTIFS($AF$3:AF524,"&gt;0",$S$3:S524,S524)&gt;3,"Trừ toàn bộ chuyên cần tháng",""))</f>
        <v/>
      </c>
      <c r="AI524" s="12"/>
    </row>
    <row r="525" spans="1:35" x14ac:dyDescent="0.25">
      <c r="A525" s="4" t="s">
        <v>835</v>
      </c>
      <c r="B525" s="1" t="s">
        <v>836</v>
      </c>
      <c r="C525" s="1" t="s">
        <v>20</v>
      </c>
      <c r="D525" s="1" t="s">
        <v>69</v>
      </c>
      <c r="E525" s="1" t="s">
        <v>22</v>
      </c>
      <c r="F525" s="1" t="s">
        <v>23</v>
      </c>
      <c r="G525" s="1" t="s">
        <v>29</v>
      </c>
      <c r="H525" s="1" t="s">
        <v>856</v>
      </c>
      <c r="I525" s="1" t="s">
        <v>857</v>
      </c>
      <c r="J525" s="1" t="s">
        <v>25</v>
      </c>
      <c r="K525" s="1" t="s">
        <v>264</v>
      </c>
      <c r="L525" s="1" t="s">
        <v>25</v>
      </c>
      <c r="M525" s="1" t="s">
        <v>26</v>
      </c>
      <c r="N525" s="1" t="s">
        <v>25</v>
      </c>
      <c r="O525" s="1" t="s">
        <v>265</v>
      </c>
      <c r="P525" s="1" t="s">
        <v>25</v>
      </c>
      <c r="Q525" s="1" t="s">
        <v>25</v>
      </c>
      <c r="R525" s="85" t="str">
        <f t="shared" si="32"/>
        <v>545913</v>
      </c>
      <c r="S525" t="str">
        <f>VLOOKUP(A525,Data_NV!$A:$C,3,0)</f>
        <v xml:space="preserve"> Hàng Minh Thư   </v>
      </c>
      <c r="T525" t="str">
        <f>VLOOKUP(A525,Data_NV!$A:$E,4,0)</f>
        <v>Kế toán - Văn phòng</v>
      </c>
      <c r="U525" s="82">
        <f>DATEVALUE(Table2[[#This Row],[Ngày]])</f>
        <v>45913</v>
      </c>
      <c r="V525" t="str">
        <f>VLOOKUP(A525,Data_NV!$A:$E,5,0)</f>
        <v>Đang làm việc</v>
      </c>
      <c r="W525" s="10">
        <f>VLOOKUP(A525,Data_NV!$A:$I,8,0)</f>
        <v>0.33333333333333331</v>
      </c>
      <c r="X525" s="10">
        <f>VLOOKUP(A525,Data_NV!$A:$I,9,0)</f>
        <v>0.70833333333333337</v>
      </c>
      <c r="Y525" s="10">
        <f>IFERROR(TIMEVALUE(Table2[[#This Row],[Vào]]),0)</f>
        <v>0.33119212962962963</v>
      </c>
      <c r="Z525" s="10">
        <f>IFERROR(TIMEVALUE(Table2[[#This Row],[Ra]]),0)</f>
        <v>0.73495370370370372</v>
      </c>
      <c r="AA525" t="str">
        <f t="shared" si="33"/>
        <v>x</v>
      </c>
      <c r="AB525" s="105">
        <f t="shared" si="34"/>
        <v>0</v>
      </c>
      <c r="AC525" s="12" t="str">
        <f>IF(VLOOKUP(A525,Data_NV!$A:$I,7,0)="Không","",IF(OR(AND(Y525=0,Z525=0),AND(Y525&lt;&gt;0,Z525&lt;&gt;0)),"","Quên chấm công"))</f>
        <v/>
      </c>
      <c r="AD525" s="12">
        <f>IF(VLOOKUP(A525,Data_NV!$A:$I,7,0)="Không",0,IF(AND(Y525=0,Z525=0),0,IF(X525&lt;=Z525,0,ROUNDDOWN((X525-Z525)*24*60,0))))</f>
        <v>0</v>
      </c>
      <c r="AE525" s="12">
        <f>IF(VLOOKUP(A525,Data_NV!$A:$I,6,0)="Không",0,IF(Z525&lt;=X525,0,ROUNDDOWN((Z525-X525)*24*60,0)))</f>
        <v>38</v>
      </c>
      <c r="AF525" s="26">
        <f t="shared" si="35"/>
        <v>0</v>
      </c>
      <c r="AG525" s="27" t="str">
        <f>IF(AC525="","",IF(COUNTIFS($AC$3:AC525,"Quên chấm công",$S$3:S525,S525)&gt;3,"Không chấm công do vi phạm quá 3 lần",IF(COUNTIFS($AC$3:AC525,"Quên chấm công",$S$3:S525,S525)&gt;2,"Trừ toàn bộ chuyên cần tháng do vi phạm lần 3",IF(COUNTIFS($AC$3:AC525,"Quên chấm công",$S$3:S525,S525)&gt;1,"Trừ 1/2 ngày lương",50000))))</f>
        <v/>
      </c>
      <c r="AH525" s="12" t="str">
        <f>IF(AF525=0,"",IF(COUNTIFS($AF$3:AF525,"&gt;0",$S$3:S525,S525)&gt;3,"Trừ toàn bộ chuyên cần tháng",""))</f>
        <v/>
      </c>
      <c r="AI525" s="12"/>
    </row>
    <row r="526" spans="1:35" x14ac:dyDescent="0.25">
      <c r="A526" s="4" t="s">
        <v>835</v>
      </c>
      <c r="B526" s="1" t="s">
        <v>836</v>
      </c>
      <c r="C526" s="1" t="s">
        <v>20</v>
      </c>
      <c r="D526" s="1" t="s">
        <v>74</v>
      </c>
      <c r="E526" s="1" t="s">
        <v>22</v>
      </c>
      <c r="F526" s="1" t="s">
        <v>23</v>
      </c>
      <c r="G526" s="1" t="s">
        <v>12</v>
      </c>
      <c r="H526" s="1" t="s">
        <v>24</v>
      </c>
      <c r="I526" s="1" t="s">
        <v>24</v>
      </c>
      <c r="J526" s="1" t="s">
        <v>25</v>
      </c>
      <c r="K526" s="1" t="s">
        <v>25</v>
      </c>
      <c r="L526" s="1" t="s">
        <v>26</v>
      </c>
      <c r="M526" s="1" t="s">
        <v>25</v>
      </c>
      <c r="N526" s="1" t="s">
        <v>25</v>
      </c>
      <c r="O526" s="1" t="s">
        <v>25</v>
      </c>
      <c r="P526" s="1" t="s">
        <v>25</v>
      </c>
      <c r="Q526" s="1" t="s">
        <v>25</v>
      </c>
      <c r="R526" s="85" t="str">
        <f t="shared" si="32"/>
        <v>545914</v>
      </c>
      <c r="S526" t="str">
        <f>VLOOKUP(A526,Data_NV!$A:$C,3,0)</f>
        <v xml:space="preserve"> Hàng Minh Thư   </v>
      </c>
      <c r="T526" t="str">
        <f>VLOOKUP(A526,Data_NV!$A:$E,4,0)</f>
        <v>Kế toán - Văn phòng</v>
      </c>
      <c r="U526" s="82">
        <f>DATEVALUE(Table2[[#This Row],[Ngày]])</f>
        <v>45914</v>
      </c>
      <c r="V526" t="str">
        <f>VLOOKUP(A526,Data_NV!$A:$E,5,0)</f>
        <v>Đang làm việc</v>
      </c>
      <c r="W526" s="10">
        <f>VLOOKUP(A526,Data_NV!$A:$I,8,0)</f>
        <v>0.33333333333333331</v>
      </c>
      <c r="X526" s="10">
        <f>VLOOKUP(A526,Data_NV!$A:$I,9,0)</f>
        <v>0.70833333333333337</v>
      </c>
      <c r="Y526" s="10">
        <f>IFERROR(TIMEVALUE(Table2[[#This Row],[Vào]]),0)</f>
        <v>0</v>
      </c>
      <c r="Z526" s="10">
        <f>IFERROR(TIMEVALUE(Table2[[#This Row],[Ra]]),0)</f>
        <v>0</v>
      </c>
      <c r="AA526" t="str">
        <f t="shared" si="33"/>
        <v>Chủ nhật</v>
      </c>
      <c r="AB526" s="105">
        <f t="shared" si="34"/>
        <v>0</v>
      </c>
      <c r="AC526" s="12" t="str">
        <f>IF(VLOOKUP(A526,Data_NV!$A:$I,7,0)="Không","",IF(OR(AND(Y526=0,Z526=0),AND(Y526&lt;&gt;0,Z526&lt;&gt;0)),"","Quên chấm công"))</f>
        <v/>
      </c>
      <c r="AD526" s="12">
        <f>IF(VLOOKUP(A526,Data_NV!$A:$I,7,0)="Không",0,IF(AND(Y526=0,Z526=0),0,IF(X526&lt;=Z526,0,ROUNDDOWN((X526-Z526)*24*60,0))))</f>
        <v>0</v>
      </c>
      <c r="AE526" s="12">
        <f>IF(VLOOKUP(A526,Data_NV!$A:$I,6,0)="Không",0,IF(Z526&lt;=X526,0,ROUNDDOWN((Z526-X526)*24*60,0)))</f>
        <v>0</v>
      </c>
      <c r="AF526" s="26">
        <f t="shared" si="35"/>
        <v>0</v>
      </c>
      <c r="AG526" s="27" t="str">
        <f>IF(AC526="","",IF(COUNTIFS($AC$3:AC526,"Quên chấm công",$S$3:S526,S526)&gt;3,"Không chấm công do vi phạm quá 3 lần",IF(COUNTIFS($AC$3:AC526,"Quên chấm công",$S$3:S526,S526)&gt;2,"Trừ toàn bộ chuyên cần tháng do vi phạm lần 3",IF(COUNTIFS($AC$3:AC526,"Quên chấm công",$S$3:S526,S526)&gt;1,"Trừ 1/2 ngày lương",50000))))</f>
        <v/>
      </c>
      <c r="AH526" s="12" t="str">
        <f>IF(AF526=0,"",IF(COUNTIFS($AF$3:AF526,"&gt;0",$S$3:S526,S526)&gt;3,"Trừ toàn bộ chuyên cần tháng",""))</f>
        <v/>
      </c>
      <c r="AI526" s="12"/>
    </row>
    <row r="527" spans="1:35" x14ac:dyDescent="0.25">
      <c r="A527" s="4" t="s">
        <v>835</v>
      </c>
      <c r="B527" s="1" t="s">
        <v>836</v>
      </c>
      <c r="C527" s="1" t="s">
        <v>20</v>
      </c>
      <c r="D527" s="1" t="s">
        <v>75</v>
      </c>
      <c r="E527" s="1" t="s">
        <v>22</v>
      </c>
      <c r="F527" s="1" t="s">
        <v>23</v>
      </c>
      <c r="G527" s="1" t="s">
        <v>29</v>
      </c>
      <c r="H527" s="1" t="s">
        <v>858</v>
      </c>
      <c r="I527" s="1" t="s">
        <v>859</v>
      </c>
      <c r="J527" s="1" t="s">
        <v>25</v>
      </c>
      <c r="K527" s="1" t="s">
        <v>860</v>
      </c>
      <c r="L527" s="1" t="s">
        <v>25</v>
      </c>
      <c r="M527" s="1" t="s">
        <v>26</v>
      </c>
      <c r="N527" s="1" t="s">
        <v>25</v>
      </c>
      <c r="O527" s="1" t="s">
        <v>861</v>
      </c>
      <c r="P527" s="1" t="s">
        <v>25</v>
      </c>
      <c r="Q527" s="1" t="s">
        <v>25</v>
      </c>
      <c r="R527" s="85" t="str">
        <f t="shared" si="32"/>
        <v>545915</v>
      </c>
      <c r="S527" t="str">
        <f>VLOOKUP(A527,Data_NV!$A:$C,3,0)</f>
        <v xml:space="preserve"> Hàng Minh Thư   </v>
      </c>
      <c r="T527" t="str">
        <f>VLOOKUP(A527,Data_NV!$A:$E,4,0)</f>
        <v>Kế toán - Văn phòng</v>
      </c>
      <c r="U527" s="82">
        <f>DATEVALUE(Table2[[#This Row],[Ngày]])</f>
        <v>45915</v>
      </c>
      <c r="V527" t="str">
        <f>VLOOKUP(A527,Data_NV!$A:$E,5,0)</f>
        <v>Đang làm việc</v>
      </c>
      <c r="W527" s="10">
        <f>VLOOKUP(A527,Data_NV!$A:$I,8,0)</f>
        <v>0.33333333333333331</v>
      </c>
      <c r="X527" s="10">
        <f>VLOOKUP(A527,Data_NV!$A:$I,9,0)</f>
        <v>0.70833333333333337</v>
      </c>
      <c r="Y527" s="10">
        <f>IFERROR(TIMEVALUE(Table2[[#This Row],[Vào]]),0)</f>
        <v>0.3309259259259259</v>
      </c>
      <c r="Z527" s="10">
        <f>IFERROR(TIMEVALUE(Table2[[#This Row],[Ra]]),0)</f>
        <v>0.77324074074074078</v>
      </c>
      <c r="AA527" t="str">
        <f t="shared" si="33"/>
        <v>x</v>
      </c>
      <c r="AB527" s="105">
        <f t="shared" si="34"/>
        <v>0</v>
      </c>
      <c r="AC527" s="12" t="str">
        <f>IF(VLOOKUP(A527,Data_NV!$A:$I,7,0)="Không","",IF(OR(AND(Y527=0,Z527=0),AND(Y527&lt;&gt;0,Z527&lt;&gt;0)),"","Quên chấm công"))</f>
        <v/>
      </c>
      <c r="AD527" s="12">
        <f>IF(VLOOKUP(A527,Data_NV!$A:$I,7,0)="Không",0,IF(AND(Y527=0,Z527=0),0,IF(X527&lt;=Z527,0,ROUNDDOWN((X527-Z527)*24*60,0))))</f>
        <v>0</v>
      </c>
      <c r="AE527" s="12">
        <f>IF(VLOOKUP(A527,Data_NV!$A:$I,6,0)="Không",0,IF(Z527&lt;=X527,0,ROUNDDOWN((Z527-X527)*24*60,0)))</f>
        <v>93</v>
      </c>
      <c r="AF527" s="26">
        <f t="shared" si="35"/>
        <v>0</v>
      </c>
      <c r="AG527" s="27" t="str">
        <f>IF(AC527="","",IF(COUNTIFS($AC$3:AC527,"Quên chấm công",$S$3:S527,S527)&gt;3,"Không chấm công do vi phạm quá 3 lần",IF(COUNTIFS($AC$3:AC527,"Quên chấm công",$S$3:S527,S527)&gt;2,"Trừ toàn bộ chuyên cần tháng do vi phạm lần 3",IF(COUNTIFS($AC$3:AC527,"Quên chấm công",$S$3:S527,S527)&gt;1,"Trừ 1/2 ngày lương",50000))))</f>
        <v/>
      </c>
      <c r="AH527" s="12" t="str">
        <f>IF(AF527=0,"",IF(COUNTIFS($AF$3:AF527,"&gt;0",$S$3:S527,S527)&gt;3,"Trừ toàn bộ chuyên cần tháng",""))</f>
        <v/>
      </c>
      <c r="AI527" s="12"/>
    </row>
    <row r="528" spans="1:35" x14ac:dyDescent="0.25">
      <c r="A528" s="4" t="s">
        <v>835</v>
      </c>
      <c r="B528" s="1" t="s">
        <v>836</v>
      </c>
      <c r="C528" s="1" t="s">
        <v>20</v>
      </c>
      <c r="D528" s="1" t="s">
        <v>80</v>
      </c>
      <c r="E528" s="1" t="s">
        <v>22</v>
      </c>
      <c r="F528" s="1" t="s">
        <v>23</v>
      </c>
      <c r="G528" s="1" t="s">
        <v>29</v>
      </c>
      <c r="H528" s="1" t="s">
        <v>862</v>
      </c>
      <c r="I528" s="1" t="s">
        <v>863</v>
      </c>
      <c r="J528" s="1" t="s">
        <v>25</v>
      </c>
      <c r="K528" s="1" t="s">
        <v>292</v>
      </c>
      <c r="L528" s="1" t="s">
        <v>25</v>
      </c>
      <c r="M528" s="1" t="s">
        <v>26</v>
      </c>
      <c r="N528" s="1" t="s">
        <v>25</v>
      </c>
      <c r="O528" s="1" t="s">
        <v>293</v>
      </c>
      <c r="P528" s="1" t="s">
        <v>25</v>
      </c>
      <c r="Q528" s="1" t="s">
        <v>25</v>
      </c>
      <c r="R528" s="85" t="str">
        <f t="shared" si="32"/>
        <v>545916</v>
      </c>
      <c r="S528" t="str">
        <f>VLOOKUP(A528,Data_NV!$A:$C,3,0)</f>
        <v xml:space="preserve"> Hàng Minh Thư   </v>
      </c>
      <c r="T528" t="str">
        <f>VLOOKUP(A528,Data_NV!$A:$E,4,0)</f>
        <v>Kế toán - Văn phòng</v>
      </c>
      <c r="U528" s="82">
        <f>DATEVALUE(Table2[[#This Row],[Ngày]])</f>
        <v>45916</v>
      </c>
      <c r="V528" t="str">
        <f>VLOOKUP(A528,Data_NV!$A:$E,5,0)</f>
        <v>Đang làm việc</v>
      </c>
      <c r="W528" s="10">
        <f>VLOOKUP(A528,Data_NV!$A:$I,8,0)</f>
        <v>0.33333333333333331</v>
      </c>
      <c r="X528" s="10">
        <f>VLOOKUP(A528,Data_NV!$A:$I,9,0)</f>
        <v>0.70833333333333337</v>
      </c>
      <c r="Y528" s="10">
        <f>IFERROR(TIMEVALUE(Table2[[#This Row],[Vào]]),0)</f>
        <v>0.33210648148148147</v>
      </c>
      <c r="Z528" s="10">
        <f>IFERROR(TIMEVALUE(Table2[[#This Row],[Ra]]),0)</f>
        <v>0.79023148148148148</v>
      </c>
      <c r="AA528" t="str">
        <f t="shared" si="33"/>
        <v>x</v>
      </c>
      <c r="AB528" s="105">
        <f t="shared" si="34"/>
        <v>0</v>
      </c>
      <c r="AC528" s="12" t="str">
        <f>IF(VLOOKUP(A528,Data_NV!$A:$I,7,0)="Không","",IF(OR(AND(Y528=0,Z528=0),AND(Y528&lt;&gt;0,Z528&lt;&gt;0)),"","Quên chấm công"))</f>
        <v/>
      </c>
      <c r="AD528" s="12">
        <f>IF(VLOOKUP(A528,Data_NV!$A:$I,7,0)="Không",0,IF(AND(Y528=0,Z528=0),0,IF(X528&lt;=Z528,0,ROUNDDOWN((X528-Z528)*24*60,0))))</f>
        <v>0</v>
      </c>
      <c r="AE528" s="12">
        <f>IF(VLOOKUP(A528,Data_NV!$A:$I,6,0)="Không",0,IF(Z528&lt;=X528,0,ROUNDDOWN((Z528-X528)*24*60,0)))</f>
        <v>117</v>
      </c>
      <c r="AF528" s="26">
        <f t="shared" si="35"/>
        <v>0</v>
      </c>
      <c r="AG528" s="27" t="str">
        <f>IF(AC528="","",IF(COUNTIFS($AC$3:AC528,"Quên chấm công",$S$3:S528,S528)&gt;3,"Không chấm công do vi phạm quá 3 lần",IF(COUNTIFS($AC$3:AC528,"Quên chấm công",$S$3:S528,S528)&gt;2,"Trừ toàn bộ chuyên cần tháng do vi phạm lần 3",IF(COUNTIFS($AC$3:AC528,"Quên chấm công",$S$3:S528,S528)&gt;1,"Trừ 1/2 ngày lương",50000))))</f>
        <v/>
      </c>
      <c r="AH528" s="12" t="str">
        <f>IF(AF528=0,"",IF(COUNTIFS($AF$3:AF528,"&gt;0",$S$3:S528,S528)&gt;3,"Trừ toàn bộ chuyên cần tháng",""))</f>
        <v/>
      </c>
      <c r="AI528" s="12"/>
    </row>
    <row r="529" spans="1:35" x14ac:dyDescent="0.25">
      <c r="A529" s="4" t="s">
        <v>835</v>
      </c>
      <c r="B529" s="1" t="s">
        <v>836</v>
      </c>
      <c r="C529" s="1" t="s">
        <v>20</v>
      </c>
      <c r="D529" s="1" t="s">
        <v>85</v>
      </c>
      <c r="E529" s="1" t="s">
        <v>22</v>
      </c>
      <c r="F529" s="1" t="s">
        <v>23</v>
      </c>
      <c r="G529" s="1" t="s">
        <v>29</v>
      </c>
      <c r="H529" s="1" t="s">
        <v>864</v>
      </c>
      <c r="I529" s="1" t="s">
        <v>865</v>
      </c>
      <c r="J529" s="1" t="s">
        <v>25</v>
      </c>
      <c r="K529" s="1" t="s">
        <v>114</v>
      </c>
      <c r="L529" s="1" t="s">
        <v>25</v>
      </c>
      <c r="M529" s="1" t="s">
        <v>26</v>
      </c>
      <c r="N529" s="1" t="s">
        <v>25</v>
      </c>
      <c r="O529" s="1" t="s">
        <v>115</v>
      </c>
      <c r="P529" s="1" t="s">
        <v>25</v>
      </c>
      <c r="Q529" s="1" t="s">
        <v>25</v>
      </c>
      <c r="R529" s="85" t="str">
        <f t="shared" si="32"/>
        <v>545917</v>
      </c>
      <c r="S529" t="str">
        <f>VLOOKUP(A529,Data_NV!$A:$C,3,0)</f>
        <v xml:space="preserve"> Hàng Minh Thư   </v>
      </c>
      <c r="T529" t="str">
        <f>VLOOKUP(A529,Data_NV!$A:$E,4,0)</f>
        <v>Kế toán - Văn phòng</v>
      </c>
      <c r="U529" s="82">
        <f>DATEVALUE(Table2[[#This Row],[Ngày]])</f>
        <v>45917</v>
      </c>
      <c r="V529" t="str">
        <f>VLOOKUP(A529,Data_NV!$A:$E,5,0)</f>
        <v>Đang làm việc</v>
      </c>
      <c r="W529" s="10">
        <f>VLOOKUP(A529,Data_NV!$A:$I,8,0)</f>
        <v>0.33333333333333331</v>
      </c>
      <c r="X529" s="10">
        <f>VLOOKUP(A529,Data_NV!$A:$I,9,0)</f>
        <v>0.70833333333333337</v>
      </c>
      <c r="Y529" s="10">
        <f>IFERROR(TIMEVALUE(Table2[[#This Row],[Vào]]),0)</f>
        <v>0.33201388888888889</v>
      </c>
      <c r="Z529" s="10">
        <f>IFERROR(TIMEVALUE(Table2[[#This Row],[Ra]]),0)</f>
        <v>0.77908564814814818</v>
      </c>
      <c r="AA529" t="str">
        <f t="shared" si="33"/>
        <v>x</v>
      </c>
      <c r="AB529" s="105">
        <f t="shared" si="34"/>
        <v>0</v>
      </c>
      <c r="AC529" s="12" t="str">
        <f>IF(VLOOKUP(A529,Data_NV!$A:$I,7,0)="Không","",IF(OR(AND(Y529=0,Z529=0),AND(Y529&lt;&gt;0,Z529&lt;&gt;0)),"","Quên chấm công"))</f>
        <v/>
      </c>
      <c r="AD529" s="12">
        <f>IF(VLOOKUP(A529,Data_NV!$A:$I,7,0)="Không",0,IF(AND(Y529=0,Z529=0),0,IF(X529&lt;=Z529,0,ROUNDDOWN((X529-Z529)*24*60,0))))</f>
        <v>0</v>
      </c>
      <c r="AE529" s="12">
        <f>IF(VLOOKUP(A529,Data_NV!$A:$I,6,0)="Không",0,IF(Z529&lt;=X529,0,ROUNDDOWN((Z529-X529)*24*60,0)))</f>
        <v>101</v>
      </c>
      <c r="AF529" s="26">
        <f t="shared" si="35"/>
        <v>0</v>
      </c>
      <c r="AG529" s="27" t="str">
        <f>IF(AC529="","",IF(COUNTIFS($AC$3:AC529,"Quên chấm công",$S$3:S529,S529)&gt;3,"Không chấm công do vi phạm quá 3 lần",IF(COUNTIFS($AC$3:AC529,"Quên chấm công",$S$3:S529,S529)&gt;2,"Trừ toàn bộ chuyên cần tháng do vi phạm lần 3",IF(COUNTIFS($AC$3:AC529,"Quên chấm công",$S$3:S529,S529)&gt;1,"Trừ 1/2 ngày lương",50000))))</f>
        <v/>
      </c>
      <c r="AH529" s="12" t="str">
        <f>IF(AF529=0,"",IF(COUNTIFS($AF$3:AF529,"&gt;0",$S$3:S529,S529)&gt;3,"Trừ toàn bộ chuyên cần tháng",""))</f>
        <v/>
      </c>
      <c r="AI529" s="12"/>
    </row>
    <row r="530" spans="1:35" x14ac:dyDescent="0.25">
      <c r="A530" s="4" t="s">
        <v>835</v>
      </c>
      <c r="B530" s="1" t="s">
        <v>836</v>
      </c>
      <c r="C530" s="1" t="s">
        <v>20</v>
      </c>
      <c r="D530" s="1" t="s">
        <v>90</v>
      </c>
      <c r="E530" s="1" t="s">
        <v>22</v>
      </c>
      <c r="F530" s="1" t="s">
        <v>23</v>
      </c>
      <c r="G530" s="1" t="s">
        <v>29</v>
      </c>
      <c r="H530" s="1" t="s">
        <v>866</v>
      </c>
      <c r="I530" s="1" t="s">
        <v>867</v>
      </c>
      <c r="J530" s="1" t="s">
        <v>25</v>
      </c>
      <c r="K530" s="1" t="s">
        <v>406</v>
      </c>
      <c r="L530" s="1" t="s">
        <v>25</v>
      </c>
      <c r="M530" s="1" t="s">
        <v>26</v>
      </c>
      <c r="N530" s="1" t="s">
        <v>25</v>
      </c>
      <c r="O530" s="1" t="s">
        <v>33</v>
      </c>
      <c r="P530" s="1" t="s">
        <v>407</v>
      </c>
      <c r="Q530" s="1" t="s">
        <v>25</v>
      </c>
      <c r="R530" s="85" t="str">
        <f t="shared" si="32"/>
        <v>545918</v>
      </c>
      <c r="S530" t="str">
        <f>VLOOKUP(A530,Data_NV!$A:$C,3,0)</f>
        <v xml:space="preserve"> Hàng Minh Thư   </v>
      </c>
      <c r="T530" t="str">
        <f>VLOOKUP(A530,Data_NV!$A:$E,4,0)</f>
        <v>Kế toán - Văn phòng</v>
      </c>
      <c r="U530" s="82">
        <f>DATEVALUE(Table2[[#This Row],[Ngày]])</f>
        <v>45918</v>
      </c>
      <c r="V530" t="str">
        <f>VLOOKUP(A530,Data_NV!$A:$E,5,0)</f>
        <v>Đang làm việc</v>
      </c>
      <c r="W530" s="10">
        <f>VLOOKUP(A530,Data_NV!$A:$I,8,0)</f>
        <v>0.33333333333333331</v>
      </c>
      <c r="X530" s="10">
        <f>VLOOKUP(A530,Data_NV!$A:$I,9,0)</f>
        <v>0.70833333333333337</v>
      </c>
      <c r="Y530" s="10">
        <f>IFERROR(TIMEVALUE(Table2[[#This Row],[Vào]]),0)</f>
        <v>0.33042824074074073</v>
      </c>
      <c r="Z530" s="10">
        <f>IFERROR(TIMEVALUE(Table2[[#This Row],[Ra]]),0)</f>
        <v>0.80457175925925928</v>
      </c>
      <c r="AA530" t="str">
        <f t="shared" si="33"/>
        <v>x</v>
      </c>
      <c r="AB530" s="105">
        <f t="shared" si="34"/>
        <v>0</v>
      </c>
      <c r="AC530" s="12" t="str">
        <f>IF(VLOOKUP(A530,Data_NV!$A:$I,7,0)="Không","",IF(OR(AND(Y530=0,Z530=0),AND(Y530&lt;&gt;0,Z530&lt;&gt;0)),"","Quên chấm công"))</f>
        <v/>
      </c>
      <c r="AD530" s="12">
        <f>IF(VLOOKUP(A530,Data_NV!$A:$I,7,0)="Không",0,IF(AND(Y530=0,Z530=0),0,IF(X530&lt;=Z530,0,ROUNDDOWN((X530-Z530)*24*60,0))))</f>
        <v>0</v>
      </c>
      <c r="AE530" s="12">
        <f>IF(VLOOKUP(A530,Data_NV!$A:$I,6,0)="Không",0,IF(Z530&lt;=X530,0,ROUNDDOWN((Z530-X530)*24*60,0)))</f>
        <v>138</v>
      </c>
      <c r="AF530" s="26">
        <f t="shared" si="35"/>
        <v>0</v>
      </c>
      <c r="AG530" s="27" t="str">
        <f>IF(AC530="","",IF(COUNTIFS($AC$3:AC530,"Quên chấm công",$S$3:S530,S530)&gt;3,"Không chấm công do vi phạm quá 3 lần",IF(COUNTIFS($AC$3:AC530,"Quên chấm công",$S$3:S530,S530)&gt;2,"Trừ toàn bộ chuyên cần tháng do vi phạm lần 3",IF(COUNTIFS($AC$3:AC530,"Quên chấm công",$S$3:S530,S530)&gt;1,"Trừ 1/2 ngày lương",50000))))</f>
        <v/>
      </c>
      <c r="AH530" s="12" t="str">
        <f>IF(AF530=0,"",IF(COUNTIFS($AF$3:AF530,"&gt;0",$S$3:S530,S530)&gt;3,"Trừ toàn bộ chuyên cần tháng",""))</f>
        <v/>
      </c>
      <c r="AI530" s="12"/>
    </row>
    <row r="531" spans="1:35" x14ac:dyDescent="0.25">
      <c r="A531" s="4" t="s">
        <v>835</v>
      </c>
      <c r="B531" s="1" t="s">
        <v>836</v>
      </c>
      <c r="C531" s="1" t="s">
        <v>20</v>
      </c>
      <c r="D531" s="1" t="s">
        <v>95</v>
      </c>
      <c r="E531" s="1" t="s">
        <v>22</v>
      </c>
      <c r="F531" s="1" t="s">
        <v>23</v>
      </c>
      <c r="G531" s="1" t="s">
        <v>29</v>
      </c>
      <c r="H531" s="1" t="s">
        <v>815</v>
      </c>
      <c r="I531" s="1" t="s">
        <v>868</v>
      </c>
      <c r="J531" s="1" t="s">
        <v>25</v>
      </c>
      <c r="K531" s="1" t="s">
        <v>869</v>
      </c>
      <c r="L531" s="1" t="s">
        <v>25</v>
      </c>
      <c r="M531" s="1" t="s">
        <v>26</v>
      </c>
      <c r="N531" s="1" t="s">
        <v>25</v>
      </c>
      <c r="O531" s="1" t="s">
        <v>870</v>
      </c>
      <c r="P531" s="1" t="s">
        <v>25</v>
      </c>
      <c r="Q531" s="1" t="s">
        <v>25</v>
      </c>
      <c r="R531" s="85" t="str">
        <f t="shared" si="32"/>
        <v>545919</v>
      </c>
      <c r="S531" t="str">
        <f>VLOOKUP(A531,Data_NV!$A:$C,3,0)</f>
        <v xml:space="preserve"> Hàng Minh Thư   </v>
      </c>
      <c r="T531" t="str">
        <f>VLOOKUP(A531,Data_NV!$A:$E,4,0)</f>
        <v>Kế toán - Văn phòng</v>
      </c>
      <c r="U531" s="82">
        <f>DATEVALUE(Table2[[#This Row],[Ngày]])</f>
        <v>45919</v>
      </c>
      <c r="V531" t="str">
        <f>VLOOKUP(A531,Data_NV!$A:$E,5,0)</f>
        <v>Đang làm việc</v>
      </c>
      <c r="W531" s="10">
        <f>VLOOKUP(A531,Data_NV!$A:$I,8,0)</f>
        <v>0.33333333333333331</v>
      </c>
      <c r="X531" s="10">
        <f>VLOOKUP(A531,Data_NV!$A:$I,9,0)</f>
        <v>0.70833333333333337</v>
      </c>
      <c r="Y531" s="10">
        <f>IFERROR(TIMEVALUE(Table2[[#This Row],[Vào]]),0)</f>
        <v>0.33028935185185188</v>
      </c>
      <c r="Z531" s="10">
        <f>IFERROR(TIMEVALUE(Table2[[#This Row],[Ra]]),0)</f>
        <v>0.78452546296296299</v>
      </c>
      <c r="AA531" t="str">
        <f t="shared" si="33"/>
        <v>x</v>
      </c>
      <c r="AB531" s="105">
        <f t="shared" si="34"/>
        <v>0</v>
      </c>
      <c r="AC531" s="12" t="str">
        <f>IF(VLOOKUP(A531,Data_NV!$A:$I,7,0)="Không","",IF(OR(AND(Y531=0,Z531=0),AND(Y531&lt;&gt;0,Z531&lt;&gt;0)),"","Quên chấm công"))</f>
        <v/>
      </c>
      <c r="AD531" s="12">
        <f>IF(VLOOKUP(A531,Data_NV!$A:$I,7,0)="Không",0,IF(AND(Y531=0,Z531=0),0,IF(X531&lt;=Z531,0,ROUNDDOWN((X531-Z531)*24*60,0))))</f>
        <v>0</v>
      </c>
      <c r="AE531" s="12">
        <f>IF(VLOOKUP(A531,Data_NV!$A:$I,6,0)="Không",0,IF(Z531&lt;=X531,0,ROUNDDOWN((Z531-X531)*24*60,0)))</f>
        <v>109</v>
      </c>
      <c r="AF531" s="26">
        <f t="shared" si="35"/>
        <v>0</v>
      </c>
      <c r="AG531" s="27" t="str">
        <f>IF(AC531="","",IF(COUNTIFS($AC$3:AC531,"Quên chấm công",$S$3:S531,S531)&gt;3,"Không chấm công do vi phạm quá 3 lần",IF(COUNTIFS($AC$3:AC531,"Quên chấm công",$S$3:S531,S531)&gt;2,"Trừ toàn bộ chuyên cần tháng do vi phạm lần 3",IF(COUNTIFS($AC$3:AC531,"Quên chấm công",$S$3:S531,S531)&gt;1,"Trừ 1/2 ngày lương",50000))))</f>
        <v/>
      </c>
      <c r="AH531" s="12" t="str">
        <f>IF(AF531=0,"",IF(COUNTIFS($AF$3:AF531,"&gt;0",$S$3:S531,S531)&gt;3,"Trừ toàn bộ chuyên cần tháng",""))</f>
        <v/>
      </c>
      <c r="AI531" s="12"/>
    </row>
    <row r="532" spans="1:35" x14ac:dyDescent="0.25">
      <c r="A532" s="4" t="s">
        <v>835</v>
      </c>
      <c r="B532" s="1" t="s">
        <v>836</v>
      </c>
      <c r="C532" s="1" t="s">
        <v>20</v>
      </c>
      <c r="D532" s="1" t="s">
        <v>100</v>
      </c>
      <c r="E532" s="1" t="s">
        <v>22</v>
      </c>
      <c r="F532" s="1" t="s">
        <v>23</v>
      </c>
      <c r="G532" s="1" t="s">
        <v>29</v>
      </c>
      <c r="H532" s="1" t="s">
        <v>871</v>
      </c>
      <c r="I532" s="1" t="s">
        <v>872</v>
      </c>
      <c r="J532" s="1" t="s">
        <v>25</v>
      </c>
      <c r="K532" s="1" t="s">
        <v>114</v>
      </c>
      <c r="L532" s="1" t="s">
        <v>25</v>
      </c>
      <c r="M532" s="1" t="s">
        <v>26</v>
      </c>
      <c r="N532" s="1" t="s">
        <v>25</v>
      </c>
      <c r="O532" s="1" t="s">
        <v>115</v>
      </c>
      <c r="P532" s="1" t="s">
        <v>25</v>
      </c>
      <c r="Q532" s="1" t="s">
        <v>25</v>
      </c>
      <c r="R532" s="85" t="str">
        <f t="shared" si="32"/>
        <v>545920</v>
      </c>
      <c r="S532" t="str">
        <f>VLOOKUP(A532,Data_NV!$A:$C,3,0)</f>
        <v xml:space="preserve"> Hàng Minh Thư   </v>
      </c>
      <c r="T532" t="str">
        <f>VLOOKUP(A532,Data_NV!$A:$E,4,0)</f>
        <v>Kế toán - Văn phòng</v>
      </c>
      <c r="U532" s="82">
        <f>DATEVALUE(Table2[[#This Row],[Ngày]])</f>
        <v>45920</v>
      </c>
      <c r="V532" t="str">
        <f>VLOOKUP(A532,Data_NV!$A:$E,5,0)</f>
        <v>Đang làm việc</v>
      </c>
      <c r="W532" s="10">
        <f>VLOOKUP(A532,Data_NV!$A:$I,8,0)</f>
        <v>0.33333333333333331</v>
      </c>
      <c r="X532" s="10">
        <f>VLOOKUP(A532,Data_NV!$A:$I,9,0)</f>
        <v>0.70833333333333337</v>
      </c>
      <c r="Y532" s="10">
        <f>IFERROR(TIMEVALUE(Table2[[#This Row],[Vào]]),0)</f>
        <v>0.33</v>
      </c>
      <c r="Z532" s="10">
        <f>IFERROR(TIMEVALUE(Table2[[#This Row],[Ra]]),0)</f>
        <v>0.77947916666666661</v>
      </c>
      <c r="AA532" t="str">
        <f t="shared" si="33"/>
        <v>x</v>
      </c>
      <c r="AB532" s="105">
        <f t="shared" si="34"/>
        <v>0</v>
      </c>
      <c r="AC532" s="12" t="str">
        <f>IF(VLOOKUP(A532,Data_NV!$A:$I,7,0)="Không","",IF(OR(AND(Y532=0,Z532=0),AND(Y532&lt;&gt;0,Z532&lt;&gt;0)),"","Quên chấm công"))</f>
        <v/>
      </c>
      <c r="AD532" s="12">
        <f>IF(VLOOKUP(A532,Data_NV!$A:$I,7,0)="Không",0,IF(AND(Y532=0,Z532=0),0,IF(X532&lt;=Z532,0,ROUNDDOWN((X532-Z532)*24*60,0))))</f>
        <v>0</v>
      </c>
      <c r="AE532" s="12">
        <f>IF(VLOOKUP(A532,Data_NV!$A:$I,6,0)="Không",0,IF(Z532&lt;=X532,0,ROUNDDOWN((Z532-X532)*24*60,0)))</f>
        <v>102</v>
      </c>
      <c r="AF532" s="26">
        <f t="shared" si="35"/>
        <v>0</v>
      </c>
      <c r="AG532" s="27" t="str">
        <f>IF(AC532="","",IF(COUNTIFS($AC$3:AC532,"Quên chấm công",$S$3:S532,S532)&gt;3,"Không chấm công do vi phạm quá 3 lần",IF(COUNTIFS($AC$3:AC532,"Quên chấm công",$S$3:S532,S532)&gt;2,"Trừ toàn bộ chuyên cần tháng do vi phạm lần 3",IF(COUNTIFS($AC$3:AC532,"Quên chấm công",$S$3:S532,S532)&gt;1,"Trừ 1/2 ngày lương",50000))))</f>
        <v/>
      </c>
      <c r="AH532" s="12" t="str">
        <f>IF(AF532=0,"",IF(COUNTIFS($AF$3:AF532,"&gt;0",$S$3:S532,S532)&gt;3,"Trừ toàn bộ chuyên cần tháng",""))</f>
        <v/>
      </c>
      <c r="AI532" s="12"/>
    </row>
    <row r="533" spans="1:35" x14ac:dyDescent="0.25">
      <c r="A533" s="4" t="s">
        <v>835</v>
      </c>
      <c r="B533" s="1" t="s">
        <v>836</v>
      </c>
      <c r="C533" s="1" t="s">
        <v>20</v>
      </c>
      <c r="D533" s="1" t="s">
        <v>105</v>
      </c>
      <c r="E533" s="1" t="s">
        <v>22</v>
      </c>
      <c r="F533" s="1" t="s">
        <v>23</v>
      </c>
      <c r="G533" s="1" t="s">
        <v>12</v>
      </c>
      <c r="H533" s="1" t="s">
        <v>24</v>
      </c>
      <c r="I533" s="1" t="s">
        <v>24</v>
      </c>
      <c r="J533" s="1" t="s">
        <v>25</v>
      </c>
      <c r="K533" s="1" t="s">
        <v>25</v>
      </c>
      <c r="L533" s="1" t="s">
        <v>26</v>
      </c>
      <c r="M533" s="1" t="s">
        <v>25</v>
      </c>
      <c r="N533" s="1" t="s">
        <v>25</v>
      </c>
      <c r="O533" s="1" t="s">
        <v>25</v>
      </c>
      <c r="P533" s="1" t="s">
        <v>25</v>
      </c>
      <c r="Q533" s="1" t="s">
        <v>25</v>
      </c>
      <c r="R533" s="85" t="str">
        <f t="shared" si="32"/>
        <v>545921</v>
      </c>
      <c r="S533" t="str">
        <f>VLOOKUP(A533,Data_NV!$A:$C,3,0)</f>
        <v xml:space="preserve"> Hàng Minh Thư   </v>
      </c>
      <c r="T533" t="str">
        <f>VLOOKUP(A533,Data_NV!$A:$E,4,0)</f>
        <v>Kế toán - Văn phòng</v>
      </c>
      <c r="U533" s="82">
        <f>DATEVALUE(Table2[[#This Row],[Ngày]])</f>
        <v>45921</v>
      </c>
      <c r="V533" t="str">
        <f>VLOOKUP(A533,Data_NV!$A:$E,5,0)</f>
        <v>Đang làm việc</v>
      </c>
      <c r="W533" s="10">
        <f>VLOOKUP(A533,Data_NV!$A:$I,8,0)</f>
        <v>0.33333333333333331</v>
      </c>
      <c r="X533" s="10">
        <f>VLOOKUP(A533,Data_NV!$A:$I,9,0)</f>
        <v>0.70833333333333337</v>
      </c>
      <c r="Y533" s="10">
        <f>IFERROR(TIMEVALUE(Table2[[#This Row],[Vào]]),0)</f>
        <v>0</v>
      </c>
      <c r="Z533" s="10">
        <f>IFERROR(TIMEVALUE(Table2[[#This Row],[Ra]]),0)</f>
        <v>0</v>
      </c>
      <c r="AA533" t="str">
        <f t="shared" si="33"/>
        <v>Chủ nhật</v>
      </c>
      <c r="AB533" s="105">
        <f t="shared" si="34"/>
        <v>0</v>
      </c>
      <c r="AC533" s="12" t="str">
        <f>IF(VLOOKUP(A533,Data_NV!$A:$I,7,0)="Không","",IF(OR(AND(Y533=0,Z533=0),AND(Y533&lt;&gt;0,Z533&lt;&gt;0)),"","Quên chấm công"))</f>
        <v/>
      </c>
      <c r="AD533" s="12">
        <f>IF(VLOOKUP(A533,Data_NV!$A:$I,7,0)="Không",0,IF(AND(Y533=0,Z533=0),0,IF(X533&lt;=Z533,0,ROUNDDOWN((X533-Z533)*24*60,0))))</f>
        <v>0</v>
      </c>
      <c r="AE533" s="12">
        <f>IF(VLOOKUP(A533,Data_NV!$A:$I,6,0)="Không",0,IF(Z533&lt;=X533,0,ROUNDDOWN((Z533-X533)*24*60,0)))</f>
        <v>0</v>
      </c>
      <c r="AF533" s="26">
        <f t="shared" si="35"/>
        <v>0</v>
      </c>
      <c r="AG533" s="27" t="str">
        <f>IF(AC533="","",IF(COUNTIFS($AC$3:AC533,"Quên chấm công",$S$3:S533,S533)&gt;3,"Không chấm công do vi phạm quá 3 lần",IF(COUNTIFS($AC$3:AC533,"Quên chấm công",$S$3:S533,S533)&gt;2,"Trừ toàn bộ chuyên cần tháng do vi phạm lần 3",IF(COUNTIFS($AC$3:AC533,"Quên chấm công",$S$3:S533,S533)&gt;1,"Trừ 1/2 ngày lương",50000))))</f>
        <v/>
      </c>
      <c r="AH533" s="12" t="str">
        <f>IF(AF533=0,"",IF(COUNTIFS($AF$3:AF533,"&gt;0",$S$3:S533,S533)&gt;3,"Trừ toàn bộ chuyên cần tháng",""))</f>
        <v/>
      </c>
      <c r="AI533" s="12"/>
    </row>
    <row r="534" spans="1:35" x14ac:dyDescent="0.25">
      <c r="A534" s="4" t="s">
        <v>835</v>
      </c>
      <c r="B534" s="1" t="s">
        <v>836</v>
      </c>
      <c r="C534" s="1" t="s">
        <v>20</v>
      </c>
      <c r="D534" s="1" t="s">
        <v>106</v>
      </c>
      <c r="E534" s="1" t="s">
        <v>22</v>
      </c>
      <c r="F534" s="1" t="s">
        <v>23</v>
      </c>
      <c r="G534" s="1" t="s">
        <v>29</v>
      </c>
      <c r="H534" s="1" t="s">
        <v>873</v>
      </c>
      <c r="I534" s="1" t="s">
        <v>874</v>
      </c>
      <c r="J534" s="1" t="s">
        <v>25</v>
      </c>
      <c r="K534" s="1" t="s">
        <v>500</v>
      </c>
      <c r="L534" s="1" t="s">
        <v>25</v>
      </c>
      <c r="M534" s="1" t="s">
        <v>26</v>
      </c>
      <c r="N534" s="1" t="s">
        <v>25</v>
      </c>
      <c r="O534" s="1" t="s">
        <v>438</v>
      </c>
      <c r="P534" s="1" t="s">
        <v>25</v>
      </c>
      <c r="Q534" s="1" t="s">
        <v>25</v>
      </c>
      <c r="R534" s="85" t="str">
        <f t="shared" si="32"/>
        <v>545922</v>
      </c>
      <c r="S534" t="str">
        <f>VLOOKUP(A534,Data_NV!$A:$C,3,0)</f>
        <v xml:space="preserve"> Hàng Minh Thư   </v>
      </c>
      <c r="T534" t="str">
        <f>VLOOKUP(A534,Data_NV!$A:$E,4,0)</f>
        <v>Kế toán - Văn phòng</v>
      </c>
      <c r="U534" s="82">
        <f>DATEVALUE(Table2[[#This Row],[Ngày]])</f>
        <v>45922</v>
      </c>
      <c r="V534" t="str">
        <f>VLOOKUP(A534,Data_NV!$A:$E,5,0)</f>
        <v>Đang làm việc</v>
      </c>
      <c r="W534" s="10">
        <f>VLOOKUP(A534,Data_NV!$A:$I,8,0)</f>
        <v>0.33333333333333331</v>
      </c>
      <c r="X534" s="10">
        <f>VLOOKUP(A534,Data_NV!$A:$I,9,0)</f>
        <v>0.70833333333333337</v>
      </c>
      <c r="Y534" s="10">
        <f>IFERROR(TIMEVALUE(Table2[[#This Row],[Vào]]),0)</f>
        <v>0.32642361111111112</v>
      </c>
      <c r="Z534" s="10">
        <f>IFERROR(TIMEVALUE(Table2[[#This Row],[Ra]]),0)</f>
        <v>0.77107638888888885</v>
      </c>
      <c r="AA534" t="str">
        <f t="shared" si="33"/>
        <v>x</v>
      </c>
      <c r="AB534" s="105">
        <f t="shared" si="34"/>
        <v>0</v>
      </c>
      <c r="AC534" s="12" t="str">
        <f>IF(VLOOKUP(A534,Data_NV!$A:$I,7,0)="Không","",IF(OR(AND(Y534=0,Z534=0),AND(Y534&lt;&gt;0,Z534&lt;&gt;0)),"","Quên chấm công"))</f>
        <v/>
      </c>
      <c r="AD534" s="12">
        <f>IF(VLOOKUP(A534,Data_NV!$A:$I,7,0)="Không",0,IF(AND(Y534=0,Z534=0),0,IF(X534&lt;=Z534,0,ROUNDDOWN((X534-Z534)*24*60,0))))</f>
        <v>0</v>
      </c>
      <c r="AE534" s="12">
        <f>IF(VLOOKUP(A534,Data_NV!$A:$I,6,0)="Không",0,IF(Z534&lt;=X534,0,ROUNDDOWN((Z534-X534)*24*60,0)))</f>
        <v>90</v>
      </c>
      <c r="AF534" s="26">
        <f t="shared" si="35"/>
        <v>0</v>
      </c>
      <c r="AG534" s="27" t="str">
        <f>IF(AC534="","",IF(COUNTIFS($AC$3:AC534,"Quên chấm công",$S$3:S534,S534)&gt;3,"Không chấm công do vi phạm quá 3 lần",IF(COUNTIFS($AC$3:AC534,"Quên chấm công",$S$3:S534,S534)&gt;2,"Trừ toàn bộ chuyên cần tháng do vi phạm lần 3",IF(COUNTIFS($AC$3:AC534,"Quên chấm công",$S$3:S534,S534)&gt;1,"Trừ 1/2 ngày lương",50000))))</f>
        <v/>
      </c>
      <c r="AH534" s="12" t="str">
        <f>IF(AF534=0,"",IF(COUNTIFS($AF$3:AF534,"&gt;0",$S$3:S534,S534)&gt;3,"Trừ toàn bộ chuyên cần tháng",""))</f>
        <v/>
      </c>
      <c r="AI534" s="12"/>
    </row>
    <row r="535" spans="1:35" x14ac:dyDescent="0.25">
      <c r="A535" s="4" t="s">
        <v>835</v>
      </c>
      <c r="B535" s="1" t="s">
        <v>836</v>
      </c>
      <c r="C535" s="1" t="s">
        <v>20</v>
      </c>
      <c r="D535" s="1" t="s">
        <v>111</v>
      </c>
      <c r="E535" s="1" t="s">
        <v>22</v>
      </c>
      <c r="F535" s="1" t="s">
        <v>23</v>
      </c>
      <c r="G535" s="1" t="s">
        <v>12</v>
      </c>
      <c r="H535" s="1" t="s">
        <v>24</v>
      </c>
      <c r="I535" s="1" t="s">
        <v>24</v>
      </c>
      <c r="J535" s="1" t="s">
        <v>25</v>
      </c>
      <c r="K535" s="1" t="s">
        <v>25</v>
      </c>
      <c r="L535" s="1" t="s">
        <v>26</v>
      </c>
      <c r="M535" s="1" t="s">
        <v>25</v>
      </c>
      <c r="N535" s="1" t="s">
        <v>25</v>
      </c>
      <c r="O535" s="1" t="s">
        <v>25</v>
      </c>
      <c r="P535" s="1" t="s">
        <v>25</v>
      </c>
      <c r="Q535" s="1" t="s">
        <v>25</v>
      </c>
      <c r="R535" s="85" t="str">
        <f t="shared" si="32"/>
        <v>545923</v>
      </c>
      <c r="S535" t="str">
        <f>VLOOKUP(A535,Data_NV!$A:$C,3,0)</f>
        <v xml:space="preserve"> Hàng Minh Thư   </v>
      </c>
      <c r="T535" t="str">
        <f>VLOOKUP(A535,Data_NV!$A:$E,4,0)</f>
        <v>Kế toán - Văn phòng</v>
      </c>
      <c r="U535" s="82">
        <f>DATEVALUE(Table2[[#This Row],[Ngày]])</f>
        <v>45923</v>
      </c>
      <c r="V535" t="str">
        <f>VLOOKUP(A535,Data_NV!$A:$E,5,0)</f>
        <v>Đang làm việc</v>
      </c>
      <c r="W535" s="10">
        <f>VLOOKUP(A535,Data_NV!$A:$I,8,0)</f>
        <v>0.33333333333333331</v>
      </c>
      <c r="X535" s="10">
        <f>VLOOKUP(A535,Data_NV!$A:$I,9,0)</f>
        <v>0.70833333333333337</v>
      </c>
      <c r="Y535" s="10">
        <f>IFERROR(TIMEVALUE(Table2[[#This Row],[Vào]]),0)</f>
        <v>0</v>
      </c>
      <c r="Z535" s="10">
        <f>IFERROR(TIMEVALUE(Table2[[#This Row],[Ra]]),0)</f>
        <v>0</v>
      </c>
      <c r="AA535" t="s">
        <v>1347</v>
      </c>
      <c r="AB535" s="105">
        <f t="shared" si="34"/>
        <v>0</v>
      </c>
      <c r="AC535" s="12" t="str">
        <f>IF(VLOOKUP(A535,Data_NV!$A:$I,7,0)="Không","",IF(OR(AND(Y535=0,Z535=0),AND(Y535&lt;&gt;0,Z535&lt;&gt;0)),"","Quên chấm công"))</f>
        <v/>
      </c>
      <c r="AD535" s="12">
        <f>IF(VLOOKUP(A535,Data_NV!$A:$I,7,0)="Không",0,IF(AND(Y535=0,Z535=0),0,IF(X535&lt;=Z535,0,ROUNDDOWN((X535-Z535)*24*60,0))))</f>
        <v>0</v>
      </c>
      <c r="AE535" s="12">
        <f>IF(VLOOKUP(A535,Data_NV!$A:$I,6,0)="Không",0,IF(Z535&lt;=X535,0,ROUNDDOWN((Z535-X535)*24*60,0)))</f>
        <v>0</v>
      </c>
      <c r="AF535" s="26">
        <f t="shared" si="35"/>
        <v>0</v>
      </c>
      <c r="AG535" s="27" t="str">
        <f>IF(AC535="","",IF(COUNTIFS($AC$3:AC535,"Quên chấm công",$S$3:S535,S535)&gt;3,"Không chấm công do vi phạm quá 3 lần",IF(COUNTIFS($AC$3:AC535,"Quên chấm công",$S$3:S535,S535)&gt;2,"Trừ toàn bộ chuyên cần tháng do vi phạm lần 3",IF(COUNTIFS($AC$3:AC535,"Quên chấm công",$S$3:S535,S535)&gt;1,"Trừ 1/2 ngày lương",50000))))</f>
        <v/>
      </c>
      <c r="AH535" s="12" t="str">
        <f>IF(AF535=0,"",IF(COUNTIFS($AF$3:AF535,"&gt;0",$S$3:S535,S535)&gt;3,"Trừ toàn bộ chuyên cần tháng",""))</f>
        <v/>
      </c>
      <c r="AI535" s="12" t="s">
        <v>1371</v>
      </c>
    </row>
    <row r="536" spans="1:35" x14ac:dyDescent="0.25">
      <c r="A536" s="4" t="s">
        <v>835</v>
      </c>
      <c r="B536" s="1" t="s">
        <v>836</v>
      </c>
      <c r="C536" s="1" t="s">
        <v>20</v>
      </c>
      <c r="D536" s="1" t="s">
        <v>116</v>
      </c>
      <c r="E536" s="1" t="s">
        <v>22</v>
      </c>
      <c r="F536" s="1" t="s">
        <v>23</v>
      </c>
      <c r="G536" s="1" t="s">
        <v>12</v>
      </c>
      <c r="H536" s="1" t="s">
        <v>24</v>
      </c>
      <c r="I536" s="1" t="s">
        <v>24</v>
      </c>
      <c r="J536" s="1" t="s">
        <v>25</v>
      </c>
      <c r="K536" s="1" t="s">
        <v>25</v>
      </c>
      <c r="L536" s="1" t="s">
        <v>26</v>
      </c>
      <c r="M536" s="1" t="s">
        <v>25</v>
      </c>
      <c r="N536" s="1" t="s">
        <v>25</v>
      </c>
      <c r="O536" s="1" t="s">
        <v>25</v>
      </c>
      <c r="P536" s="1" t="s">
        <v>25</v>
      </c>
      <c r="Q536" s="1" t="s">
        <v>25</v>
      </c>
      <c r="R536" s="85" t="str">
        <f t="shared" si="32"/>
        <v>545924</v>
      </c>
      <c r="S536" t="str">
        <f>VLOOKUP(A536,Data_NV!$A:$C,3,0)</f>
        <v xml:space="preserve"> Hàng Minh Thư   </v>
      </c>
      <c r="T536" t="str">
        <f>VLOOKUP(A536,Data_NV!$A:$E,4,0)</f>
        <v>Kế toán - Văn phòng</v>
      </c>
      <c r="U536" s="82">
        <f>DATEVALUE(Table2[[#This Row],[Ngày]])</f>
        <v>45924</v>
      </c>
      <c r="V536" t="str">
        <f>VLOOKUP(A536,Data_NV!$A:$E,5,0)</f>
        <v>Đang làm việc</v>
      </c>
      <c r="W536" s="10">
        <f>VLOOKUP(A536,Data_NV!$A:$I,8,0)</f>
        <v>0.33333333333333331</v>
      </c>
      <c r="X536" s="10">
        <f>VLOOKUP(A536,Data_NV!$A:$I,9,0)</f>
        <v>0.70833333333333337</v>
      </c>
      <c r="Y536" s="10">
        <f>IFERROR(TIMEVALUE(Table2[[#This Row],[Vào]]),0)</f>
        <v>0</v>
      </c>
      <c r="Z536" s="10">
        <f>IFERROR(TIMEVALUE(Table2[[#This Row],[Ra]]),0)</f>
        <v>0</v>
      </c>
      <c r="AB536" s="105">
        <f t="shared" si="34"/>
        <v>0</v>
      </c>
      <c r="AC536" s="12" t="str">
        <f>IF(VLOOKUP(A536,Data_NV!$A:$I,7,0)="Không","",IF(OR(AND(Y536=0,Z536=0),AND(Y536&lt;&gt;0,Z536&lt;&gt;0)),"","Quên chấm công"))</f>
        <v/>
      </c>
      <c r="AD536" s="12">
        <f>IF(VLOOKUP(A536,Data_NV!$A:$I,7,0)="Không",0,IF(AND(Y536=0,Z536=0),0,IF(X536&lt;=Z536,0,ROUNDDOWN((X536-Z536)*24*60,0))))</f>
        <v>0</v>
      </c>
      <c r="AE536" s="12">
        <f>IF(VLOOKUP(A536,Data_NV!$A:$I,6,0)="Không",0,IF(Z536&lt;=X536,0,ROUNDDOWN((Z536-X536)*24*60,0)))</f>
        <v>0</v>
      </c>
      <c r="AF536" s="26">
        <f t="shared" si="35"/>
        <v>0</v>
      </c>
      <c r="AG536" s="27" t="str">
        <f>IF(AC536="","",IF(COUNTIFS($AC$3:AC536,"Quên chấm công",$S$3:S536,S536)&gt;3,"Không chấm công do vi phạm quá 3 lần",IF(COUNTIFS($AC$3:AC536,"Quên chấm công",$S$3:S536,S536)&gt;2,"Trừ toàn bộ chuyên cần tháng do vi phạm lần 3",IF(COUNTIFS($AC$3:AC536,"Quên chấm công",$S$3:S536,S536)&gt;1,"Trừ 1/2 ngày lương",50000))))</f>
        <v/>
      </c>
      <c r="AH536" s="12" t="str">
        <f>IF(AF536=0,"",IF(COUNTIFS($AF$3:AF536,"&gt;0",$S$3:S536,S536)&gt;3,"Trừ toàn bộ chuyên cần tháng",""))</f>
        <v/>
      </c>
      <c r="AI536" s="12" t="s">
        <v>1408</v>
      </c>
    </row>
    <row r="537" spans="1:35" x14ac:dyDescent="0.25">
      <c r="A537" s="4" t="s">
        <v>835</v>
      </c>
      <c r="B537" s="1" t="s">
        <v>836</v>
      </c>
      <c r="C537" s="1" t="s">
        <v>20</v>
      </c>
      <c r="D537" s="1" t="s">
        <v>121</v>
      </c>
      <c r="E537" s="1" t="s">
        <v>22</v>
      </c>
      <c r="F537" s="1" t="s">
        <v>23</v>
      </c>
      <c r="G537" s="1" t="s">
        <v>29</v>
      </c>
      <c r="H537" s="1" t="s">
        <v>875</v>
      </c>
      <c r="I537" s="1" t="s">
        <v>876</v>
      </c>
      <c r="J537" s="1" t="s">
        <v>25</v>
      </c>
      <c r="K537" s="1" t="s">
        <v>877</v>
      </c>
      <c r="L537" s="1" t="s">
        <v>25</v>
      </c>
      <c r="M537" s="1" t="s">
        <v>26</v>
      </c>
      <c r="N537" s="1" t="s">
        <v>25</v>
      </c>
      <c r="O537" s="1" t="s">
        <v>33</v>
      </c>
      <c r="P537" s="1" t="s">
        <v>251</v>
      </c>
      <c r="Q537" s="1" t="s">
        <v>25</v>
      </c>
      <c r="R537" s="85" t="str">
        <f t="shared" si="32"/>
        <v>545925</v>
      </c>
      <c r="S537" t="str">
        <f>VLOOKUP(A537,Data_NV!$A:$C,3,0)</f>
        <v xml:space="preserve"> Hàng Minh Thư   </v>
      </c>
      <c r="T537" t="str">
        <f>VLOOKUP(A537,Data_NV!$A:$E,4,0)</f>
        <v>Kế toán - Văn phòng</v>
      </c>
      <c r="U537" s="82">
        <f>DATEVALUE(Table2[[#This Row],[Ngày]])</f>
        <v>45925</v>
      </c>
      <c r="V537" t="str">
        <f>VLOOKUP(A537,Data_NV!$A:$E,5,0)</f>
        <v>Đang làm việc</v>
      </c>
      <c r="W537" s="10">
        <f>VLOOKUP(A537,Data_NV!$A:$I,8,0)</f>
        <v>0.33333333333333331</v>
      </c>
      <c r="X537" s="10">
        <f>VLOOKUP(A537,Data_NV!$A:$I,9,0)</f>
        <v>0.70833333333333337</v>
      </c>
      <c r="Y537" s="10">
        <f>IFERROR(TIMEVALUE(Table2[[#This Row],[Vào]]),0)</f>
        <v>0.33034722222222224</v>
      </c>
      <c r="Z537" s="10">
        <f>IFERROR(TIMEVALUE(Table2[[#This Row],[Ra]]),0)</f>
        <v>0.79290509259259256</v>
      </c>
      <c r="AA537" t="str">
        <f t="shared" si="33"/>
        <v>x</v>
      </c>
      <c r="AB537" s="105">
        <f t="shared" si="34"/>
        <v>0</v>
      </c>
      <c r="AC537" s="12" t="str">
        <f>IF(VLOOKUP(A537,Data_NV!$A:$I,7,0)="Không","",IF(OR(AND(Y537=0,Z537=0),AND(Y537&lt;&gt;0,Z537&lt;&gt;0)),"","Quên chấm công"))</f>
        <v/>
      </c>
      <c r="AD537" s="12">
        <f>IF(VLOOKUP(A537,Data_NV!$A:$I,7,0)="Không",0,IF(AND(Y537=0,Z537=0),0,IF(X537&lt;=Z537,0,ROUNDDOWN((X537-Z537)*24*60,0))))</f>
        <v>0</v>
      </c>
      <c r="AE537" s="12">
        <f>IF(VLOOKUP(A537,Data_NV!$A:$I,6,0)="Không",0,IF(Z537&lt;=X537,0,ROUNDDOWN((Z537-X537)*24*60,0)))</f>
        <v>121</v>
      </c>
      <c r="AF537" s="26">
        <f t="shared" si="35"/>
        <v>0</v>
      </c>
      <c r="AG537" s="27" t="str">
        <f>IF(AC537="","",IF(COUNTIFS($AC$3:AC537,"Quên chấm công",$S$3:S537,S537)&gt;3,"Không chấm công do vi phạm quá 3 lần",IF(COUNTIFS($AC$3:AC537,"Quên chấm công",$S$3:S537,S537)&gt;2,"Trừ toàn bộ chuyên cần tháng do vi phạm lần 3",IF(COUNTIFS($AC$3:AC537,"Quên chấm công",$S$3:S537,S537)&gt;1,"Trừ 1/2 ngày lương",50000))))</f>
        <v/>
      </c>
      <c r="AH537" s="12" t="str">
        <f>IF(AF537=0,"",IF(COUNTIFS($AF$3:AF537,"&gt;0",$S$3:S537,S537)&gt;3,"Trừ toàn bộ chuyên cần tháng",""))</f>
        <v/>
      </c>
      <c r="AI537" s="12"/>
    </row>
    <row r="538" spans="1:35" x14ac:dyDescent="0.25">
      <c r="A538" s="4" t="s">
        <v>835</v>
      </c>
      <c r="B538" s="1" t="s">
        <v>836</v>
      </c>
      <c r="C538" s="1" t="s">
        <v>20</v>
      </c>
      <c r="D538" s="1" t="s">
        <v>123</v>
      </c>
      <c r="E538" s="1" t="s">
        <v>22</v>
      </c>
      <c r="F538" s="1" t="s">
        <v>23</v>
      </c>
      <c r="G538" s="1" t="s">
        <v>29</v>
      </c>
      <c r="H538" s="1" t="s">
        <v>878</v>
      </c>
      <c r="I538" s="1" t="s">
        <v>879</v>
      </c>
      <c r="J538" s="1" t="s">
        <v>25</v>
      </c>
      <c r="K538" s="1" t="s">
        <v>880</v>
      </c>
      <c r="L538" s="1" t="s">
        <v>25</v>
      </c>
      <c r="M538" s="1" t="s">
        <v>26</v>
      </c>
      <c r="N538" s="1" t="s">
        <v>25</v>
      </c>
      <c r="O538" s="1" t="s">
        <v>33</v>
      </c>
      <c r="P538" s="1" t="s">
        <v>881</v>
      </c>
      <c r="Q538" s="1" t="s">
        <v>25</v>
      </c>
      <c r="R538" s="85" t="str">
        <f t="shared" si="32"/>
        <v>545926</v>
      </c>
      <c r="S538" t="str">
        <f>VLOOKUP(A538,Data_NV!$A:$C,3,0)</f>
        <v xml:space="preserve"> Hàng Minh Thư   </v>
      </c>
      <c r="T538" t="str">
        <f>VLOOKUP(A538,Data_NV!$A:$E,4,0)</f>
        <v>Kế toán - Văn phòng</v>
      </c>
      <c r="U538" s="82">
        <f>DATEVALUE(Table2[[#This Row],[Ngày]])</f>
        <v>45926</v>
      </c>
      <c r="V538" t="str">
        <f>VLOOKUP(A538,Data_NV!$A:$E,5,0)</f>
        <v>Đang làm việc</v>
      </c>
      <c r="W538" s="10">
        <f>VLOOKUP(A538,Data_NV!$A:$I,8,0)</f>
        <v>0.33333333333333331</v>
      </c>
      <c r="X538" s="10">
        <f>VLOOKUP(A538,Data_NV!$A:$I,9,0)</f>
        <v>0.70833333333333337</v>
      </c>
      <c r="Y538" s="10">
        <f>IFERROR(TIMEVALUE(Table2[[#This Row],[Vào]]),0)</f>
        <v>0.33045138888888886</v>
      </c>
      <c r="Z538" s="10">
        <f>IFERROR(TIMEVALUE(Table2[[#This Row],[Ra]]),0)</f>
        <v>0.79797453703703702</v>
      </c>
      <c r="AA538" t="str">
        <f t="shared" si="33"/>
        <v>x</v>
      </c>
      <c r="AB538" s="105">
        <f t="shared" si="34"/>
        <v>0</v>
      </c>
      <c r="AC538" s="12" t="str">
        <f>IF(VLOOKUP(A538,Data_NV!$A:$I,7,0)="Không","",IF(OR(AND(Y538=0,Z538=0),AND(Y538&lt;&gt;0,Z538&lt;&gt;0)),"","Quên chấm công"))</f>
        <v/>
      </c>
      <c r="AD538" s="12">
        <f>IF(VLOOKUP(A538,Data_NV!$A:$I,7,0)="Không",0,IF(AND(Y538=0,Z538=0),0,IF(X538&lt;=Z538,0,ROUNDDOWN((X538-Z538)*24*60,0))))</f>
        <v>0</v>
      </c>
      <c r="AE538" s="12">
        <f>IF(VLOOKUP(A538,Data_NV!$A:$I,6,0)="Không",0,IF(Z538&lt;=X538,0,ROUNDDOWN((Z538-X538)*24*60,0)))</f>
        <v>129</v>
      </c>
      <c r="AF538" s="26">
        <f t="shared" si="35"/>
        <v>0</v>
      </c>
      <c r="AG538" s="27" t="str">
        <f>IF(AC538="","",IF(COUNTIFS($AC$3:AC538,"Quên chấm công",$S$3:S538,S538)&gt;3,"Không chấm công do vi phạm quá 3 lần",IF(COUNTIFS($AC$3:AC538,"Quên chấm công",$S$3:S538,S538)&gt;2,"Trừ toàn bộ chuyên cần tháng do vi phạm lần 3",IF(COUNTIFS($AC$3:AC538,"Quên chấm công",$S$3:S538,S538)&gt;1,"Trừ 1/2 ngày lương",50000))))</f>
        <v/>
      </c>
      <c r="AH538" s="12" t="str">
        <f>IF(AF538=0,"",IF(COUNTIFS($AF$3:AF538,"&gt;0",$S$3:S538,S538)&gt;3,"Trừ toàn bộ chuyên cần tháng",""))</f>
        <v/>
      </c>
      <c r="AI538" s="12"/>
    </row>
    <row r="539" spans="1:35" x14ac:dyDescent="0.25">
      <c r="A539" s="4" t="s">
        <v>835</v>
      </c>
      <c r="B539" s="1" t="s">
        <v>836</v>
      </c>
      <c r="C539" s="1" t="s">
        <v>20</v>
      </c>
      <c r="D539" s="1" t="s">
        <v>125</v>
      </c>
      <c r="E539" s="1" t="s">
        <v>22</v>
      </c>
      <c r="F539" s="1" t="s">
        <v>23</v>
      </c>
      <c r="G539" s="1" t="s">
        <v>277</v>
      </c>
      <c r="H539" s="1" t="s">
        <v>882</v>
      </c>
      <c r="I539" s="1" t="s">
        <v>883</v>
      </c>
      <c r="J539" s="1" t="s">
        <v>25</v>
      </c>
      <c r="K539" s="1" t="s">
        <v>884</v>
      </c>
      <c r="L539" s="1" t="s">
        <v>881</v>
      </c>
      <c r="M539" s="1" t="s">
        <v>884</v>
      </c>
      <c r="N539" s="1" t="s">
        <v>25</v>
      </c>
      <c r="O539" s="1" t="s">
        <v>25</v>
      </c>
      <c r="P539" s="1" t="s">
        <v>25</v>
      </c>
      <c r="Q539" s="1" t="s">
        <v>25</v>
      </c>
      <c r="R539" s="85" t="str">
        <f t="shared" si="32"/>
        <v>545927</v>
      </c>
      <c r="S539" t="str">
        <f>VLOOKUP(A539,Data_NV!$A:$C,3,0)</f>
        <v xml:space="preserve"> Hàng Minh Thư   </v>
      </c>
      <c r="T539" t="str">
        <f>VLOOKUP(A539,Data_NV!$A:$E,4,0)</f>
        <v>Kế toán - Văn phòng</v>
      </c>
      <c r="U539" s="82">
        <f>DATEVALUE(Table2[[#This Row],[Ngày]])</f>
        <v>45927</v>
      </c>
      <c r="V539" t="str">
        <f>VLOOKUP(A539,Data_NV!$A:$E,5,0)</f>
        <v>Đang làm việc</v>
      </c>
      <c r="W539" s="10">
        <f>VLOOKUP(A539,Data_NV!$A:$I,8,0)</f>
        <v>0.33333333333333331</v>
      </c>
      <c r="X539" s="10">
        <f>VLOOKUP(A539,Data_NV!$A:$I,9,0)</f>
        <v>0.70833333333333337</v>
      </c>
      <c r="Y539" s="10">
        <f>IFERROR(TIMEVALUE(Table2[[#This Row],[Vào]]),0)</f>
        <v>0.32853009259259258</v>
      </c>
      <c r="Z539" s="10">
        <f>IFERROR(TIMEVALUE(Table2[[#This Row],[Ra]]),0)</f>
        <v>0.69589120370370372</v>
      </c>
      <c r="AA539" t="str">
        <f t="shared" si="33"/>
        <v>x</v>
      </c>
      <c r="AB539" s="105">
        <f t="shared" si="34"/>
        <v>0</v>
      </c>
      <c r="AC539" s="12" t="str">
        <f>IF(VLOOKUP(A539,Data_NV!$A:$I,7,0)="Không","",IF(OR(AND(Y539=0,Z539=0),AND(Y539&lt;&gt;0,Z539&lt;&gt;0)),"","Quên chấm công"))</f>
        <v/>
      </c>
      <c r="AD539" s="12">
        <f>IF(VLOOKUP(A539,Data_NV!$A:$I,7,0)="Không",0,IF(AND(Y539=0,Z539=0),0,IF(X539&lt;=Z539,0,ROUNDDOWN((X539-Z539)*24*60,0))))</f>
        <v>17</v>
      </c>
      <c r="AE539" s="12">
        <f>IF(VLOOKUP(A539,Data_NV!$A:$I,6,0)="Không",0,IF(Z539&lt;=X539,0,ROUNDDOWN((Z539-X539)*24*60,0)))</f>
        <v>0</v>
      </c>
      <c r="AF539" s="26">
        <f t="shared" si="35"/>
        <v>0</v>
      </c>
      <c r="AG539" s="27" t="str">
        <f>IF(AC539="","",IF(COUNTIFS($AC$3:AC539,"Quên chấm công",$S$3:S539,S539)&gt;3,"Không chấm công do vi phạm quá 3 lần",IF(COUNTIFS($AC$3:AC539,"Quên chấm công",$S$3:S539,S539)&gt;2,"Trừ toàn bộ chuyên cần tháng do vi phạm lần 3",IF(COUNTIFS($AC$3:AC539,"Quên chấm công",$S$3:S539,S539)&gt;1,"Trừ 1/2 ngày lương",50000))))</f>
        <v/>
      </c>
      <c r="AH539" s="12" t="str">
        <f>IF(AF539=0,"",IF(COUNTIFS($AF$3:AF539,"&gt;0",$S$3:S539,S539)&gt;3,"Trừ toàn bộ chuyên cần tháng",""))</f>
        <v/>
      </c>
      <c r="AI539" s="12"/>
    </row>
    <row r="540" spans="1:35" x14ac:dyDescent="0.25">
      <c r="A540" s="4" t="s">
        <v>835</v>
      </c>
      <c r="B540" s="1" t="s">
        <v>836</v>
      </c>
      <c r="C540" s="1" t="s">
        <v>20</v>
      </c>
      <c r="D540" s="1" t="s">
        <v>130</v>
      </c>
      <c r="E540" s="1" t="s">
        <v>22</v>
      </c>
      <c r="F540" s="1" t="s">
        <v>23</v>
      </c>
      <c r="G540" s="1" t="s">
        <v>12</v>
      </c>
      <c r="H540" s="1" t="s">
        <v>24</v>
      </c>
      <c r="I540" s="1" t="s">
        <v>24</v>
      </c>
      <c r="J540" s="1" t="s">
        <v>25</v>
      </c>
      <c r="K540" s="1" t="s">
        <v>25</v>
      </c>
      <c r="L540" s="1" t="s">
        <v>26</v>
      </c>
      <c r="M540" s="1" t="s">
        <v>25</v>
      </c>
      <c r="N540" s="1" t="s">
        <v>25</v>
      </c>
      <c r="O540" s="1" t="s">
        <v>25</v>
      </c>
      <c r="P540" s="1" t="s">
        <v>25</v>
      </c>
      <c r="Q540" s="1" t="s">
        <v>25</v>
      </c>
      <c r="R540" s="85" t="str">
        <f t="shared" si="32"/>
        <v>545928</v>
      </c>
      <c r="S540" t="str">
        <f>VLOOKUP(A540,Data_NV!$A:$C,3,0)</f>
        <v xml:space="preserve"> Hàng Minh Thư   </v>
      </c>
      <c r="T540" t="str">
        <f>VLOOKUP(A540,Data_NV!$A:$E,4,0)</f>
        <v>Kế toán - Văn phòng</v>
      </c>
      <c r="U540" s="82">
        <f>DATEVALUE(Table2[[#This Row],[Ngày]])</f>
        <v>45928</v>
      </c>
      <c r="V540" t="str">
        <f>VLOOKUP(A540,Data_NV!$A:$E,5,0)</f>
        <v>Đang làm việc</v>
      </c>
      <c r="W540" s="10">
        <f>VLOOKUP(A540,Data_NV!$A:$I,8,0)</f>
        <v>0.33333333333333331</v>
      </c>
      <c r="X540" s="10">
        <f>VLOOKUP(A540,Data_NV!$A:$I,9,0)</f>
        <v>0.70833333333333337</v>
      </c>
      <c r="Y540" s="10">
        <f>IFERROR(TIMEVALUE(Table2[[#This Row],[Vào]]),0)</f>
        <v>0</v>
      </c>
      <c r="Z540" s="10">
        <f>IFERROR(TIMEVALUE(Table2[[#This Row],[Ra]]),0)</f>
        <v>0</v>
      </c>
      <c r="AA540" t="str">
        <f t="shared" si="33"/>
        <v>Chủ nhật</v>
      </c>
      <c r="AB540" s="105">
        <f t="shared" si="34"/>
        <v>0</v>
      </c>
      <c r="AC540" s="12" t="str">
        <f>IF(VLOOKUP(A540,Data_NV!$A:$I,7,0)="Không","",IF(OR(AND(Y540=0,Z540=0),AND(Y540&lt;&gt;0,Z540&lt;&gt;0)),"","Quên chấm công"))</f>
        <v/>
      </c>
      <c r="AD540" s="12">
        <f>IF(VLOOKUP(A540,Data_NV!$A:$I,7,0)="Không",0,IF(AND(Y540=0,Z540=0),0,IF(X540&lt;=Z540,0,ROUNDDOWN((X540-Z540)*24*60,0))))</f>
        <v>0</v>
      </c>
      <c r="AE540" s="12">
        <f>IF(VLOOKUP(A540,Data_NV!$A:$I,6,0)="Không",0,IF(Z540&lt;=X540,0,ROUNDDOWN((Z540-X540)*24*60,0)))</f>
        <v>0</v>
      </c>
      <c r="AF540" s="26">
        <f t="shared" si="35"/>
        <v>0</v>
      </c>
      <c r="AG540" s="27" t="str">
        <f>IF(AC540="","",IF(COUNTIFS($AC$3:AC540,"Quên chấm công",$S$3:S540,S540)&gt;3,"Không chấm công do vi phạm quá 3 lần",IF(COUNTIFS($AC$3:AC540,"Quên chấm công",$S$3:S540,S540)&gt;2,"Trừ toàn bộ chuyên cần tháng do vi phạm lần 3",IF(COUNTIFS($AC$3:AC540,"Quên chấm công",$S$3:S540,S540)&gt;1,"Trừ 1/2 ngày lương",50000))))</f>
        <v/>
      </c>
      <c r="AH540" s="12" t="str">
        <f>IF(AF540=0,"",IF(COUNTIFS($AF$3:AF540,"&gt;0",$S$3:S540,S540)&gt;3,"Trừ toàn bộ chuyên cần tháng",""))</f>
        <v/>
      </c>
      <c r="AI540" s="12"/>
    </row>
    <row r="541" spans="1:35" x14ac:dyDescent="0.25">
      <c r="A541" s="4" t="s">
        <v>835</v>
      </c>
      <c r="B541" s="1" t="s">
        <v>836</v>
      </c>
      <c r="C541" s="1" t="s">
        <v>20</v>
      </c>
      <c r="D541" s="1" t="s">
        <v>131</v>
      </c>
      <c r="E541" s="1" t="s">
        <v>22</v>
      </c>
      <c r="F541" s="1" t="s">
        <v>23</v>
      </c>
      <c r="G541" s="1" t="s">
        <v>29</v>
      </c>
      <c r="H541" s="1" t="s">
        <v>394</v>
      </c>
      <c r="I541" s="1" t="s">
        <v>885</v>
      </c>
      <c r="J541" s="1" t="s">
        <v>25</v>
      </c>
      <c r="K541" s="1" t="s">
        <v>886</v>
      </c>
      <c r="L541" s="1" t="s">
        <v>25</v>
      </c>
      <c r="M541" s="1" t="s">
        <v>26</v>
      </c>
      <c r="N541" s="1" t="s">
        <v>25</v>
      </c>
      <c r="O541" s="1" t="s">
        <v>33</v>
      </c>
      <c r="P541" s="1" t="s">
        <v>887</v>
      </c>
      <c r="Q541" s="1" t="s">
        <v>25</v>
      </c>
      <c r="R541" s="85" t="str">
        <f t="shared" si="32"/>
        <v>545929</v>
      </c>
      <c r="S541" t="str">
        <f>VLOOKUP(A541,Data_NV!$A:$C,3,0)</f>
        <v xml:space="preserve"> Hàng Minh Thư   </v>
      </c>
      <c r="T541" t="str">
        <f>VLOOKUP(A541,Data_NV!$A:$E,4,0)</f>
        <v>Kế toán - Văn phòng</v>
      </c>
      <c r="U541" s="82">
        <f>DATEVALUE(Table2[[#This Row],[Ngày]])</f>
        <v>45929</v>
      </c>
      <c r="V541" t="str">
        <f>VLOOKUP(A541,Data_NV!$A:$E,5,0)</f>
        <v>Đang làm việc</v>
      </c>
      <c r="W541" s="10">
        <f>VLOOKUP(A541,Data_NV!$A:$I,8,0)</f>
        <v>0.33333333333333331</v>
      </c>
      <c r="X541" s="10">
        <f>VLOOKUP(A541,Data_NV!$A:$I,9,0)</f>
        <v>0.70833333333333337</v>
      </c>
      <c r="Y541" s="10">
        <f>IFERROR(TIMEVALUE(Table2[[#This Row],[Vào]]),0)</f>
        <v>0.32861111111111113</v>
      </c>
      <c r="Z541" s="10">
        <f>IFERROR(TIMEVALUE(Table2[[#This Row],[Ra]]),0)</f>
        <v>0.79741898148148149</v>
      </c>
      <c r="AA541" t="str">
        <f t="shared" si="33"/>
        <v>x</v>
      </c>
      <c r="AB541" s="105">
        <f t="shared" si="34"/>
        <v>0</v>
      </c>
      <c r="AC541" s="12" t="str">
        <f>IF(VLOOKUP(A541,Data_NV!$A:$I,7,0)="Không","",IF(OR(AND(Y541=0,Z541=0),AND(Y541&lt;&gt;0,Z541&lt;&gt;0)),"","Quên chấm công"))</f>
        <v/>
      </c>
      <c r="AD541" s="12">
        <f>IF(VLOOKUP(A541,Data_NV!$A:$I,7,0)="Không",0,IF(AND(Y541=0,Z541=0),0,IF(X541&lt;=Z541,0,ROUNDDOWN((X541-Z541)*24*60,0))))</f>
        <v>0</v>
      </c>
      <c r="AE541" s="12">
        <f>IF(VLOOKUP(A541,Data_NV!$A:$I,6,0)="Không",0,IF(Z541&lt;=X541,0,ROUNDDOWN((Z541-X541)*24*60,0)))</f>
        <v>128</v>
      </c>
      <c r="AF541" s="26">
        <f t="shared" si="35"/>
        <v>0</v>
      </c>
      <c r="AG541" s="27" t="str">
        <f>IF(AC541="","",IF(COUNTIFS($AC$3:AC541,"Quên chấm công",$S$3:S541,S541)&gt;3,"Không chấm công do vi phạm quá 3 lần",IF(COUNTIFS($AC$3:AC541,"Quên chấm công",$S$3:S541,S541)&gt;2,"Trừ toàn bộ chuyên cần tháng do vi phạm lần 3",IF(COUNTIFS($AC$3:AC541,"Quên chấm công",$S$3:S541,S541)&gt;1,"Trừ 1/2 ngày lương",50000))))</f>
        <v/>
      </c>
      <c r="AH541" s="12" t="str">
        <f>IF(AF541=0,"",IF(COUNTIFS($AF$3:AF541,"&gt;0",$S$3:S541,S541)&gt;3,"Trừ toàn bộ chuyên cần tháng",""))</f>
        <v/>
      </c>
      <c r="AI541" s="12"/>
    </row>
    <row r="542" spans="1:35" x14ac:dyDescent="0.25">
      <c r="A542" s="4" t="s">
        <v>835</v>
      </c>
      <c r="B542" s="1" t="s">
        <v>836</v>
      </c>
      <c r="C542" s="1" t="s">
        <v>20</v>
      </c>
      <c r="D542" s="1" t="s">
        <v>136</v>
      </c>
      <c r="E542" s="1" t="s">
        <v>22</v>
      </c>
      <c r="F542" s="1" t="s">
        <v>23</v>
      </c>
      <c r="G542" s="1" t="s">
        <v>29</v>
      </c>
      <c r="H542" s="1" t="s">
        <v>888</v>
      </c>
      <c r="I542" s="1" t="s">
        <v>889</v>
      </c>
      <c r="J542" s="1" t="s">
        <v>25</v>
      </c>
      <c r="K542" s="1" t="s">
        <v>736</v>
      </c>
      <c r="L542" s="1" t="s">
        <v>25</v>
      </c>
      <c r="M542" s="1" t="s">
        <v>26</v>
      </c>
      <c r="N542" s="1" t="s">
        <v>25</v>
      </c>
      <c r="O542" s="1" t="s">
        <v>360</v>
      </c>
      <c r="P542" s="1" t="s">
        <v>25</v>
      </c>
      <c r="Q542" s="1" t="s">
        <v>25</v>
      </c>
      <c r="R542" s="85" t="str">
        <f t="shared" si="32"/>
        <v>545930</v>
      </c>
      <c r="S542" t="str">
        <f>VLOOKUP(A542,Data_NV!$A:$C,3,0)</f>
        <v xml:space="preserve"> Hàng Minh Thư   </v>
      </c>
      <c r="T542" t="str">
        <f>VLOOKUP(A542,Data_NV!$A:$E,4,0)</f>
        <v>Kế toán - Văn phòng</v>
      </c>
      <c r="U542" s="82">
        <f>DATEVALUE(Table2[[#This Row],[Ngày]])</f>
        <v>45930</v>
      </c>
      <c r="V542" t="str">
        <f>VLOOKUP(A542,Data_NV!$A:$E,5,0)</f>
        <v>Đang làm việc</v>
      </c>
      <c r="W542" s="10">
        <f>VLOOKUP(A542,Data_NV!$A:$I,8,0)</f>
        <v>0.33333333333333331</v>
      </c>
      <c r="X542" s="10">
        <f>VLOOKUP(A542,Data_NV!$A:$I,9,0)</f>
        <v>0.70833333333333337</v>
      </c>
      <c r="Y542" s="10">
        <f>IFERROR(TIMEVALUE(Table2[[#This Row],[Vào]]),0)</f>
        <v>0.33111111111111113</v>
      </c>
      <c r="Z542" s="10">
        <f>IFERROR(TIMEVALUE(Table2[[#This Row],[Ra]]),0)</f>
        <v>0.78151620370370367</v>
      </c>
      <c r="AA542" t="str">
        <f t="shared" si="33"/>
        <v>x</v>
      </c>
      <c r="AB542" s="105">
        <f t="shared" si="34"/>
        <v>0</v>
      </c>
      <c r="AC542" s="12" t="str">
        <f>IF(VLOOKUP(A542,Data_NV!$A:$I,7,0)="Không","",IF(OR(AND(Y542=0,Z542=0),AND(Y542&lt;&gt;0,Z542&lt;&gt;0)),"","Quên chấm công"))</f>
        <v/>
      </c>
      <c r="AD542" s="12">
        <f>IF(VLOOKUP(A542,Data_NV!$A:$I,7,0)="Không",0,IF(AND(Y542=0,Z542=0),0,IF(X542&lt;=Z542,0,ROUNDDOWN((X542-Z542)*24*60,0))))</f>
        <v>0</v>
      </c>
      <c r="AE542" s="12">
        <f>IF(VLOOKUP(A542,Data_NV!$A:$I,6,0)="Không",0,IF(Z542&lt;=X542,0,ROUNDDOWN((Z542-X542)*24*60,0)))</f>
        <v>105</v>
      </c>
      <c r="AF542" s="26">
        <f t="shared" si="35"/>
        <v>0</v>
      </c>
      <c r="AG542" s="27" t="str">
        <f>IF(AC542="","",IF(COUNTIFS($AC$3:AC542,"Quên chấm công",$S$3:S542,S542)&gt;3,"Không chấm công do vi phạm quá 3 lần",IF(COUNTIFS($AC$3:AC542,"Quên chấm công",$S$3:S542,S542)&gt;2,"Trừ toàn bộ chuyên cần tháng do vi phạm lần 3",IF(COUNTIFS($AC$3:AC542,"Quên chấm công",$S$3:S542,S542)&gt;1,"Trừ 1/2 ngày lương",50000))))</f>
        <v/>
      </c>
      <c r="AH542" s="12" t="str">
        <f>IF(AF542=0,"",IF(COUNTIFS($AF$3:AF542,"&gt;0",$S$3:S542,S542)&gt;3,"Trừ toàn bộ chuyên cần tháng",""))</f>
        <v/>
      </c>
      <c r="AI542" s="12"/>
    </row>
    <row r="543" spans="1:35" x14ac:dyDescent="0.25">
      <c r="A543" s="4" t="s">
        <v>890</v>
      </c>
      <c r="B543" s="1" t="s">
        <v>891</v>
      </c>
      <c r="C543" s="1" t="s">
        <v>20</v>
      </c>
      <c r="D543" s="1" t="s">
        <v>21</v>
      </c>
      <c r="E543" s="1" t="s">
        <v>22</v>
      </c>
      <c r="F543" s="1" t="s">
        <v>23</v>
      </c>
      <c r="G543" s="1" t="s">
        <v>12</v>
      </c>
      <c r="H543" s="1" t="s">
        <v>24</v>
      </c>
      <c r="I543" s="1" t="s">
        <v>24</v>
      </c>
      <c r="J543" s="1" t="s">
        <v>25</v>
      </c>
      <c r="K543" s="1" t="s">
        <v>25</v>
      </c>
      <c r="L543" s="1" t="s">
        <v>26</v>
      </c>
      <c r="M543" s="1" t="s">
        <v>25</v>
      </c>
      <c r="N543" s="1" t="s">
        <v>25</v>
      </c>
      <c r="O543" s="1" t="s">
        <v>25</v>
      </c>
      <c r="P543" s="1" t="s">
        <v>25</v>
      </c>
      <c r="Q543" s="1" t="s">
        <v>25</v>
      </c>
      <c r="R543" s="85" t="str">
        <f t="shared" si="32"/>
        <v>5045901</v>
      </c>
      <c r="S543" t="str">
        <f>VLOOKUP(A543,Data_NV!$A:$C,3,0)</f>
        <v>Nguyễn Hữu Phước</v>
      </c>
      <c r="T543" t="str">
        <f>VLOOKUP(A543,Data_NV!$A:$E,4,0)</f>
        <v>Vận Hành</v>
      </c>
      <c r="U543" s="82">
        <f>DATEVALUE(Table2[[#This Row],[Ngày]])</f>
        <v>45901</v>
      </c>
      <c r="V543" t="str">
        <f>VLOOKUP(A543,Data_NV!$A:$E,5,0)</f>
        <v>Đang làm việc</v>
      </c>
      <c r="W543" s="10">
        <f>VLOOKUP(A543,Data_NV!$A:$I,8,0)</f>
        <v>0.3125</v>
      </c>
      <c r="X543" s="10">
        <f>VLOOKUP(A543,Data_NV!$A:$I,9,0)</f>
        <v>0.6875</v>
      </c>
      <c r="Y543" s="10">
        <f>IFERROR(TIMEVALUE(Table2[[#This Row],[Vào]]),0)</f>
        <v>0</v>
      </c>
      <c r="Z543" s="10">
        <f>IFERROR(TIMEVALUE(Table2[[#This Row],[Ra]]),0)</f>
        <v>0</v>
      </c>
      <c r="AA543" s="97" t="s">
        <v>1349</v>
      </c>
      <c r="AB543" s="105">
        <f t="shared" si="34"/>
        <v>0</v>
      </c>
      <c r="AC543" s="12" t="str">
        <f>IF(VLOOKUP(A543,Data_NV!$A:$I,7,0)="Không","",IF(OR(AND(Y543=0,Z543=0),AND(Y543&lt;&gt;0,Z543&lt;&gt;0)),"","Quên chấm công"))</f>
        <v/>
      </c>
      <c r="AD543" s="12">
        <f>IF(VLOOKUP(A543,Data_NV!$A:$I,7,0)="Không",0,IF(AND(Y543=0,Z543=0),0,IF(X543&lt;=Z543,0,ROUNDDOWN((X543-Z543)*24*60,0))))</f>
        <v>0</v>
      </c>
      <c r="AE543" s="12">
        <f>IF(VLOOKUP(A543,Data_NV!$A:$I,6,0)="Không",0,IF(Z543&lt;=X543,0,ROUNDDOWN((Z543-X543)*24*60,0)))</f>
        <v>0</v>
      </c>
      <c r="AF543" s="26">
        <f t="shared" si="35"/>
        <v>0</v>
      </c>
      <c r="AG543" s="27" t="str">
        <f>IF(AC543="","",IF(COUNTIFS($AC$3:AC543,"Quên chấm công",$S$3:S543,S543)&gt;3,"Không chấm công do vi phạm quá 3 lần",IF(COUNTIFS($AC$3:AC543,"Quên chấm công",$S$3:S543,S543)&gt;2,"Trừ toàn bộ chuyên cần tháng do vi phạm lần 3",IF(COUNTIFS($AC$3:AC543,"Quên chấm công",$S$3:S543,S543)&gt;1,"Trừ 1/2 ngày lương",50000))))</f>
        <v/>
      </c>
      <c r="AH543" s="12" t="str">
        <f>IF(AF543=0,"",IF(COUNTIFS($AF$3:AF543,"&gt;0",$S$3:S543,S543)&gt;3,"Trừ toàn bộ chuyên cần tháng",""))</f>
        <v/>
      </c>
      <c r="AI543" s="98" t="s">
        <v>1369</v>
      </c>
    </row>
    <row r="544" spans="1:35" x14ac:dyDescent="0.25">
      <c r="A544" s="4" t="s">
        <v>890</v>
      </c>
      <c r="B544" s="1" t="s">
        <v>891</v>
      </c>
      <c r="C544" s="1" t="s">
        <v>20</v>
      </c>
      <c r="D544" s="1" t="s">
        <v>27</v>
      </c>
      <c r="E544" s="1" t="s">
        <v>22</v>
      </c>
      <c r="F544" s="1" t="s">
        <v>23</v>
      </c>
      <c r="G544" s="1" t="s">
        <v>12</v>
      </c>
      <c r="H544" s="1" t="s">
        <v>24</v>
      </c>
      <c r="I544" s="1" t="s">
        <v>24</v>
      </c>
      <c r="J544" s="1" t="s">
        <v>25</v>
      </c>
      <c r="K544" s="1" t="s">
        <v>25</v>
      </c>
      <c r="L544" s="1" t="s">
        <v>26</v>
      </c>
      <c r="M544" s="1" t="s">
        <v>25</v>
      </c>
      <c r="N544" s="1" t="s">
        <v>25</v>
      </c>
      <c r="O544" s="1" t="s">
        <v>25</v>
      </c>
      <c r="P544" s="1" t="s">
        <v>25</v>
      </c>
      <c r="Q544" s="1" t="s">
        <v>25</v>
      </c>
      <c r="R544" s="85" t="str">
        <f t="shared" si="32"/>
        <v>5045902</v>
      </c>
      <c r="S544" t="str">
        <f>VLOOKUP(A544,Data_NV!$A:$C,3,0)</f>
        <v>Nguyễn Hữu Phước</v>
      </c>
      <c r="T544" t="str">
        <f>VLOOKUP(A544,Data_NV!$A:$E,4,0)</f>
        <v>Vận Hành</v>
      </c>
      <c r="U544" s="82">
        <f>DATEVALUE(Table2[[#This Row],[Ngày]])</f>
        <v>45902</v>
      </c>
      <c r="V544" t="str">
        <f>VLOOKUP(A544,Data_NV!$A:$E,5,0)</f>
        <v>Đang làm việc</v>
      </c>
      <c r="W544" s="10">
        <f>VLOOKUP(A544,Data_NV!$A:$I,8,0)</f>
        <v>0.3125</v>
      </c>
      <c r="X544" s="10">
        <f>VLOOKUP(A544,Data_NV!$A:$I,9,0)</f>
        <v>0.6875</v>
      </c>
      <c r="Y544" s="10">
        <f>IFERROR(TIMEVALUE(Table2[[#This Row],[Vào]]),0)</f>
        <v>0</v>
      </c>
      <c r="Z544" s="10">
        <f>IFERROR(TIMEVALUE(Table2[[#This Row],[Ra]]),0)</f>
        <v>0</v>
      </c>
      <c r="AA544" s="97" t="s">
        <v>1349</v>
      </c>
      <c r="AB544" s="105">
        <f t="shared" si="34"/>
        <v>0</v>
      </c>
      <c r="AC544" s="12" t="str">
        <f>IF(VLOOKUP(A544,Data_NV!$A:$I,7,0)="Không","",IF(OR(AND(Y544=0,Z544=0),AND(Y544&lt;&gt;0,Z544&lt;&gt;0)),"","Quên chấm công"))</f>
        <v/>
      </c>
      <c r="AD544" s="12">
        <f>IF(VLOOKUP(A544,Data_NV!$A:$I,7,0)="Không",0,IF(AND(Y544=0,Z544=0),0,IF(X544&lt;=Z544,0,ROUNDDOWN((X544-Z544)*24*60,0))))</f>
        <v>0</v>
      </c>
      <c r="AE544" s="12">
        <f>IF(VLOOKUP(A544,Data_NV!$A:$I,6,0)="Không",0,IF(Z544&lt;=X544,0,ROUNDDOWN((Z544-X544)*24*60,0)))</f>
        <v>0</v>
      </c>
      <c r="AF544" s="26">
        <f t="shared" si="35"/>
        <v>0</v>
      </c>
      <c r="AG544" s="27" t="str">
        <f>IF(AC544="","",IF(COUNTIFS($AC$3:AC544,"Quên chấm công",$S$3:S544,S544)&gt;3,"Không chấm công do vi phạm quá 3 lần",IF(COUNTIFS($AC$3:AC544,"Quên chấm công",$S$3:S544,S544)&gt;2,"Trừ toàn bộ chuyên cần tháng do vi phạm lần 3",IF(COUNTIFS($AC$3:AC544,"Quên chấm công",$S$3:S544,S544)&gt;1,"Trừ 1/2 ngày lương",50000))))</f>
        <v/>
      </c>
      <c r="AH544" s="12" t="str">
        <f>IF(AF544=0,"",IF(COUNTIFS($AF$3:AF544,"&gt;0",$S$3:S544,S544)&gt;3,"Trừ toàn bộ chuyên cần tháng",""))</f>
        <v/>
      </c>
      <c r="AI544" s="98" t="s">
        <v>1369</v>
      </c>
    </row>
    <row r="545" spans="1:35" x14ac:dyDescent="0.25">
      <c r="A545" s="4" t="s">
        <v>890</v>
      </c>
      <c r="B545" s="1" t="s">
        <v>891</v>
      </c>
      <c r="C545" s="1" t="s">
        <v>20</v>
      </c>
      <c r="D545" s="1" t="s">
        <v>28</v>
      </c>
      <c r="E545" s="1" t="s">
        <v>22</v>
      </c>
      <c r="F545" s="1" t="s">
        <v>23</v>
      </c>
      <c r="G545" s="1" t="s">
        <v>12</v>
      </c>
      <c r="H545" s="1" t="s">
        <v>892</v>
      </c>
      <c r="I545" s="1" t="s">
        <v>24</v>
      </c>
      <c r="J545" s="1" t="s">
        <v>25</v>
      </c>
      <c r="K545" s="1" t="s">
        <v>25</v>
      </c>
      <c r="L545" s="1" t="s">
        <v>26</v>
      </c>
      <c r="M545" s="1" t="s">
        <v>25</v>
      </c>
      <c r="N545" s="1" t="s">
        <v>25</v>
      </c>
      <c r="O545" s="1" t="s">
        <v>25</v>
      </c>
      <c r="P545" s="1" t="s">
        <v>25</v>
      </c>
      <c r="Q545" s="1" t="s">
        <v>25</v>
      </c>
      <c r="R545" s="85" t="str">
        <f t="shared" si="32"/>
        <v>5045903</v>
      </c>
      <c r="S545" t="str">
        <f>VLOOKUP(A545,Data_NV!$A:$C,3,0)</f>
        <v>Nguyễn Hữu Phước</v>
      </c>
      <c r="T545" t="str">
        <f>VLOOKUP(A545,Data_NV!$A:$E,4,0)</f>
        <v>Vận Hành</v>
      </c>
      <c r="U545" s="82">
        <f>DATEVALUE(Table2[[#This Row],[Ngày]])</f>
        <v>45903</v>
      </c>
      <c r="V545" t="str">
        <f>VLOOKUP(A545,Data_NV!$A:$E,5,0)</f>
        <v>Đang làm việc</v>
      </c>
      <c r="W545" s="10">
        <f>VLOOKUP(A545,Data_NV!$A:$I,8,0)</f>
        <v>0.3125</v>
      </c>
      <c r="X545" s="10">
        <f>VLOOKUP(A545,Data_NV!$A:$I,9,0)</f>
        <v>0.6875</v>
      </c>
      <c r="Y545" s="10">
        <f>IFERROR(TIMEVALUE(Table2[[#This Row],[Vào]]),0)</f>
        <v>0.3112847222222222</v>
      </c>
      <c r="Z545" s="10">
        <f>IFERROR(TIMEVALUE(Table2[[#This Row],[Ra]]),0)</f>
        <v>0</v>
      </c>
      <c r="AA545" t="str">
        <f t="shared" si="33"/>
        <v>x</v>
      </c>
      <c r="AB545" s="105">
        <f t="shared" si="34"/>
        <v>0</v>
      </c>
      <c r="AC545" s="12" t="str">
        <f>IF(VLOOKUP(A545,Data_NV!$A:$I,7,0)="Không","",IF(OR(AND(Y545=0,Z545=0),AND(Y545&lt;&gt;0,Z545&lt;&gt;0)),"","Quên chấm công"))</f>
        <v/>
      </c>
      <c r="AD545" s="12">
        <f>IF(VLOOKUP(A545,Data_NV!$A:$I,7,0)="Không",0,IF(AND(Y545=0,Z545=0),0,IF(X545&lt;=Z545,0,ROUNDDOWN((X545-Z545)*24*60,0))))</f>
        <v>0</v>
      </c>
      <c r="AE545" s="12">
        <f>IF(VLOOKUP(A545,Data_NV!$A:$I,6,0)="Không",0,IF(Z545&lt;=X545,0,ROUNDDOWN((Z545-X545)*24*60,0)))</f>
        <v>0</v>
      </c>
      <c r="AF545" s="26">
        <f t="shared" si="35"/>
        <v>0</v>
      </c>
      <c r="AG545" s="27" t="str">
        <f>IF(AC545="","",IF(COUNTIFS($AC$3:AC545,"Quên chấm công",$S$3:S545,S545)&gt;3,"Không chấm công do vi phạm quá 3 lần",IF(COUNTIFS($AC$3:AC545,"Quên chấm công",$S$3:S545,S545)&gt;2,"Trừ toàn bộ chuyên cần tháng do vi phạm lần 3",IF(COUNTIFS($AC$3:AC545,"Quên chấm công",$S$3:S545,S545)&gt;1,"Trừ 1/2 ngày lương",50000))))</f>
        <v/>
      </c>
      <c r="AH545" s="12" t="str">
        <f>IF(AF545=0,"",IF(COUNTIFS($AF$3:AF545,"&gt;0",$S$3:S545,S545)&gt;3,"Trừ toàn bộ chuyên cần tháng",""))</f>
        <v/>
      </c>
      <c r="AI545" s="12"/>
    </row>
    <row r="546" spans="1:35" x14ac:dyDescent="0.25">
      <c r="A546" s="4" t="s">
        <v>890</v>
      </c>
      <c r="B546" s="1" t="s">
        <v>891</v>
      </c>
      <c r="C546" s="1" t="s">
        <v>20</v>
      </c>
      <c r="D546" s="1" t="s">
        <v>35</v>
      </c>
      <c r="E546" s="1" t="s">
        <v>22</v>
      </c>
      <c r="F546" s="1" t="s">
        <v>23</v>
      </c>
      <c r="G546" s="1" t="s">
        <v>12</v>
      </c>
      <c r="H546" s="1" t="s">
        <v>893</v>
      </c>
      <c r="I546" s="1" t="s">
        <v>24</v>
      </c>
      <c r="J546" s="1" t="s">
        <v>25</v>
      </c>
      <c r="K546" s="1" t="s">
        <v>25</v>
      </c>
      <c r="L546" s="1" t="s">
        <v>26</v>
      </c>
      <c r="M546" s="1" t="s">
        <v>25</v>
      </c>
      <c r="N546" s="1" t="s">
        <v>25</v>
      </c>
      <c r="O546" s="1" t="s">
        <v>25</v>
      </c>
      <c r="P546" s="1" t="s">
        <v>25</v>
      </c>
      <c r="Q546" s="1" t="s">
        <v>25</v>
      </c>
      <c r="R546" s="85" t="str">
        <f t="shared" si="32"/>
        <v>5045904</v>
      </c>
      <c r="S546" t="str">
        <f>VLOOKUP(A546,Data_NV!$A:$C,3,0)</f>
        <v>Nguyễn Hữu Phước</v>
      </c>
      <c r="T546" t="str">
        <f>VLOOKUP(A546,Data_NV!$A:$E,4,0)</f>
        <v>Vận Hành</v>
      </c>
      <c r="U546" s="82">
        <f>DATEVALUE(Table2[[#This Row],[Ngày]])</f>
        <v>45904</v>
      </c>
      <c r="V546" t="str">
        <f>VLOOKUP(A546,Data_NV!$A:$E,5,0)</f>
        <v>Đang làm việc</v>
      </c>
      <c r="W546" s="10">
        <f>VLOOKUP(A546,Data_NV!$A:$I,8,0)</f>
        <v>0.3125</v>
      </c>
      <c r="X546" s="10">
        <f>VLOOKUP(A546,Data_NV!$A:$I,9,0)</f>
        <v>0.6875</v>
      </c>
      <c r="Y546" s="10">
        <f>IFERROR(TIMEVALUE(Table2[[#This Row],[Vào]]),0)</f>
        <v>0.31237268518518518</v>
      </c>
      <c r="Z546" s="10">
        <f>IFERROR(TIMEVALUE(Table2[[#This Row],[Ra]]),0)</f>
        <v>0</v>
      </c>
      <c r="AA546" t="str">
        <f t="shared" si="33"/>
        <v>x</v>
      </c>
      <c r="AB546" s="105">
        <f t="shared" si="34"/>
        <v>0</v>
      </c>
      <c r="AC546" s="12" t="str">
        <f>IF(VLOOKUP(A546,Data_NV!$A:$I,7,0)="Không","",IF(OR(AND(Y546=0,Z546=0),AND(Y546&lt;&gt;0,Z546&lt;&gt;0)),"","Quên chấm công"))</f>
        <v/>
      </c>
      <c r="AD546" s="12">
        <f>IF(VLOOKUP(A546,Data_NV!$A:$I,7,0)="Không",0,IF(AND(Y546=0,Z546=0),0,IF(X546&lt;=Z546,0,ROUNDDOWN((X546-Z546)*24*60,0))))</f>
        <v>0</v>
      </c>
      <c r="AE546" s="12">
        <f>IF(VLOOKUP(A546,Data_NV!$A:$I,6,0)="Không",0,IF(Z546&lt;=X546,0,ROUNDDOWN((Z546-X546)*24*60,0)))</f>
        <v>0</v>
      </c>
      <c r="AF546" s="26">
        <f t="shared" si="35"/>
        <v>0</v>
      </c>
      <c r="AG546" s="27" t="str">
        <f>IF(AC546="","",IF(COUNTIFS($AC$3:AC546,"Quên chấm công",$S$3:S546,S546)&gt;3,"Không chấm công do vi phạm quá 3 lần",IF(COUNTIFS($AC$3:AC546,"Quên chấm công",$S$3:S546,S546)&gt;2,"Trừ toàn bộ chuyên cần tháng do vi phạm lần 3",IF(COUNTIFS($AC$3:AC546,"Quên chấm công",$S$3:S546,S546)&gt;1,"Trừ 1/2 ngày lương",50000))))</f>
        <v/>
      </c>
      <c r="AH546" s="12" t="str">
        <f>IF(AF546=0,"",IF(COUNTIFS($AF$3:AF546,"&gt;0",$S$3:S546,S546)&gt;3,"Trừ toàn bộ chuyên cần tháng",""))</f>
        <v/>
      </c>
      <c r="AI546" s="12"/>
    </row>
    <row r="547" spans="1:35" x14ac:dyDescent="0.25">
      <c r="A547" s="4" t="s">
        <v>890</v>
      </c>
      <c r="B547" s="1" t="s">
        <v>891</v>
      </c>
      <c r="C547" s="1" t="s">
        <v>20</v>
      </c>
      <c r="D547" s="1" t="s">
        <v>37</v>
      </c>
      <c r="E547" s="1" t="s">
        <v>22</v>
      </c>
      <c r="F547" s="1" t="s">
        <v>23</v>
      </c>
      <c r="G547" s="1" t="s">
        <v>12</v>
      </c>
      <c r="H547" s="1" t="s">
        <v>894</v>
      </c>
      <c r="I547" s="1" t="s">
        <v>24</v>
      </c>
      <c r="J547" s="1" t="s">
        <v>25</v>
      </c>
      <c r="K547" s="1" t="s">
        <v>25</v>
      </c>
      <c r="L547" s="1" t="s">
        <v>26</v>
      </c>
      <c r="M547" s="1" t="s">
        <v>25</v>
      </c>
      <c r="N547" s="1" t="s">
        <v>25</v>
      </c>
      <c r="O547" s="1" t="s">
        <v>25</v>
      </c>
      <c r="P547" s="1" t="s">
        <v>25</v>
      </c>
      <c r="Q547" s="1" t="s">
        <v>25</v>
      </c>
      <c r="R547" s="85" t="str">
        <f t="shared" si="32"/>
        <v>5045905</v>
      </c>
      <c r="S547" t="str">
        <f>VLOOKUP(A547,Data_NV!$A:$C,3,0)</f>
        <v>Nguyễn Hữu Phước</v>
      </c>
      <c r="T547" t="str">
        <f>VLOOKUP(A547,Data_NV!$A:$E,4,0)</f>
        <v>Vận Hành</v>
      </c>
      <c r="U547" s="82">
        <f>DATEVALUE(Table2[[#This Row],[Ngày]])</f>
        <v>45905</v>
      </c>
      <c r="V547" t="str">
        <f>VLOOKUP(A547,Data_NV!$A:$E,5,0)</f>
        <v>Đang làm việc</v>
      </c>
      <c r="W547" s="10">
        <f>VLOOKUP(A547,Data_NV!$A:$I,8,0)</f>
        <v>0.3125</v>
      </c>
      <c r="X547" s="10">
        <f>VLOOKUP(A547,Data_NV!$A:$I,9,0)</f>
        <v>0.6875</v>
      </c>
      <c r="Y547" s="10">
        <f>IFERROR(TIMEVALUE(Table2[[#This Row],[Vào]]),0)</f>
        <v>0.31390046296296298</v>
      </c>
      <c r="Z547" s="10">
        <f>IFERROR(TIMEVALUE(Table2[[#This Row],[Ra]]),0)</f>
        <v>0</v>
      </c>
      <c r="AA547" t="str">
        <f t="shared" si="33"/>
        <v>x</v>
      </c>
      <c r="AB547" s="105">
        <f t="shared" si="34"/>
        <v>2.0166666666666888</v>
      </c>
      <c r="AC547" s="12" t="str">
        <f>IF(VLOOKUP(A547,Data_NV!$A:$I,7,0)="Không","",IF(OR(AND(Y547=0,Z547=0),AND(Y547&lt;&gt;0,Z547&lt;&gt;0)),"","Quên chấm công"))</f>
        <v/>
      </c>
      <c r="AD547" s="12">
        <f>IF(VLOOKUP(A547,Data_NV!$A:$I,7,0)="Không",0,IF(AND(Y547=0,Z547=0),0,IF(X547&lt;=Z547,0,ROUNDDOWN((X547-Z547)*24*60,0))))</f>
        <v>0</v>
      </c>
      <c r="AE547" s="12">
        <f>IF(VLOOKUP(A547,Data_NV!$A:$I,6,0)="Không",0,IF(Z547&lt;=X547,0,ROUNDDOWN((Z547-X547)*24*60,0)))</f>
        <v>0</v>
      </c>
      <c r="AF547" s="26">
        <f t="shared" si="35"/>
        <v>0</v>
      </c>
      <c r="AG547" s="27" t="str">
        <f>IF(AC547="","",IF(COUNTIFS($AC$3:AC547,"Quên chấm công",$S$3:S547,S547)&gt;3,"Không chấm công do vi phạm quá 3 lần",IF(COUNTIFS($AC$3:AC547,"Quên chấm công",$S$3:S547,S547)&gt;2,"Trừ toàn bộ chuyên cần tháng do vi phạm lần 3",IF(COUNTIFS($AC$3:AC547,"Quên chấm công",$S$3:S547,S547)&gt;1,"Trừ 1/2 ngày lương",50000))))</f>
        <v/>
      </c>
      <c r="AH547" s="12" t="str">
        <f>IF(AF547=0,"",IF(COUNTIFS($AF$3:AF547,"&gt;0",$S$3:S547,S547)&gt;3,"Trừ toàn bộ chuyên cần tháng",""))</f>
        <v/>
      </c>
      <c r="AI547" s="12"/>
    </row>
    <row r="548" spans="1:35" x14ac:dyDescent="0.25">
      <c r="A548" s="4" t="s">
        <v>890</v>
      </c>
      <c r="B548" s="1" t="s">
        <v>891</v>
      </c>
      <c r="C548" s="1" t="s">
        <v>20</v>
      </c>
      <c r="D548" s="1" t="s">
        <v>42</v>
      </c>
      <c r="E548" s="1" t="s">
        <v>22</v>
      </c>
      <c r="F548" s="1" t="s">
        <v>23</v>
      </c>
      <c r="G548" s="1" t="s">
        <v>12</v>
      </c>
      <c r="H548" s="1" t="s">
        <v>895</v>
      </c>
      <c r="I548" s="1" t="s">
        <v>24</v>
      </c>
      <c r="J548" s="1" t="s">
        <v>25</v>
      </c>
      <c r="K548" s="1" t="s">
        <v>25</v>
      </c>
      <c r="L548" s="1" t="s">
        <v>26</v>
      </c>
      <c r="M548" s="1" t="s">
        <v>25</v>
      </c>
      <c r="N548" s="1" t="s">
        <v>25</v>
      </c>
      <c r="O548" s="1" t="s">
        <v>25</v>
      </c>
      <c r="P548" s="1" t="s">
        <v>25</v>
      </c>
      <c r="Q548" s="1" t="s">
        <v>25</v>
      </c>
      <c r="R548" s="85" t="str">
        <f t="shared" si="32"/>
        <v>5045906</v>
      </c>
      <c r="S548" t="str">
        <f>VLOOKUP(A548,Data_NV!$A:$C,3,0)</f>
        <v>Nguyễn Hữu Phước</v>
      </c>
      <c r="T548" t="str">
        <f>VLOOKUP(A548,Data_NV!$A:$E,4,0)</f>
        <v>Vận Hành</v>
      </c>
      <c r="U548" s="82">
        <f>DATEVALUE(Table2[[#This Row],[Ngày]])</f>
        <v>45906</v>
      </c>
      <c r="V548" t="str">
        <f>VLOOKUP(A548,Data_NV!$A:$E,5,0)</f>
        <v>Đang làm việc</v>
      </c>
      <c r="W548" s="10">
        <f>VLOOKUP(A548,Data_NV!$A:$I,8,0)</f>
        <v>0.3125</v>
      </c>
      <c r="X548" s="10">
        <f>VLOOKUP(A548,Data_NV!$A:$I,9,0)</f>
        <v>0.6875</v>
      </c>
      <c r="Y548" s="10">
        <f>IFERROR(TIMEVALUE(Table2[[#This Row],[Vào]]),0)</f>
        <v>0.31510416666666669</v>
      </c>
      <c r="Z548" s="10">
        <f>IFERROR(TIMEVALUE(Table2[[#This Row],[Ra]]),0)</f>
        <v>0</v>
      </c>
      <c r="AA548" t="str">
        <f t="shared" si="33"/>
        <v>x</v>
      </c>
      <c r="AB548" s="105">
        <f t="shared" si="34"/>
        <v>3.7500000000000266</v>
      </c>
      <c r="AC548" s="12" t="str">
        <f>IF(VLOOKUP(A548,Data_NV!$A:$I,7,0)="Không","",IF(OR(AND(Y548=0,Z548=0),AND(Y548&lt;&gt;0,Z548&lt;&gt;0)),"","Quên chấm công"))</f>
        <v/>
      </c>
      <c r="AD548" s="12">
        <f>IF(VLOOKUP(A548,Data_NV!$A:$I,7,0)="Không",0,IF(AND(Y548=0,Z548=0),0,IF(X548&lt;=Z548,0,ROUNDDOWN((X548-Z548)*24*60,0))))</f>
        <v>0</v>
      </c>
      <c r="AE548" s="12">
        <f>IF(VLOOKUP(A548,Data_NV!$A:$I,6,0)="Không",0,IF(Z548&lt;=X548,0,ROUNDDOWN((Z548-X548)*24*60,0)))</f>
        <v>0</v>
      </c>
      <c r="AF548" s="26">
        <f t="shared" si="35"/>
        <v>0</v>
      </c>
      <c r="AG548" s="27" t="str">
        <f>IF(AC548="","",IF(COUNTIFS($AC$3:AC548,"Quên chấm công",$S$3:S548,S548)&gt;3,"Không chấm công do vi phạm quá 3 lần",IF(COUNTIFS($AC$3:AC548,"Quên chấm công",$S$3:S548,S548)&gt;2,"Trừ toàn bộ chuyên cần tháng do vi phạm lần 3",IF(COUNTIFS($AC$3:AC548,"Quên chấm công",$S$3:S548,S548)&gt;1,"Trừ 1/2 ngày lương",50000))))</f>
        <v/>
      </c>
      <c r="AH548" s="12" t="str">
        <f>IF(AF548=0,"",IF(COUNTIFS($AF$3:AF548,"&gt;0",$S$3:S548,S548)&gt;3,"Trừ toàn bộ chuyên cần tháng",""))</f>
        <v/>
      </c>
      <c r="AI548" s="12"/>
    </row>
    <row r="549" spans="1:35" x14ac:dyDescent="0.25">
      <c r="A549" s="4" t="s">
        <v>890</v>
      </c>
      <c r="B549" s="1" t="s">
        <v>891</v>
      </c>
      <c r="C549" s="1" t="s">
        <v>20</v>
      </c>
      <c r="D549" s="1" t="s">
        <v>47</v>
      </c>
      <c r="E549" s="1" t="s">
        <v>22</v>
      </c>
      <c r="F549" s="1" t="s">
        <v>23</v>
      </c>
      <c r="G549" s="1" t="s">
        <v>12</v>
      </c>
      <c r="H549" s="1" t="s">
        <v>24</v>
      </c>
      <c r="I549" s="1" t="s">
        <v>24</v>
      </c>
      <c r="J549" s="1" t="s">
        <v>25</v>
      </c>
      <c r="K549" s="1" t="s">
        <v>25</v>
      </c>
      <c r="L549" s="1" t="s">
        <v>26</v>
      </c>
      <c r="M549" s="1" t="s">
        <v>25</v>
      </c>
      <c r="N549" s="1" t="s">
        <v>25</v>
      </c>
      <c r="O549" s="1" t="s">
        <v>25</v>
      </c>
      <c r="P549" s="1" t="s">
        <v>25</v>
      </c>
      <c r="Q549" s="1" t="s">
        <v>25</v>
      </c>
      <c r="R549" s="85" t="str">
        <f t="shared" si="32"/>
        <v>5045907</v>
      </c>
      <c r="S549" t="str">
        <f>VLOOKUP(A549,Data_NV!$A:$C,3,0)</f>
        <v>Nguyễn Hữu Phước</v>
      </c>
      <c r="T549" t="str">
        <f>VLOOKUP(A549,Data_NV!$A:$E,4,0)</f>
        <v>Vận Hành</v>
      </c>
      <c r="U549" s="82">
        <f>DATEVALUE(Table2[[#This Row],[Ngày]])</f>
        <v>45907</v>
      </c>
      <c r="V549" t="str">
        <f>VLOOKUP(A549,Data_NV!$A:$E,5,0)</f>
        <v>Đang làm việc</v>
      </c>
      <c r="W549" s="10">
        <f>VLOOKUP(A549,Data_NV!$A:$I,8,0)</f>
        <v>0.3125</v>
      </c>
      <c r="X549" s="10">
        <f>VLOOKUP(A549,Data_NV!$A:$I,9,0)</f>
        <v>0.6875</v>
      </c>
      <c r="Y549" s="10">
        <f>IFERROR(TIMEVALUE(Table2[[#This Row],[Vào]]),0)</f>
        <v>0</v>
      </c>
      <c r="Z549" s="10">
        <f>IFERROR(TIMEVALUE(Table2[[#This Row],[Ra]]),0)</f>
        <v>0</v>
      </c>
      <c r="AA549" t="str">
        <f t="shared" si="33"/>
        <v>Chủ nhật</v>
      </c>
      <c r="AB549" s="105">
        <f t="shared" si="34"/>
        <v>0</v>
      </c>
      <c r="AC549" s="12" t="str">
        <f>IF(VLOOKUP(A549,Data_NV!$A:$I,7,0)="Không","",IF(OR(AND(Y549=0,Z549=0),AND(Y549&lt;&gt;0,Z549&lt;&gt;0)),"","Quên chấm công"))</f>
        <v/>
      </c>
      <c r="AD549" s="12">
        <f>IF(VLOOKUP(A549,Data_NV!$A:$I,7,0)="Không",0,IF(AND(Y549=0,Z549=0),0,IF(X549&lt;=Z549,0,ROUNDDOWN((X549-Z549)*24*60,0))))</f>
        <v>0</v>
      </c>
      <c r="AE549" s="12">
        <f>IF(VLOOKUP(A549,Data_NV!$A:$I,6,0)="Không",0,IF(Z549&lt;=X549,0,ROUNDDOWN((Z549-X549)*24*60,0)))</f>
        <v>0</v>
      </c>
      <c r="AF549" s="26">
        <f t="shared" si="35"/>
        <v>0</v>
      </c>
      <c r="AG549" s="27" t="str">
        <f>IF(AC549="","",IF(COUNTIFS($AC$3:AC549,"Quên chấm công",$S$3:S549,S549)&gt;3,"Không chấm công do vi phạm quá 3 lần",IF(COUNTIFS($AC$3:AC549,"Quên chấm công",$S$3:S549,S549)&gt;2,"Trừ toàn bộ chuyên cần tháng do vi phạm lần 3",IF(COUNTIFS($AC$3:AC549,"Quên chấm công",$S$3:S549,S549)&gt;1,"Trừ 1/2 ngày lương",50000))))</f>
        <v/>
      </c>
      <c r="AH549" s="12" t="str">
        <f>IF(AF549=0,"",IF(COUNTIFS($AF$3:AF549,"&gt;0",$S$3:S549,S549)&gt;3,"Trừ toàn bộ chuyên cần tháng",""))</f>
        <v/>
      </c>
      <c r="AI549" s="12"/>
    </row>
    <row r="550" spans="1:35" x14ac:dyDescent="0.25">
      <c r="A550" s="4" t="s">
        <v>890</v>
      </c>
      <c r="B550" s="1" t="s">
        <v>891</v>
      </c>
      <c r="C550" s="1" t="s">
        <v>20</v>
      </c>
      <c r="D550" s="1" t="s">
        <v>48</v>
      </c>
      <c r="E550" s="1" t="s">
        <v>22</v>
      </c>
      <c r="F550" s="1" t="s">
        <v>23</v>
      </c>
      <c r="G550" s="1" t="s">
        <v>12</v>
      </c>
      <c r="H550" s="1" t="s">
        <v>896</v>
      </c>
      <c r="I550" s="1" t="s">
        <v>24</v>
      </c>
      <c r="J550" s="1" t="s">
        <v>25</v>
      </c>
      <c r="K550" s="1" t="s">
        <v>25</v>
      </c>
      <c r="L550" s="1" t="s">
        <v>26</v>
      </c>
      <c r="M550" s="1" t="s">
        <v>25</v>
      </c>
      <c r="N550" s="1" t="s">
        <v>25</v>
      </c>
      <c r="O550" s="1" t="s">
        <v>25</v>
      </c>
      <c r="P550" s="1" t="s">
        <v>25</v>
      </c>
      <c r="Q550" s="1" t="s">
        <v>25</v>
      </c>
      <c r="R550" s="85" t="str">
        <f t="shared" si="32"/>
        <v>5045908</v>
      </c>
      <c r="S550" t="str">
        <f>VLOOKUP(A550,Data_NV!$A:$C,3,0)</f>
        <v>Nguyễn Hữu Phước</v>
      </c>
      <c r="T550" t="str">
        <f>VLOOKUP(A550,Data_NV!$A:$E,4,0)</f>
        <v>Vận Hành</v>
      </c>
      <c r="U550" s="82">
        <f>DATEVALUE(Table2[[#This Row],[Ngày]])</f>
        <v>45908</v>
      </c>
      <c r="V550" t="str">
        <f>VLOOKUP(A550,Data_NV!$A:$E,5,0)</f>
        <v>Đang làm việc</v>
      </c>
      <c r="W550" s="10">
        <f>VLOOKUP(A550,Data_NV!$A:$I,8,0)</f>
        <v>0.3125</v>
      </c>
      <c r="X550" s="10">
        <f>VLOOKUP(A550,Data_NV!$A:$I,9,0)</f>
        <v>0.6875</v>
      </c>
      <c r="Y550" s="10">
        <f>IFERROR(TIMEVALUE(Table2[[#This Row],[Vào]]),0)</f>
        <v>0.31513888888888891</v>
      </c>
      <c r="Z550" s="10">
        <f>IFERROR(TIMEVALUE(Table2[[#This Row],[Ra]]),0)</f>
        <v>0</v>
      </c>
      <c r="AA550" t="str">
        <f t="shared" si="33"/>
        <v>x</v>
      </c>
      <c r="AB550" s="105">
        <f t="shared" si="34"/>
        <v>3.8000000000000345</v>
      </c>
      <c r="AC550" s="12" t="str">
        <f>IF(VLOOKUP(A550,Data_NV!$A:$I,7,0)="Không","",IF(OR(AND(Y550=0,Z550=0),AND(Y550&lt;&gt;0,Z550&lt;&gt;0)),"","Quên chấm công"))</f>
        <v/>
      </c>
      <c r="AD550" s="12">
        <f>IF(VLOOKUP(A550,Data_NV!$A:$I,7,0)="Không",0,IF(AND(Y550=0,Z550=0),0,IF(X550&lt;=Z550,0,ROUNDDOWN((X550-Z550)*24*60,0))))</f>
        <v>0</v>
      </c>
      <c r="AE550" s="12">
        <f>IF(VLOOKUP(A550,Data_NV!$A:$I,6,0)="Không",0,IF(Z550&lt;=X550,0,ROUNDDOWN((Z550-X550)*24*60,0)))</f>
        <v>0</v>
      </c>
      <c r="AF550" s="26">
        <f t="shared" si="35"/>
        <v>0</v>
      </c>
      <c r="AG550" s="27" t="str">
        <f>IF(AC550="","",IF(COUNTIFS($AC$3:AC550,"Quên chấm công",$S$3:S550,S550)&gt;3,"Không chấm công do vi phạm quá 3 lần",IF(COUNTIFS($AC$3:AC550,"Quên chấm công",$S$3:S550,S550)&gt;2,"Trừ toàn bộ chuyên cần tháng do vi phạm lần 3",IF(COUNTIFS($AC$3:AC550,"Quên chấm công",$S$3:S550,S550)&gt;1,"Trừ 1/2 ngày lương",50000))))</f>
        <v/>
      </c>
      <c r="AH550" s="12" t="str">
        <f>IF(AF550=0,"",IF(COUNTIFS($AF$3:AF550,"&gt;0",$S$3:S550,S550)&gt;3,"Trừ toàn bộ chuyên cần tháng",""))</f>
        <v/>
      </c>
      <c r="AI550" s="12"/>
    </row>
    <row r="551" spans="1:35" x14ac:dyDescent="0.25">
      <c r="A551" s="4" t="s">
        <v>890</v>
      </c>
      <c r="B551" s="1" t="s">
        <v>891</v>
      </c>
      <c r="C551" s="1" t="s">
        <v>20</v>
      </c>
      <c r="D551" s="1" t="s">
        <v>53</v>
      </c>
      <c r="E551" s="1" t="s">
        <v>22</v>
      </c>
      <c r="F551" s="1" t="s">
        <v>23</v>
      </c>
      <c r="G551" s="1" t="s">
        <v>12</v>
      </c>
      <c r="H551" s="1" t="s">
        <v>897</v>
      </c>
      <c r="I551" s="1" t="s">
        <v>24</v>
      </c>
      <c r="J551" s="1" t="s">
        <v>25</v>
      </c>
      <c r="K551" s="1" t="s">
        <v>25</v>
      </c>
      <c r="L551" s="1" t="s">
        <v>26</v>
      </c>
      <c r="M551" s="1" t="s">
        <v>25</v>
      </c>
      <c r="N551" s="1" t="s">
        <v>25</v>
      </c>
      <c r="O551" s="1" t="s">
        <v>25</v>
      </c>
      <c r="P551" s="1" t="s">
        <v>25</v>
      </c>
      <c r="Q551" s="1" t="s">
        <v>25</v>
      </c>
      <c r="R551" s="85" t="str">
        <f t="shared" si="32"/>
        <v>5045909</v>
      </c>
      <c r="S551" t="str">
        <f>VLOOKUP(A551,Data_NV!$A:$C,3,0)</f>
        <v>Nguyễn Hữu Phước</v>
      </c>
      <c r="T551" t="str">
        <f>VLOOKUP(A551,Data_NV!$A:$E,4,0)</f>
        <v>Vận Hành</v>
      </c>
      <c r="U551" s="82">
        <f>DATEVALUE(Table2[[#This Row],[Ngày]])</f>
        <v>45909</v>
      </c>
      <c r="V551" t="str">
        <f>VLOOKUP(A551,Data_NV!$A:$E,5,0)</f>
        <v>Đang làm việc</v>
      </c>
      <c r="W551" s="10">
        <f>VLOOKUP(A551,Data_NV!$A:$I,8,0)</f>
        <v>0.3125</v>
      </c>
      <c r="X551" s="10">
        <f>VLOOKUP(A551,Data_NV!$A:$I,9,0)</f>
        <v>0.6875</v>
      </c>
      <c r="Y551" s="10">
        <f>IFERROR(TIMEVALUE(Table2[[#This Row],[Vào]]),0)</f>
        <v>0.3150115740740741</v>
      </c>
      <c r="Z551" s="10">
        <f>IFERROR(TIMEVALUE(Table2[[#This Row],[Ra]]),0)</f>
        <v>0</v>
      </c>
      <c r="AA551" t="str">
        <f t="shared" si="33"/>
        <v>x</v>
      </c>
      <c r="AB551" s="105">
        <f t="shared" si="34"/>
        <v>3.6166666666666991</v>
      </c>
      <c r="AC551" s="12" t="str">
        <f>IF(VLOOKUP(A551,Data_NV!$A:$I,7,0)="Không","",IF(OR(AND(Y551=0,Z551=0),AND(Y551&lt;&gt;0,Z551&lt;&gt;0)),"","Quên chấm công"))</f>
        <v/>
      </c>
      <c r="AD551" s="12">
        <f>IF(VLOOKUP(A551,Data_NV!$A:$I,7,0)="Không",0,IF(AND(Y551=0,Z551=0),0,IF(X551&lt;=Z551,0,ROUNDDOWN((X551-Z551)*24*60,0))))</f>
        <v>0</v>
      </c>
      <c r="AE551" s="12">
        <f>IF(VLOOKUP(A551,Data_NV!$A:$I,6,0)="Không",0,IF(Z551&lt;=X551,0,ROUNDDOWN((Z551-X551)*24*60,0)))</f>
        <v>0</v>
      </c>
      <c r="AF551" s="26">
        <f t="shared" si="35"/>
        <v>0</v>
      </c>
      <c r="AG551" s="27" t="str">
        <f>IF(AC551="","",IF(COUNTIFS($AC$3:AC551,"Quên chấm công",$S$3:S551,S551)&gt;3,"Không chấm công do vi phạm quá 3 lần",IF(COUNTIFS($AC$3:AC551,"Quên chấm công",$S$3:S551,S551)&gt;2,"Trừ toàn bộ chuyên cần tháng do vi phạm lần 3",IF(COUNTIFS($AC$3:AC551,"Quên chấm công",$S$3:S551,S551)&gt;1,"Trừ 1/2 ngày lương",50000))))</f>
        <v/>
      </c>
      <c r="AH551" s="12" t="str">
        <f>IF(AF551=0,"",IF(COUNTIFS($AF$3:AF551,"&gt;0",$S$3:S551,S551)&gt;3,"Trừ toàn bộ chuyên cần tháng",""))</f>
        <v/>
      </c>
      <c r="AI551" s="12"/>
    </row>
    <row r="552" spans="1:35" x14ac:dyDescent="0.25">
      <c r="A552" s="4" t="s">
        <v>890</v>
      </c>
      <c r="B552" s="1" t="s">
        <v>891</v>
      </c>
      <c r="C552" s="1" t="s">
        <v>20</v>
      </c>
      <c r="D552" s="1" t="s">
        <v>58</v>
      </c>
      <c r="E552" s="1" t="s">
        <v>22</v>
      </c>
      <c r="F552" s="1" t="s">
        <v>23</v>
      </c>
      <c r="G552" s="1" t="s">
        <v>12</v>
      </c>
      <c r="H552" s="1" t="s">
        <v>898</v>
      </c>
      <c r="I552" s="1" t="s">
        <v>24</v>
      </c>
      <c r="J552" s="1" t="s">
        <v>25</v>
      </c>
      <c r="K552" s="1" t="s">
        <v>25</v>
      </c>
      <c r="L552" s="1" t="s">
        <v>26</v>
      </c>
      <c r="M552" s="1" t="s">
        <v>25</v>
      </c>
      <c r="N552" s="1" t="s">
        <v>25</v>
      </c>
      <c r="O552" s="1" t="s">
        <v>25</v>
      </c>
      <c r="P552" s="1" t="s">
        <v>25</v>
      </c>
      <c r="Q552" s="1" t="s">
        <v>25</v>
      </c>
      <c r="R552" s="85" t="str">
        <f t="shared" si="32"/>
        <v>5045910</v>
      </c>
      <c r="S552" t="str">
        <f>VLOOKUP(A552,Data_NV!$A:$C,3,0)</f>
        <v>Nguyễn Hữu Phước</v>
      </c>
      <c r="T552" t="str">
        <f>VLOOKUP(A552,Data_NV!$A:$E,4,0)</f>
        <v>Vận Hành</v>
      </c>
      <c r="U552" s="82">
        <f>DATEVALUE(Table2[[#This Row],[Ngày]])</f>
        <v>45910</v>
      </c>
      <c r="V552" t="str">
        <f>VLOOKUP(A552,Data_NV!$A:$E,5,0)</f>
        <v>Đang làm việc</v>
      </c>
      <c r="W552" s="10">
        <f>VLOOKUP(A552,Data_NV!$A:$I,8,0)</f>
        <v>0.3125</v>
      </c>
      <c r="X552" s="10">
        <f>VLOOKUP(A552,Data_NV!$A:$I,9,0)</f>
        <v>0.6875</v>
      </c>
      <c r="Y552" s="10">
        <f>IFERROR(TIMEVALUE(Table2[[#This Row],[Vào]]),0)</f>
        <v>0.30928240740740742</v>
      </c>
      <c r="Z552" s="10">
        <f>IFERROR(TIMEVALUE(Table2[[#This Row],[Ra]]),0)</f>
        <v>0</v>
      </c>
      <c r="AA552" t="str">
        <f t="shared" si="33"/>
        <v>x</v>
      </c>
      <c r="AB552" s="105">
        <f t="shared" si="34"/>
        <v>0</v>
      </c>
      <c r="AC552" s="12" t="str">
        <f>IF(VLOOKUP(A552,Data_NV!$A:$I,7,0)="Không","",IF(OR(AND(Y552=0,Z552=0),AND(Y552&lt;&gt;0,Z552&lt;&gt;0)),"","Quên chấm công"))</f>
        <v/>
      </c>
      <c r="AD552" s="12">
        <f>IF(VLOOKUP(A552,Data_NV!$A:$I,7,0)="Không",0,IF(AND(Y552=0,Z552=0),0,IF(X552&lt;=Z552,0,ROUNDDOWN((X552-Z552)*24*60,0))))</f>
        <v>0</v>
      </c>
      <c r="AE552" s="12">
        <f>IF(VLOOKUP(A552,Data_NV!$A:$I,6,0)="Không",0,IF(Z552&lt;=X552,0,ROUNDDOWN((Z552-X552)*24*60,0)))</f>
        <v>0</v>
      </c>
      <c r="AF552" s="26">
        <f t="shared" si="35"/>
        <v>0</v>
      </c>
      <c r="AG552" s="27" t="str">
        <f>IF(AC552="","",IF(COUNTIFS($AC$3:AC552,"Quên chấm công",$S$3:S552,S552)&gt;3,"Không chấm công do vi phạm quá 3 lần",IF(COUNTIFS($AC$3:AC552,"Quên chấm công",$S$3:S552,S552)&gt;2,"Trừ toàn bộ chuyên cần tháng do vi phạm lần 3",IF(COUNTIFS($AC$3:AC552,"Quên chấm công",$S$3:S552,S552)&gt;1,"Trừ 1/2 ngày lương",50000))))</f>
        <v/>
      </c>
      <c r="AH552" s="12" t="str">
        <f>IF(AF552=0,"",IF(COUNTIFS($AF$3:AF552,"&gt;0",$S$3:S552,S552)&gt;3,"Trừ toàn bộ chuyên cần tháng",""))</f>
        <v/>
      </c>
      <c r="AI552" s="12"/>
    </row>
    <row r="553" spans="1:35" x14ac:dyDescent="0.25">
      <c r="A553" s="4" t="s">
        <v>890</v>
      </c>
      <c r="B553" s="1" t="s">
        <v>891</v>
      </c>
      <c r="C553" s="1" t="s">
        <v>20</v>
      </c>
      <c r="D553" s="1" t="s">
        <v>63</v>
      </c>
      <c r="E553" s="1" t="s">
        <v>22</v>
      </c>
      <c r="F553" s="1" t="s">
        <v>23</v>
      </c>
      <c r="G553" s="1" t="s">
        <v>12</v>
      </c>
      <c r="H553" s="1" t="s">
        <v>899</v>
      </c>
      <c r="I553" s="1" t="s">
        <v>24</v>
      </c>
      <c r="J553" s="1" t="s">
        <v>25</v>
      </c>
      <c r="K553" s="1" t="s">
        <v>25</v>
      </c>
      <c r="L553" s="1" t="s">
        <v>26</v>
      </c>
      <c r="M553" s="1" t="s">
        <v>25</v>
      </c>
      <c r="N553" s="1" t="s">
        <v>25</v>
      </c>
      <c r="O553" s="1" t="s">
        <v>25</v>
      </c>
      <c r="P553" s="1" t="s">
        <v>25</v>
      </c>
      <c r="Q553" s="1" t="s">
        <v>25</v>
      </c>
      <c r="R553" s="85" t="str">
        <f t="shared" si="32"/>
        <v>5045911</v>
      </c>
      <c r="S553" t="str">
        <f>VLOOKUP(A553,Data_NV!$A:$C,3,0)</f>
        <v>Nguyễn Hữu Phước</v>
      </c>
      <c r="T553" t="str">
        <f>VLOOKUP(A553,Data_NV!$A:$E,4,0)</f>
        <v>Vận Hành</v>
      </c>
      <c r="U553" s="82">
        <f>DATEVALUE(Table2[[#This Row],[Ngày]])</f>
        <v>45911</v>
      </c>
      <c r="V553" t="str">
        <f>VLOOKUP(A553,Data_NV!$A:$E,5,0)</f>
        <v>Đang làm việc</v>
      </c>
      <c r="W553" s="10">
        <f>VLOOKUP(A553,Data_NV!$A:$I,8,0)</f>
        <v>0.3125</v>
      </c>
      <c r="X553" s="10">
        <f>VLOOKUP(A553,Data_NV!$A:$I,9,0)</f>
        <v>0.6875</v>
      </c>
      <c r="Y553" s="10">
        <f>IFERROR(TIMEVALUE(Table2[[#This Row],[Vào]]),0)</f>
        <v>0.3121990740740741</v>
      </c>
      <c r="Z553" s="10">
        <f>IFERROR(TIMEVALUE(Table2[[#This Row],[Ra]]),0)</f>
        <v>0</v>
      </c>
      <c r="AA553" t="str">
        <f t="shared" si="33"/>
        <v>x</v>
      </c>
      <c r="AB553" s="105">
        <f t="shared" si="34"/>
        <v>0</v>
      </c>
      <c r="AC553" s="12" t="str">
        <f>IF(VLOOKUP(A553,Data_NV!$A:$I,7,0)="Không","",IF(OR(AND(Y553=0,Z553=0),AND(Y553&lt;&gt;0,Z553&lt;&gt;0)),"","Quên chấm công"))</f>
        <v/>
      </c>
      <c r="AD553" s="12">
        <f>IF(VLOOKUP(A553,Data_NV!$A:$I,7,0)="Không",0,IF(AND(Y553=0,Z553=0),0,IF(X553&lt;=Z553,0,ROUNDDOWN((X553-Z553)*24*60,0))))</f>
        <v>0</v>
      </c>
      <c r="AE553" s="12">
        <f>IF(VLOOKUP(A553,Data_NV!$A:$I,6,0)="Không",0,IF(Z553&lt;=X553,0,ROUNDDOWN((Z553-X553)*24*60,0)))</f>
        <v>0</v>
      </c>
      <c r="AF553" s="26">
        <f t="shared" si="35"/>
        <v>0</v>
      </c>
      <c r="AG553" s="27" t="str">
        <f>IF(AC553="","",IF(COUNTIFS($AC$3:AC553,"Quên chấm công",$S$3:S553,S553)&gt;3,"Không chấm công do vi phạm quá 3 lần",IF(COUNTIFS($AC$3:AC553,"Quên chấm công",$S$3:S553,S553)&gt;2,"Trừ toàn bộ chuyên cần tháng do vi phạm lần 3",IF(COUNTIFS($AC$3:AC553,"Quên chấm công",$S$3:S553,S553)&gt;1,"Trừ 1/2 ngày lương",50000))))</f>
        <v/>
      </c>
      <c r="AH553" s="12" t="str">
        <f>IF(AF553=0,"",IF(COUNTIFS($AF$3:AF553,"&gt;0",$S$3:S553,S553)&gt;3,"Trừ toàn bộ chuyên cần tháng",""))</f>
        <v/>
      </c>
      <c r="AI553" s="12"/>
    </row>
    <row r="554" spans="1:35" x14ac:dyDescent="0.25">
      <c r="A554" s="4" t="s">
        <v>890</v>
      </c>
      <c r="B554" s="1" t="s">
        <v>891</v>
      </c>
      <c r="C554" s="1" t="s">
        <v>20</v>
      </c>
      <c r="D554" s="1" t="s">
        <v>67</v>
      </c>
      <c r="E554" s="1" t="s">
        <v>22</v>
      </c>
      <c r="F554" s="1" t="s">
        <v>23</v>
      </c>
      <c r="G554" s="1" t="s">
        <v>12</v>
      </c>
      <c r="H554" s="1" t="s">
        <v>900</v>
      </c>
      <c r="I554" s="1" t="s">
        <v>24</v>
      </c>
      <c r="J554" s="1" t="s">
        <v>25</v>
      </c>
      <c r="K554" s="1" t="s">
        <v>25</v>
      </c>
      <c r="L554" s="1" t="s">
        <v>26</v>
      </c>
      <c r="M554" s="1" t="s">
        <v>25</v>
      </c>
      <c r="N554" s="1" t="s">
        <v>25</v>
      </c>
      <c r="O554" s="1" t="s">
        <v>25</v>
      </c>
      <c r="P554" s="1" t="s">
        <v>25</v>
      </c>
      <c r="Q554" s="1" t="s">
        <v>25</v>
      </c>
      <c r="R554" s="85" t="str">
        <f t="shared" si="32"/>
        <v>5045912</v>
      </c>
      <c r="S554" t="str">
        <f>VLOOKUP(A554,Data_NV!$A:$C,3,0)</f>
        <v>Nguyễn Hữu Phước</v>
      </c>
      <c r="T554" t="str">
        <f>VLOOKUP(A554,Data_NV!$A:$E,4,0)</f>
        <v>Vận Hành</v>
      </c>
      <c r="U554" s="82">
        <f>DATEVALUE(Table2[[#This Row],[Ngày]])</f>
        <v>45912</v>
      </c>
      <c r="V554" t="str">
        <f>VLOOKUP(A554,Data_NV!$A:$E,5,0)</f>
        <v>Đang làm việc</v>
      </c>
      <c r="W554" s="10">
        <f>VLOOKUP(A554,Data_NV!$A:$I,8,0)</f>
        <v>0.3125</v>
      </c>
      <c r="X554" s="10">
        <f>VLOOKUP(A554,Data_NV!$A:$I,9,0)</f>
        <v>0.6875</v>
      </c>
      <c r="Y554" s="10">
        <f>IFERROR(TIMEVALUE(Table2[[#This Row],[Vào]]),0)</f>
        <v>0.31790509259259259</v>
      </c>
      <c r="Z554" s="10">
        <f>IFERROR(TIMEVALUE(Table2[[#This Row],[Ra]]),0)</f>
        <v>0</v>
      </c>
      <c r="AA554" t="str">
        <f t="shared" si="33"/>
        <v>x</v>
      </c>
      <c r="AB554" s="105">
        <f t="shared" si="34"/>
        <v>7.7833333333333243</v>
      </c>
      <c r="AC554" s="12" t="str">
        <f>IF(VLOOKUP(A554,Data_NV!$A:$I,7,0)="Không","",IF(OR(AND(Y554=0,Z554=0),AND(Y554&lt;&gt;0,Z554&lt;&gt;0)),"","Quên chấm công"))</f>
        <v/>
      </c>
      <c r="AD554" s="12">
        <f>IF(VLOOKUP(A554,Data_NV!$A:$I,7,0)="Không",0,IF(AND(Y554=0,Z554=0),0,IF(X554&lt;=Z554,0,ROUNDDOWN((X554-Z554)*24*60,0))))</f>
        <v>0</v>
      </c>
      <c r="AE554" s="12">
        <f>IF(VLOOKUP(A554,Data_NV!$A:$I,6,0)="Không",0,IF(Z554&lt;=X554,0,ROUNDDOWN((Z554-X554)*24*60,0)))</f>
        <v>0</v>
      </c>
      <c r="AF554" s="26">
        <f t="shared" si="35"/>
        <v>30000</v>
      </c>
      <c r="AG554" s="27" t="str">
        <f>IF(AC554="","",IF(COUNTIFS($AC$3:AC554,"Quên chấm công",$S$3:S554,S554)&gt;3,"Không chấm công do vi phạm quá 3 lần",IF(COUNTIFS($AC$3:AC554,"Quên chấm công",$S$3:S554,S554)&gt;2,"Trừ toàn bộ chuyên cần tháng do vi phạm lần 3",IF(COUNTIFS($AC$3:AC554,"Quên chấm công",$S$3:S554,S554)&gt;1,"Trừ 1/2 ngày lương",50000))))</f>
        <v/>
      </c>
      <c r="AH554" s="12" t="str">
        <f>IF(AF554=0,"",IF(COUNTIFS($AF$3:AF554,"&gt;0",$S$3:S554,S554)&gt;3,"Trừ toàn bộ chuyên cần tháng",""))</f>
        <v/>
      </c>
      <c r="AI554" s="12"/>
    </row>
    <row r="555" spans="1:35" x14ac:dyDescent="0.25">
      <c r="A555" s="4" t="s">
        <v>890</v>
      </c>
      <c r="B555" s="1" t="s">
        <v>891</v>
      </c>
      <c r="C555" s="1" t="s">
        <v>20</v>
      </c>
      <c r="D555" s="1" t="s">
        <v>69</v>
      </c>
      <c r="E555" s="1" t="s">
        <v>22</v>
      </c>
      <c r="F555" s="1" t="s">
        <v>23</v>
      </c>
      <c r="G555" s="1" t="s">
        <v>12</v>
      </c>
      <c r="H555" s="1" t="s">
        <v>901</v>
      </c>
      <c r="I555" s="1" t="s">
        <v>24</v>
      </c>
      <c r="J555" s="1" t="s">
        <v>25</v>
      </c>
      <c r="K555" s="1" t="s">
        <v>25</v>
      </c>
      <c r="L555" s="1" t="s">
        <v>26</v>
      </c>
      <c r="M555" s="1" t="s">
        <v>25</v>
      </c>
      <c r="N555" s="1" t="s">
        <v>25</v>
      </c>
      <c r="O555" s="1" t="s">
        <v>25</v>
      </c>
      <c r="P555" s="1" t="s">
        <v>25</v>
      </c>
      <c r="Q555" s="1" t="s">
        <v>25</v>
      </c>
      <c r="R555" s="85" t="str">
        <f t="shared" si="32"/>
        <v>5045913</v>
      </c>
      <c r="S555" t="str">
        <f>VLOOKUP(A555,Data_NV!$A:$C,3,0)</f>
        <v>Nguyễn Hữu Phước</v>
      </c>
      <c r="T555" t="str">
        <f>VLOOKUP(A555,Data_NV!$A:$E,4,0)</f>
        <v>Vận Hành</v>
      </c>
      <c r="U555" s="82">
        <f>DATEVALUE(Table2[[#This Row],[Ngày]])</f>
        <v>45913</v>
      </c>
      <c r="V555" t="str">
        <f>VLOOKUP(A555,Data_NV!$A:$E,5,0)</f>
        <v>Đang làm việc</v>
      </c>
      <c r="W555" s="10">
        <f>VLOOKUP(A555,Data_NV!$A:$I,8,0)</f>
        <v>0.3125</v>
      </c>
      <c r="X555" s="10">
        <f>VLOOKUP(A555,Data_NV!$A:$I,9,0)</f>
        <v>0.6875</v>
      </c>
      <c r="Y555" s="10">
        <f>IFERROR(TIMEVALUE(Table2[[#This Row],[Vào]]),0)</f>
        <v>0.31164351851851851</v>
      </c>
      <c r="Z555" s="10">
        <f>IFERROR(TIMEVALUE(Table2[[#This Row],[Ra]]),0)</f>
        <v>0</v>
      </c>
      <c r="AA555" t="str">
        <f t="shared" si="33"/>
        <v>x</v>
      </c>
      <c r="AB555" s="105">
        <f t="shared" si="34"/>
        <v>0</v>
      </c>
      <c r="AC555" s="12" t="str">
        <f>IF(VLOOKUP(A555,Data_NV!$A:$I,7,0)="Không","",IF(OR(AND(Y555=0,Z555=0),AND(Y555&lt;&gt;0,Z555&lt;&gt;0)),"","Quên chấm công"))</f>
        <v/>
      </c>
      <c r="AD555" s="12">
        <f>IF(VLOOKUP(A555,Data_NV!$A:$I,7,0)="Không",0,IF(AND(Y555=0,Z555=0),0,IF(X555&lt;=Z555,0,ROUNDDOWN((X555-Z555)*24*60,0))))</f>
        <v>0</v>
      </c>
      <c r="AE555" s="12">
        <f>IF(VLOOKUP(A555,Data_NV!$A:$I,6,0)="Không",0,IF(Z555&lt;=X555,0,ROUNDDOWN((Z555-X555)*24*60,0)))</f>
        <v>0</v>
      </c>
      <c r="AF555" s="26">
        <f t="shared" si="35"/>
        <v>0</v>
      </c>
      <c r="AG555" s="27" t="str">
        <f>IF(AC555="","",IF(COUNTIFS($AC$3:AC555,"Quên chấm công",$S$3:S555,S555)&gt;3,"Không chấm công do vi phạm quá 3 lần",IF(COUNTIFS($AC$3:AC555,"Quên chấm công",$S$3:S555,S555)&gt;2,"Trừ toàn bộ chuyên cần tháng do vi phạm lần 3",IF(COUNTIFS($AC$3:AC555,"Quên chấm công",$S$3:S555,S555)&gt;1,"Trừ 1/2 ngày lương",50000))))</f>
        <v/>
      </c>
      <c r="AH555" s="12" t="str">
        <f>IF(AF555=0,"",IF(COUNTIFS($AF$3:AF555,"&gt;0",$S$3:S555,S555)&gt;3,"Trừ toàn bộ chuyên cần tháng",""))</f>
        <v/>
      </c>
      <c r="AI555" s="12"/>
    </row>
    <row r="556" spans="1:35" x14ac:dyDescent="0.25">
      <c r="A556" s="4" t="s">
        <v>890</v>
      </c>
      <c r="B556" s="1" t="s">
        <v>891</v>
      </c>
      <c r="C556" s="1" t="s">
        <v>20</v>
      </c>
      <c r="D556" s="1" t="s">
        <v>74</v>
      </c>
      <c r="E556" s="1" t="s">
        <v>22</v>
      </c>
      <c r="F556" s="1" t="s">
        <v>23</v>
      </c>
      <c r="G556" s="1" t="s">
        <v>12</v>
      </c>
      <c r="H556" s="1" t="s">
        <v>24</v>
      </c>
      <c r="I556" s="1" t="s">
        <v>24</v>
      </c>
      <c r="J556" s="1" t="s">
        <v>25</v>
      </c>
      <c r="K556" s="1" t="s">
        <v>25</v>
      </c>
      <c r="L556" s="1" t="s">
        <v>26</v>
      </c>
      <c r="M556" s="1" t="s">
        <v>25</v>
      </c>
      <c r="N556" s="1" t="s">
        <v>25</v>
      </c>
      <c r="O556" s="1" t="s">
        <v>25</v>
      </c>
      <c r="P556" s="1" t="s">
        <v>25</v>
      </c>
      <c r="Q556" s="1" t="s">
        <v>25</v>
      </c>
      <c r="R556" s="85" t="str">
        <f t="shared" si="32"/>
        <v>5045914</v>
      </c>
      <c r="S556" t="str">
        <f>VLOOKUP(A556,Data_NV!$A:$C,3,0)</f>
        <v>Nguyễn Hữu Phước</v>
      </c>
      <c r="T556" t="str">
        <f>VLOOKUP(A556,Data_NV!$A:$E,4,0)</f>
        <v>Vận Hành</v>
      </c>
      <c r="U556" s="82">
        <f>DATEVALUE(Table2[[#This Row],[Ngày]])</f>
        <v>45914</v>
      </c>
      <c r="V556" t="str">
        <f>VLOOKUP(A556,Data_NV!$A:$E,5,0)</f>
        <v>Đang làm việc</v>
      </c>
      <c r="W556" s="10">
        <f>VLOOKUP(A556,Data_NV!$A:$I,8,0)</f>
        <v>0.3125</v>
      </c>
      <c r="X556" s="10">
        <f>VLOOKUP(A556,Data_NV!$A:$I,9,0)</f>
        <v>0.6875</v>
      </c>
      <c r="Y556" s="10">
        <f>IFERROR(TIMEVALUE(Table2[[#This Row],[Vào]]),0)</f>
        <v>0</v>
      </c>
      <c r="Z556" s="10">
        <f>IFERROR(TIMEVALUE(Table2[[#This Row],[Ra]]),0)</f>
        <v>0</v>
      </c>
      <c r="AA556" t="str">
        <f t="shared" si="33"/>
        <v>Chủ nhật</v>
      </c>
      <c r="AB556" s="105">
        <f t="shared" si="34"/>
        <v>0</v>
      </c>
      <c r="AC556" s="12" t="str">
        <f>IF(VLOOKUP(A556,Data_NV!$A:$I,7,0)="Không","",IF(OR(AND(Y556=0,Z556=0),AND(Y556&lt;&gt;0,Z556&lt;&gt;0)),"","Quên chấm công"))</f>
        <v/>
      </c>
      <c r="AD556" s="12">
        <f>IF(VLOOKUP(A556,Data_NV!$A:$I,7,0)="Không",0,IF(AND(Y556=0,Z556=0),0,IF(X556&lt;=Z556,0,ROUNDDOWN((X556-Z556)*24*60,0))))</f>
        <v>0</v>
      </c>
      <c r="AE556" s="12">
        <f>IF(VLOOKUP(A556,Data_NV!$A:$I,6,0)="Không",0,IF(Z556&lt;=X556,0,ROUNDDOWN((Z556-X556)*24*60,0)))</f>
        <v>0</v>
      </c>
      <c r="AF556" s="26">
        <f t="shared" si="35"/>
        <v>0</v>
      </c>
      <c r="AG556" s="27" t="str">
        <f>IF(AC556="","",IF(COUNTIFS($AC$3:AC556,"Quên chấm công",$S$3:S556,S556)&gt;3,"Không chấm công do vi phạm quá 3 lần",IF(COUNTIFS($AC$3:AC556,"Quên chấm công",$S$3:S556,S556)&gt;2,"Trừ toàn bộ chuyên cần tháng do vi phạm lần 3",IF(COUNTIFS($AC$3:AC556,"Quên chấm công",$S$3:S556,S556)&gt;1,"Trừ 1/2 ngày lương",50000))))</f>
        <v/>
      </c>
      <c r="AH556" s="12" t="str">
        <f>IF(AF556=0,"",IF(COUNTIFS($AF$3:AF556,"&gt;0",$S$3:S556,S556)&gt;3,"Trừ toàn bộ chuyên cần tháng",""))</f>
        <v/>
      </c>
      <c r="AI556" s="12"/>
    </row>
    <row r="557" spans="1:35" x14ac:dyDescent="0.25">
      <c r="A557" s="4" t="s">
        <v>890</v>
      </c>
      <c r="B557" s="1" t="s">
        <v>891</v>
      </c>
      <c r="C557" s="1" t="s">
        <v>20</v>
      </c>
      <c r="D557" s="1" t="s">
        <v>75</v>
      </c>
      <c r="E557" s="1" t="s">
        <v>22</v>
      </c>
      <c r="F557" s="1" t="s">
        <v>23</v>
      </c>
      <c r="G557" s="1" t="s">
        <v>12</v>
      </c>
      <c r="H557" s="1" t="s">
        <v>902</v>
      </c>
      <c r="I557" s="1" t="s">
        <v>24</v>
      </c>
      <c r="J557" s="1" t="s">
        <v>397</v>
      </c>
      <c r="K557" s="1" t="s">
        <v>25</v>
      </c>
      <c r="L557" s="1" t="s">
        <v>26</v>
      </c>
      <c r="M557" s="1" t="s">
        <v>25</v>
      </c>
      <c r="N557" s="1" t="s">
        <v>25</v>
      </c>
      <c r="O557" s="1" t="s">
        <v>25</v>
      </c>
      <c r="P557" s="1" t="s">
        <v>25</v>
      </c>
      <c r="Q557" s="1" t="s">
        <v>25</v>
      </c>
      <c r="R557" s="85" t="str">
        <f t="shared" si="32"/>
        <v>5045915</v>
      </c>
      <c r="S557" t="str">
        <f>VLOOKUP(A557,Data_NV!$A:$C,3,0)</f>
        <v>Nguyễn Hữu Phước</v>
      </c>
      <c r="T557" t="str">
        <f>VLOOKUP(A557,Data_NV!$A:$E,4,0)</f>
        <v>Vận Hành</v>
      </c>
      <c r="U557" s="82">
        <f>DATEVALUE(Table2[[#This Row],[Ngày]])</f>
        <v>45915</v>
      </c>
      <c r="V557" t="str">
        <f>VLOOKUP(A557,Data_NV!$A:$E,5,0)</f>
        <v>Đang làm việc</v>
      </c>
      <c r="W557" s="10">
        <f>VLOOKUP(A557,Data_NV!$A:$I,8,0)</f>
        <v>0.3125</v>
      </c>
      <c r="X557" s="10">
        <f>VLOOKUP(A557,Data_NV!$A:$I,9,0)</f>
        <v>0.6875</v>
      </c>
      <c r="Y557" s="10">
        <f>IFERROR(TIMEVALUE(Table2[[#This Row],[Vào]]),0)</f>
        <v>0.35592592592592592</v>
      </c>
      <c r="Z557" s="10">
        <f>IFERROR(TIMEVALUE(Table2[[#This Row],[Ra]]),0)</f>
        <v>0</v>
      </c>
      <c r="AA557" t="str">
        <f t="shared" si="33"/>
        <v>1/2</v>
      </c>
      <c r="AB557" s="105">
        <f t="shared" si="34"/>
        <v>62.533333333333331</v>
      </c>
      <c r="AC557" s="12" t="str">
        <f>IF(VLOOKUP(A557,Data_NV!$A:$I,7,0)="Không","",IF(OR(AND(Y557=0,Z557=0),AND(Y557&lt;&gt;0,Z557&lt;&gt;0)),"","Quên chấm công"))</f>
        <v/>
      </c>
      <c r="AD557" s="12">
        <f>IF(VLOOKUP(A557,Data_NV!$A:$I,7,0)="Không",0,IF(AND(Y557=0,Z557=0),0,IF(X557&lt;=Z557,0,ROUNDDOWN((X557-Z557)*24*60,0))))</f>
        <v>0</v>
      </c>
      <c r="AE557" s="12">
        <f>IF(VLOOKUP(A557,Data_NV!$A:$I,6,0)="Không",0,IF(Z557&lt;=X557,0,ROUNDDOWN((Z557-X557)*24*60,0)))</f>
        <v>0</v>
      </c>
      <c r="AF557" s="26" t="str">
        <f t="shared" si="35"/>
        <v>Trừ 1/2 ngày lương</v>
      </c>
      <c r="AG557" s="27" t="str">
        <f>IF(AC557="","",IF(COUNTIFS($AC$3:AC557,"Quên chấm công",$S$3:S557,S557)&gt;3,"Không chấm công do vi phạm quá 3 lần",IF(COUNTIFS($AC$3:AC557,"Quên chấm công",$S$3:S557,S557)&gt;2,"Trừ toàn bộ chuyên cần tháng do vi phạm lần 3",IF(COUNTIFS($AC$3:AC557,"Quên chấm công",$S$3:S557,S557)&gt;1,"Trừ 1/2 ngày lương",50000))))</f>
        <v/>
      </c>
      <c r="AH557" s="12" t="str">
        <f>IF(AF557=0,"",IF(COUNTIFS($AF$3:AF557,"&gt;0",$S$3:S557,S557)&gt;3,"Trừ toàn bộ chuyên cần tháng",""))</f>
        <v/>
      </c>
      <c r="AI557" s="12"/>
    </row>
    <row r="558" spans="1:35" x14ac:dyDescent="0.25">
      <c r="A558" s="4" t="s">
        <v>890</v>
      </c>
      <c r="B558" s="1" t="s">
        <v>891</v>
      </c>
      <c r="C558" s="1" t="s">
        <v>20</v>
      </c>
      <c r="D558" s="1" t="s">
        <v>80</v>
      </c>
      <c r="E558" s="1" t="s">
        <v>22</v>
      </c>
      <c r="F558" s="1" t="s">
        <v>23</v>
      </c>
      <c r="G558" s="1" t="s">
        <v>12</v>
      </c>
      <c r="H558" s="1" t="s">
        <v>903</v>
      </c>
      <c r="I558" s="1" t="s">
        <v>24</v>
      </c>
      <c r="J558" s="1" t="s">
        <v>25</v>
      </c>
      <c r="K558" s="1" t="s">
        <v>25</v>
      </c>
      <c r="L558" s="1" t="s">
        <v>26</v>
      </c>
      <c r="M558" s="1" t="s">
        <v>25</v>
      </c>
      <c r="N558" s="1" t="s">
        <v>25</v>
      </c>
      <c r="O558" s="1" t="s">
        <v>25</v>
      </c>
      <c r="P558" s="1" t="s">
        <v>25</v>
      </c>
      <c r="Q558" s="1" t="s">
        <v>25</v>
      </c>
      <c r="R558" s="85" t="str">
        <f t="shared" si="32"/>
        <v>5045916</v>
      </c>
      <c r="S558" t="str">
        <f>VLOOKUP(A558,Data_NV!$A:$C,3,0)</f>
        <v>Nguyễn Hữu Phước</v>
      </c>
      <c r="T558" t="str">
        <f>VLOOKUP(A558,Data_NV!$A:$E,4,0)</f>
        <v>Vận Hành</v>
      </c>
      <c r="U558" s="82">
        <f>DATEVALUE(Table2[[#This Row],[Ngày]])</f>
        <v>45916</v>
      </c>
      <c r="V558" t="str">
        <f>VLOOKUP(A558,Data_NV!$A:$E,5,0)</f>
        <v>Đang làm việc</v>
      </c>
      <c r="W558" s="10">
        <f>VLOOKUP(A558,Data_NV!$A:$I,8,0)</f>
        <v>0.3125</v>
      </c>
      <c r="X558" s="10">
        <f>VLOOKUP(A558,Data_NV!$A:$I,9,0)</f>
        <v>0.6875</v>
      </c>
      <c r="Y558" s="10">
        <f>IFERROR(TIMEVALUE(Table2[[#This Row],[Vào]]),0)</f>
        <v>0.3147800925925926</v>
      </c>
      <c r="Z558" s="10">
        <f>IFERROR(TIMEVALUE(Table2[[#This Row],[Ra]]),0)</f>
        <v>0</v>
      </c>
      <c r="AA558" t="str">
        <f t="shared" si="33"/>
        <v>x</v>
      </c>
      <c r="AB558" s="105">
        <f t="shared" si="34"/>
        <v>3.2833333333333403</v>
      </c>
      <c r="AC558" s="12" t="str">
        <f>IF(VLOOKUP(A558,Data_NV!$A:$I,7,0)="Không","",IF(OR(AND(Y558=0,Z558=0),AND(Y558&lt;&gt;0,Z558&lt;&gt;0)),"","Quên chấm công"))</f>
        <v/>
      </c>
      <c r="AD558" s="12">
        <f>IF(VLOOKUP(A558,Data_NV!$A:$I,7,0)="Không",0,IF(AND(Y558=0,Z558=0),0,IF(X558&lt;=Z558,0,ROUNDDOWN((X558-Z558)*24*60,0))))</f>
        <v>0</v>
      </c>
      <c r="AE558" s="12">
        <f>IF(VLOOKUP(A558,Data_NV!$A:$I,6,0)="Không",0,IF(Z558&lt;=X558,0,ROUNDDOWN((Z558-X558)*24*60,0)))</f>
        <v>0</v>
      </c>
      <c r="AF558" s="26">
        <f t="shared" si="35"/>
        <v>0</v>
      </c>
      <c r="AG558" s="27" t="str">
        <f>IF(AC558="","",IF(COUNTIFS($AC$3:AC558,"Quên chấm công",$S$3:S558,S558)&gt;3,"Không chấm công do vi phạm quá 3 lần",IF(COUNTIFS($AC$3:AC558,"Quên chấm công",$S$3:S558,S558)&gt;2,"Trừ toàn bộ chuyên cần tháng do vi phạm lần 3",IF(COUNTIFS($AC$3:AC558,"Quên chấm công",$S$3:S558,S558)&gt;1,"Trừ 1/2 ngày lương",50000))))</f>
        <v/>
      </c>
      <c r="AH558" s="12" t="str">
        <f>IF(AF558=0,"",IF(COUNTIFS($AF$3:AF558,"&gt;0",$S$3:S558,S558)&gt;3,"Trừ toàn bộ chuyên cần tháng",""))</f>
        <v/>
      </c>
      <c r="AI558" s="12"/>
    </row>
    <row r="559" spans="1:35" x14ac:dyDescent="0.25">
      <c r="A559" s="4" t="s">
        <v>890</v>
      </c>
      <c r="B559" s="1" t="s">
        <v>891</v>
      </c>
      <c r="C559" s="1" t="s">
        <v>20</v>
      </c>
      <c r="D559" s="1" t="s">
        <v>85</v>
      </c>
      <c r="E559" s="1" t="s">
        <v>22</v>
      </c>
      <c r="F559" s="1" t="s">
        <v>23</v>
      </c>
      <c r="G559" s="1" t="s">
        <v>12</v>
      </c>
      <c r="H559" s="1" t="s">
        <v>542</v>
      </c>
      <c r="I559" s="1" t="s">
        <v>24</v>
      </c>
      <c r="J559" s="1" t="s">
        <v>25</v>
      </c>
      <c r="K559" s="1" t="s">
        <v>25</v>
      </c>
      <c r="L559" s="1" t="s">
        <v>26</v>
      </c>
      <c r="M559" s="1" t="s">
        <v>25</v>
      </c>
      <c r="N559" s="1" t="s">
        <v>25</v>
      </c>
      <c r="O559" s="1" t="s">
        <v>25</v>
      </c>
      <c r="P559" s="1" t="s">
        <v>25</v>
      </c>
      <c r="Q559" s="1" t="s">
        <v>25</v>
      </c>
      <c r="R559" s="85" t="str">
        <f t="shared" si="32"/>
        <v>5045917</v>
      </c>
      <c r="S559" t="str">
        <f>VLOOKUP(A559,Data_NV!$A:$C,3,0)</f>
        <v>Nguyễn Hữu Phước</v>
      </c>
      <c r="T559" t="str">
        <f>VLOOKUP(A559,Data_NV!$A:$E,4,0)</f>
        <v>Vận Hành</v>
      </c>
      <c r="U559" s="82">
        <f>DATEVALUE(Table2[[#This Row],[Ngày]])</f>
        <v>45917</v>
      </c>
      <c r="V559" t="str">
        <f>VLOOKUP(A559,Data_NV!$A:$E,5,0)</f>
        <v>Đang làm việc</v>
      </c>
      <c r="W559" s="10">
        <f>VLOOKUP(A559,Data_NV!$A:$I,8,0)</f>
        <v>0.3125</v>
      </c>
      <c r="X559" s="10">
        <f>VLOOKUP(A559,Data_NV!$A:$I,9,0)</f>
        <v>0.6875</v>
      </c>
      <c r="Y559" s="10">
        <f>IFERROR(TIMEVALUE(Table2[[#This Row],[Vào]]),0)</f>
        <v>0.31244212962962964</v>
      </c>
      <c r="Z559" s="10">
        <f>IFERROR(TIMEVALUE(Table2[[#This Row],[Ra]]),0)</f>
        <v>0</v>
      </c>
      <c r="AA559" t="str">
        <f t="shared" si="33"/>
        <v>x</v>
      </c>
      <c r="AB559" s="105">
        <f t="shared" si="34"/>
        <v>0</v>
      </c>
      <c r="AC559" s="12" t="str">
        <f>IF(VLOOKUP(A559,Data_NV!$A:$I,7,0)="Không","",IF(OR(AND(Y559=0,Z559=0),AND(Y559&lt;&gt;0,Z559&lt;&gt;0)),"","Quên chấm công"))</f>
        <v/>
      </c>
      <c r="AD559" s="12">
        <f>IF(VLOOKUP(A559,Data_NV!$A:$I,7,0)="Không",0,IF(AND(Y559=0,Z559=0),0,IF(X559&lt;=Z559,0,ROUNDDOWN((X559-Z559)*24*60,0))))</f>
        <v>0</v>
      </c>
      <c r="AE559" s="12">
        <f>IF(VLOOKUP(A559,Data_NV!$A:$I,6,0)="Không",0,IF(Z559&lt;=X559,0,ROUNDDOWN((Z559-X559)*24*60,0)))</f>
        <v>0</v>
      </c>
      <c r="AF559" s="26">
        <f t="shared" si="35"/>
        <v>0</v>
      </c>
      <c r="AG559" s="27" t="str">
        <f>IF(AC559="","",IF(COUNTIFS($AC$3:AC559,"Quên chấm công",$S$3:S559,S559)&gt;3,"Không chấm công do vi phạm quá 3 lần",IF(COUNTIFS($AC$3:AC559,"Quên chấm công",$S$3:S559,S559)&gt;2,"Trừ toàn bộ chuyên cần tháng do vi phạm lần 3",IF(COUNTIFS($AC$3:AC559,"Quên chấm công",$S$3:S559,S559)&gt;1,"Trừ 1/2 ngày lương",50000))))</f>
        <v/>
      </c>
      <c r="AH559" s="12" t="str">
        <f>IF(AF559=0,"",IF(COUNTIFS($AF$3:AF559,"&gt;0",$S$3:S559,S559)&gt;3,"Trừ toàn bộ chuyên cần tháng",""))</f>
        <v/>
      </c>
      <c r="AI559" s="12"/>
    </row>
    <row r="560" spans="1:35" x14ac:dyDescent="0.25">
      <c r="A560" s="4" t="s">
        <v>890</v>
      </c>
      <c r="B560" s="1" t="s">
        <v>891</v>
      </c>
      <c r="C560" s="1" t="s">
        <v>20</v>
      </c>
      <c r="D560" s="1" t="s">
        <v>90</v>
      </c>
      <c r="E560" s="1" t="s">
        <v>22</v>
      </c>
      <c r="F560" s="1" t="s">
        <v>23</v>
      </c>
      <c r="G560" s="1" t="s">
        <v>12</v>
      </c>
      <c r="H560" s="1" t="s">
        <v>904</v>
      </c>
      <c r="I560" s="1" t="s">
        <v>24</v>
      </c>
      <c r="J560" s="1" t="s">
        <v>25</v>
      </c>
      <c r="K560" s="1" t="s">
        <v>25</v>
      </c>
      <c r="L560" s="1" t="s">
        <v>26</v>
      </c>
      <c r="M560" s="1" t="s">
        <v>25</v>
      </c>
      <c r="N560" s="1" t="s">
        <v>25</v>
      </c>
      <c r="O560" s="1" t="s">
        <v>25</v>
      </c>
      <c r="P560" s="1" t="s">
        <v>25</v>
      </c>
      <c r="Q560" s="1" t="s">
        <v>25</v>
      </c>
      <c r="R560" s="85" t="str">
        <f t="shared" si="32"/>
        <v>5045918</v>
      </c>
      <c r="S560" t="str">
        <f>VLOOKUP(A560,Data_NV!$A:$C,3,0)</f>
        <v>Nguyễn Hữu Phước</v>
      </c>
      <c r="T560" t="str">
        <f>VLOOKUP(A560,Data_NV!$A:$E,4,0)</f>
        <v>Vận Hành</v>
      </c>
      <c r="U560" s="82">
        <f>DATEVALUE(Table2[[#This Row],[Ngày]])</f>
        <v>45918</v>
      </c>
      <c r="V560" t="str">
        <f>VLOOKUP(A560,Data_NV!$A:$E,5,0)</f>
        <v>Đang làm việc</v>
      </c>
      <c r="W560" s="10">
        <f>VLOOKUP(A560,Data_NV!$A:$I,8,0)</f>
        <v>0.3125</v>
      </c>
      <c r="X560" s="10">
        <f>VLOOKUP(A560,Data_NV!$A:$I,9,0)</f>
        <v>0.6875</v>
      </c>
      <c r="Y560" s="10">
        <f>IFERROR(TIMEVALUE(Table2[[#This Row],[Vào]]),0)</f>
        <v>0.3127199074074074</v>
      </c>
      <c r="Z560" s="10">
        <f>IFERROR(TIMEVALUE(Table2[[#This Row],[Ra]]),0)</f>
        <v>0</v>
      </c>
      <c r="AA560" t="str">
        <f t="shared" si="33"/>
        <v>x</v>
      </c>
      <c r="AB560" s="105">
        <f t="shared" si="34"/>
        <v>0.31666666666666288</v>
      </c>
      <c r="AC560" s="12" t="str">
        <f>IF(VLOOKUP(A560,Data_NV!$A:$I,7,0)="Không","",IF(OR(AND(Y560=0,Z560=0),AND(Y560&lt;&gt;0,Z560&lt;&gt;0)),"","Quên chấm công"))</f>
        <v/>
      </c>
      <c r="AD560" s="12">
        <f>IF(VLOOKUP(A560,Data_NV!$A:$I,7,0)="Không",0,IF(AND(Y560=0,Z560=0),0,IF(X560&lt;=Z560,0,ROUNDDOWN((X560-Z560)*24*60,0))))</f>
        <v>0</v>
      </c>
      <c r="AE560" s="12">
        <f>IF(VLOOKUP(A560,Data_NV!$A:$I,6,0)="Không",0,IF(Z560&lt;=X560,0,ROUNDDOWN((Z560-X560)*24*60,0)))</f>
        <v>0</v>
      </c>
      <c r="AF560" s="26">
        <f t="shared" si="35"/>
        <v>0</v>
      </c>
      <c r="AG560" s="27" t="str">
        <f>IF(AC560="","",IF(COUNTIFS($AC$3:AC560,"Quên chấm công",$S$3:S560,S560)&gt;3,"Không chấm công do vi phạm quá 3 lần",IF(COUNTIFS($AC$3:AC560,"Quên chấm công",$S$3:S560,S560)&gt;2,"Trừ toàn bộ chuyên cần tháng do vi phạm lần 3",IF(COUNTIFS($AC$3:AC560,"Quên chấm công",$S$3:S560,S560)&gt;1,"Trừ 1/2 ngày lương",50000))))</f>
        <v/>
      </c>
      <c r="AH560" s="12" t="str">
        <f>IF(AF560=0,"",IF(COUNTIFS($AF$3:AF560,"&gt;0",$S$3:S560,S560)&gt;3,"Trừ toàn bộ chuyên cần tháng",""))</f>
        <v/>
      </c>
      <c r="AI560" s="12"/>
    </row>
    <row r="561" spans="1:35" x14ac:dyDescent="0.25">
      <c r="A561" s="4" t="s">
        <v>890</v>
      </c>
      <c r="B561" s="1" t="s">
        <v>891</v>
      </c>
      <c r="C561" s="1" t="s">
        <v>20</v>
      </c>
      <c r="D561" s="1" t="s">
        <v>95</v>
      </c>
      <c r="E561" s="1" t="s">
        <v>22</v>
      </c>
      <c r="F561" s="1" t="s">
        <v>23</v>
      </c>
      <c r="G561" s="1" t="s">
        <v>12</v>
      </c>
      <c r="H561" s="1" t="s">
        <v>905</v>
      </c>
      <c r="I561" s="1" t="s">
        <v>24</v>
      </c>
      <c r="J561" s="1" t="s">
        <v>25</v>
      </c>
      <c r="K561" s="1" t="s">
        <v>25</v>
      </c>
      <c r="L561" s="1" t="s">
        <v>26</v>
      </c>
      <c r="M561" s="1" t="s">
        <v>25</v>
      </c>
      <c r="N561" s="1" t="s">
        <v>25</v>
      </c>
      <c r="O561" s="1" t="s">
        <v>25</v>
      </c>
      <c r="P561" s="1" t="s">
        <v>25</v>
      </c>
      <c r="Q561" s="1" t="s">
        <v>25</v>
      </c>
      <c r="R561" s="85" t="str">
        <f t="shared" si="32"/>
        <v>5045919</v>
      </c>
      <c r="S561" t="str">
        <f>VLOOKUP(A561,Data_NV!$A:$C,3,0)</f>
        <v>Nguyễn Hữu Phước</v>
      </c>
      <c r="T561" t="str">
        <f>VLOOKUP(A561,Data_NV!$A:$E,4,0)</f>
        <v>Vận Hành</v>
      </c>
      <c r="U561" s="82">
        <f>DATEVALUE(Table2[[#This Row],[Ngày]])</f>
        <v>45919</v>
      </c>
      <c r="V561" t="str">
        <f>VLOOKUP(A561,Data_NV!$A:$E,5,0)</f>
        <v>Đang làm việc</v>
      </c>
      <c r="W561" s="10">
        <f>VLOOKUP(A561,Data_NV!$A:$I,8,0)</f>
        <v>0.3125</v>
      </c>
      <c r="X561" s="10">
        <f>VLOOKUP(A561,Data_NV!$A:$I,9,0)</f>
        <v>0.6875</v>
      </c>
      <c r="Y561" s="10">
        <f>IFERROR(TIMEVALUE(Table2[[#This Row],[Vào]]),0)</f>
        <v>0.31160879629629629</v>
      </c>
      <c r="Z561" s="10">
        <f>IFERROR(TIMEVALUE(Table2[[#This Row],[Ra]]),0)</f>
        <v>0</v>
      </c>
      <c r="AA561" t="str">
        <f t="shared" si="33"/>
        <v>x</v>
      </c>
      <c r="AB561" s="105">
        <f t="shared" si="34"/>
        <v>0</v>
      </c>
      <c r="AC561" s="12" t="str">
        <f>IF(VLOOKUP(A561,Data_NV!$A:$I,7,0)="Không","",IF(OR(AND(Y561=0,Z561=0),AND(Y561&lt;&gt;0,Z561&lt;&gt;0)),"","Quên chấm công"))</f>
        <v/>
      </c>
      <c r="AD561" s="12">
        <f>IF(VLOOKUP(A561,Data_NV!$A:$I,7,0)="Không",0,IF(AND(Y561=0,Z561=0),0,IF(X561&lt;=Z561,0,ROUNDDOWN((X561-Z561)*24*60,0))))</f>
        <v>0</v>
      </c>
      <c r="AE561" s="12">
        <f>IF(VLOOKUP(A561,Data_NV!$A:$I,6,0)="Không",0,IF(Z561&lt;=X561,0,ROUNDDOWN((Z561-X561)*24*60,0)))</f>
        <v>0</v>
      </c>
      <c r="AF561" s="26">
        <f t="shared" si="35"/>
        <v>0</v>
      </c>
      <c r="AG561" s="27" t="str">
        <f>IF(AC561="","",IF(COUNTIFS($AC$3:AC561,"Quên chấm công",$S$3:S561,S561)&gt;3,"Không chấm công do vi phạm quá 3 lần",IF(COUNTIFS($AC$3:AC561,"Quên chấm công",$S$3:S561,S561)&gt;2,"Trừ toàn bộ chuyên cần tháng do vi phạm lần 3",IF(COUNTIFS($AC$3:AC561,"Quên chấm công",$S$3:S561,S561)&gt;1,"Trừ 1/2 ngày lương",50000))))</f>
        <v/>
      </c>
      <c r="AH561" s="12" t="str">
        <f>IF(AF561=0,"",IF(COUNTIFS($AF$3:AF561,"&gt;0",$S$3:S561,S561)&gt;3,"Trừ toàn bộ chuyên cần tháng",""))</f>
        <v/>
      </c>
      <c r="AI561" s="12"/>
    </row>
    <row r="562" spans="1:35" x14ac:dyDescent="0.25">
      <c r="A562" s="4" t="s">
        <v>890</v>
      </c>
      <c r="B562" s="1" t="s">
        <v>891</v>
      </c>
      <c r="C562" s="1" t="s">
        <v>20</v>
      </c>
      <c r="D562" s="1" t="s">
        <v>100</v>
      </c>
      <c r="E562" s="1" t="s">
        <v>22</v>
      </c>
      <c r="F562" s="1" t="s">
        <v>23</v>
      </c>
      <c r="G562" s="1" t="s">
        <v>12</v>
      </c>
      <c r="H562" s="1" t="s">
        <v>906</v>
      </c>
      <c r="I562" s="1" t="s">
        <v>24</v>
      </c>
      <c r="J562" s="1" t="s">
        <v>25</v>
      </c>
      <c r="K562" s="1" t="s">
        <v>25</v>
      </c>
      <c r="L562" s="1" t="s">
        <v>26</v>
      </c>
      <c r="M562" s="1" t="s">
        <v>25</v>
      </c>
      <c r="N562" s="1" t="s">
        <v>25</v>
      </c>
      <c r="O562" s="1" t="s">
        <v>25</v>
      </c>
      <c r="P562" s="1" t="s">
        <v>25</v>
      </c>
      <c r="Q562" s="1" t="s">
        <v>25</v>
      </c>
      <c r="R562" s="85" t="str">
        <f t="shared" si="32"/>
        <v>5045920</v>
      </c>
      <c r="S562" t="str">
        <f>VLOOKUP(A562,Data_NV!$A:$C,3,0)</f>
        <v>Nguyễn Hữu Phước</v>
      </c>
      <c r="T562" t="str">
        <f>VLOOKUP(A562,Data_NV!$A:$E,4,0)</f>
        <v>Vận Hành</v>
      </c>
      <c r="U562" s="82">
        <f>DATEVALUE(Table2[[#This Row],[Ngày]])</f>
        <v>45920</v>
      </c>
      <c r="V562" t="str">
        <f>VLOOKUP(A562,Data_NV!$A:$E,5,0)</f>
        <v>Đang làm việc</v>
      </c>
      <c r="W562" s="10">
        <f>VLOOKUP(A562,Data_NV!$A:$I,8,0)</f>
        <v>0.3125</v>
      </c>
      <c r="X562" s="10">
        <f>VLOOKUP(A562,Data_NV!$A:$I,9,0)</f>
        <v>0.6875</v>
      </c>
      <c r="Y562" s="10">
        <f>IFERROR(TIMEVALUE(Table2[[#This Row],[Vào]]),0)</f>
        <v>0.30954861111111109</v>
      </c>
      <c r="Z562" s="10">
        <f>IFERROR(TIMEVALUE(Table2[[#This Row],[Ra]]),0)</f>
        <v>0</v>
      </c>
      <c r="AA562" t="str">
        <f t="shared" si="33"/>
        <v>x</v>
      </c>
      <c r="AB562" s="105">
        <f t="shared" si="34"/>
        <v>0</v>
      </c>
      <c r="AC562" s="12" t="str">
        <f>IF(VLOOKUP(A562,Data_NV!$A:$I,7,0)="Không","",IF(OR(AND(Y562=0,Z562=0),AND(Y562&lt;&gt;0,Z562&lt;&gt;0)),"","Quên chấm công"))</f>
        <v/>
      </c>
      <c r="AD562" s="12">
        <f>IF(VLOOKUP(A562,Data_NV!$A:$I,7,0)="Không",0,IF(AND(Y562=0,Z562=0),0,IF(X562&lt;=Z562,0,ROUNDDOWN((X562-Z562)*24*60,0))))</f>
        <v>0</v>
      </c>
      <c r="AE562" s="12">
        <f>IF(VLOOKUP(A562,Data_NV!$A:$I,6,0)="Không",0,IF(Z562&lt;=X562,0,ROUNDDOWN((Z562-X562)*24*60,0)))</f>
        <v>0</v>
      </c>
      <c r="AF562" s="26">
        <f t="shared" si="35"/>
        <v>0</v>
      </c>
      <c r="AG562" s="27" t="str">
        <f>IF(AC562="","",IF(COUNTIFS($AC$3:AC562,"Quên chấm công",$S$3:S562,S562)&gt;3,"Không chấm công do vi phạm quá 3 lần",IF(COUNTIFS($AC$3:AC562,"Quên chấm công",$S$3:S562,S562)&gt;2,"Trừ toàn bộ chuyên cần tháng do vi phạm lần 3",IF(COUNTIFS($AC$3:AC562,"Quên chấm công",$S$3:S562,S562)&gt;1,"Trừ 1/2 ngày lương",50000))))</f>
        <v/>
      </c>
      <c r="AH562" s="12" t="str">
        <f>IF(AF562=0,"",IF(COUNTIFS($AF$3:AF562,"&gt;0",$S$3:S562,S562)&gt;3,"Trừ toàn bộ chuyên cần tháng",""))</f>
        <v/>
      </c>
      <c r="AI562" s="12"/>
    </row>
    <row r="563" spans="1:35" x14ac:dyDescent="0.25">
      <c r="A563" s="4" t="s">
        <v>890</v>
      </c>
      <c r="B563" s="1" t="s">
        <v>891</v>
      </c>
      <c r="C563" s="1" t="s">
        <v>20</v>
      </c>
      <c r="D563" s="1" t="s">
        <v>105</v>
      </c>
      <c r="E563" s="1" t="s">
        <v>22</v>
      </c>
      <c r="F563" s="1" t="s">
        <v>23</v>
      </c>
      <c r="G563" s="1" t="s">
        <v>12</v>
      </c>
      <c r="H563" s="1" t="s">
        <v>24</v>
      </c>
      <c r="I563" s="1" t="s">
        <v>24</v>
      </c>
      <c r="J563" s="1" t="s">
        <v>25</v>
      </c>
      <c r="K563" s="1" t="s">
        <v>25</v>
      </c>
      <c r="L563" s="1" t="s">
        <v>26</v>
      </c>
      <c r="M563" s="1" t="s">
        <v>25</v>
      </c>
      <c r="N563" s="1" t="s">
        <v>25</v>
      </c>
      <c r="O563" s="1" t="s">
        <v>25</v>
      </c>
      <c r="P563" s="1" t="s">
        <v>25</v>
      </c>
      <c r="Q563" s="1" t="s">
        <v>25</v>
      </c>
      <c r="R563" s="85" t="str">
        <f t="shared" si="32"/>
        <v>5045921</v>
      </c>
      <c r="S563" t="str">
        <f>VLOOKUP(A563,Data_NV!$A:$C,3,0)</f>
        <v>Nguyễn Hữu Phước</v>
      </c>
      <c r="T563" t="str">
        <f>VLOOKUP(A563,Data_NV!$A:$E,4,0)</f>
        <v>Vận Hành</v>
      </c>
      <c r="U563" s="82">
        <f>DATEVALUE(Table2[[#This Row],[Ngày]])</f>
        <v>45921</v>
      </c>
      <c r="V563" t="str">
        <f>VLOOKUP(A563,Data_NV!$A:$E,5,0)</f>
        <v>Đang làm việc</v>
      </c>
      <c r="W563" s="10">
        <f>VLOOKUP(A563,Data_NV!$A:$I,8,0)</f>
        <v>0.3125</v>
      </c>
      <c r="X563" s="10">
        <f>VLOOKUP(A563,Data_NV!$A:$I,9,0)</f>
        <v>0.6875</v>
      </c>
      <c r="Y563" s="10">
        <f>IFERROR(TIMEVALUE(Table2[[#This Row],[Vào]]),0)</f>
        <v>0</v>
      </c>
      <c r="Z563" s="10">
        <f>IFERROR(TIMEVALUE(Table2[[#This Row],[Ra]]),0)</f>
        <v>0</v>
      </c>
      <c r="AA563" t="str">
        <f t="shared" si="33"/>
        <v>Chủ nhật</v>
      </c>
      <c r="AB563" s="105">
        <f t="shared" si="34"/>
        <v>0</v>
      </c>
      <c r="AC563" s="12" t="str">
        <f>IF(VLOOKUP(A563,Data_NV!$A:$I,7,0)="Không","",IF(OR(AND(Y563=0,Z563=0),AND(Y563&lt;&gt;0,Z563&lt;&gt;0)),"","Quên chấm công"))</f>
        <v/>
      </c>
      <c r="AD563" s="12">
        <f>IF(VLOOKUP(A563,Data_NV!$A:$I,7,0)="Không",0,IF(AND(Y563=0,Z563=0),0,IF(X563&lt;=Z563,0,ROUNDDOWN((X563-Z563)*24*60,0))))</f>
        <v>0</v>
      </c>
      <c r="AE563" s="12">
        <f>IF(VLOOKUP(A563,Data_NV!$A:$I,6,0)="Không",0,IF(Z563&lt;=X563,0,ROUNDDOWN((Z563-X563)*24*60,0)))</f>
        <v>0</v>
      </c>
      <c r="AF563" s="26">
        <f t="shared" si="35"/>
        <v>0</v>
      </c>
      <c r="AG563" s="27" t="str">
        <f>IF(AC563="","",IF(COUNTIFS($AC$3:AC563,"Quên chấm công",$S$3:S563,S563)&gt;3,"Không chấm công do vi phạm quá 3 lần",IF(COUNTIFS($AC$3:AC563,"Quên chấm công",$S$3:S563,S563)&gt;2,"Trừ toàn bộ chuyên cần tháng do vi phạm lần 3",IF(COUNTIFS($AC$3:AC563,"Quên chấm công",$S$3:S563,S563)&gt;1,"Trừ 1/2 ngày lương",50000))))</f>
        <v/>
      </c>
      <c r="AH563" s="12" t="str">
        <f>IF(AF563=0,"",IF(COUNTIFS($AF$3:AF563,"&gt;0",$S$3:S563,S563)&gt;3,"Trừ toàn bộ chuyên cần tháng",""))</f>
        <v/>
      </c>
      <c r="AI563" s="12"/>
    </row>
    <row r="564" spans="1:35" x14ac:dyDescent="0.25">
      <c r="A564" s="4" t="s">
        <v>890</v>
      </c>
      <c r="B564" s="1" t="s">
        <v>891</v>
      </c>
      <c r="C564" s="1" t="s">
        <v>20</v>
      </c>
      <c r="D564" s="1" t="s">
        <v>106</v>
      </c>
      <c r="E564" s="1" t="s">
        <v>22</v>
      </c>
      <c r="F564" s="1" t="s">
        <v>23</v>
      </c>
      <c r="G564" s="1" t="s">
        <v>12</v>
      </c>
      <c r="H564" s="1" t="s">
        <v>907</v>
      </c>
      <c r="I564" s="1" t="s">
        <v>24</v>
      </c>
      <c r="J564" s="1" t="s">
        <v>25</v>
      </c>
      <c r="K564" s="1" t="s">
        <v>25</v>
      </c>
      <c r="L564" s="1" t="s">
        <v>26</v>
      </c>
      <c r="M564" s="1" t="s">
        <v>25</v>
      </c>
      <c r="N564" s="1" t="s">
        <v>25</v>
      </c>
      <c r="O564" s="1" t="s">
        <v>25</v>
      </c>
      <c r="P564" s="1" t="s">
        <v>25</v>
      </c>
      <c r="Q564" s="1" t="s">
        <v>25</v>
      </c>
      <c r="R564" s="85" t="str">
        <f t="shared" si="32"/>
        <v>5045922</v>
      </c>
      <c r="S564" t="str">
        <f>VLOOKUP(A564,Data_NV!$A:$C,3,0)</f>
        <v>Nguyễn Hữu Phước</v>
      </c>
      <c r="T564" t="str">
        <f>VLOOKUP(A564,Data_NV!$A:$E,4,0)</f>
        <v>Vận Hành</v>
      </c>
      <c r="U564" s="82">
        <f>DATEVALUE(Table2[[#This Row],[Ngày]])</f>
        <v>45922</v>
      </c>
      <c r="V564" t="str">
        <f>VLOOKUP(A564,Data_NV!$A:$E,5,0)</f>
        <v>Đang làm việc</v>
      </c>
      <c r="W564" s="10">
        <f>VLOOKUP(A564,Data_NV!$A:$I,8,0)</f>
        <v>0.3125</v>
      </c>
      <c r="X564" s="10">
        <f>VLOOKUP(A564,Data_NV!$A:$I,9,0)</f>
        <v>0.6875</v>
      </c>
      <c r="Y564" s="10">
        <f>IFERROR(TIMEVALUE(Table2[[#This Row],[Vào]]),0)</f>
        <v>0.31142361111111111</v>
      </c>
      <c r="Z564" s="10">
        <f>IFERROR(TIMEVALUE(Table2[[#This Row],[Ra]]),0)</f>
        <v>0</v>
      </c>
      <c r="AA564" t="str">
        <f t="shared" si="33"/>
        <v>x</v>
      </c>
      <c r="AB564" s="105">
        <f t="shared" si="34"/>
        <v>0</v>
      </c>
      <c r="AC564" s="12" t="str">
        <f>IF(VLOOKUP(A564,Data_NV!$A:$I,7,0)="Không","",IF(OR(AND(Y564=0,Z564=0),AND(Y564&lt;&gt;0,Z564&lt;&gt;0)),"","Quên chấm công"))</f>
        <v/>
      </c>
      <c r="AD564" s="12">
        <f>IF(VLOOKUP(A564,Data_NV!$A:$I,7,0)="Không",0,IF(AND(Y564=0,Z564=0),0,IF(X564&lt;=Z564,0,ROUNDDOWN((X564-Z564)*24*60,0))))</f>
        <v>0</v>
      </c>
      <c r="AE564" s="12">
        <f>IF(VLOOKUP(A564,Data_NV!$A:$I,6,0)="Không",0,IF(Z564&lt;=X564,0,ROUNDDOWN((Z564-X564)*24*60,0)))</f>
        <v>0</v>
      </c>
      <c r="AF564" s="26">
        <f t="shared" si="35"/>
        <v>0</v>
      </c>
      <c r="AG564" s="27" t="str">
        <f>IF(AC564="","",IF(COUNTIFS($AC$3:AC564,"Quên chấm công",$S$3:S564,S564)&gt;3,"Không chấm công do vi phạm quá 3 lần",IF(COUNTIFS($AC$3:AC564,"Quên chấm công",$S$3:S564,S564)&gt;2,"Trừ toàn bộ chuyên cần tháng do vi phạm lần 3",IF(COUNTIFS($AC$3:AC564,"Quên chấm công",$S$3:S564,S564)&gt;1,"Trừ 1/2 ngày lương",50000))))</f>
        <v/>
      </c>
      <c r="AH564" s="12" t="str">
        <f>IF(AF564=0,"",IF(COUNTIFS($AF$3:AF564,"&gt;0",$S$3:S564,S564)&gt;3,"Trừ toàn bộ chuyên cần tháng",""))</f>
        <v/>
      </c>
      <c r="AI564" s="12"/>
    </row>
    <row r="565" spans="1:35" x14ac:dyDescent="0.25">
      <c r="A565" s="4" t="s">
        <v>890</v>
      </c>
      <c r="B565" s="1" t="s">
        <v>891</v>
      </c>
      <c r="C565" s="1" t="s">
        <v>20</v>
      </c>
      <c r="D565" s="1" t="s">
        <v>111</v>
      </c>
      <c r="E565" s="1" t="s">
        <v>22</v>
      </c>
      <c r="F565" s="1" t="s">
        <v>23</v>
      </c>
      <c r="G565" s="1" t="s">
        <v>12</v>
      </c>
      <c r="H565" s="1" t="s">
        <v>908</v>
      </c>
      <c r="I565" s="1" t="s">
        <v>24</v>
      </c>
      <c r="J565" s="1" t="s">
        <v>25</v>
      </c>
      <c r="K565" s="1" t="s">
        <v>25</v>
      </c>
      <c r="L565" s="1" t="s">
        <v>26</v>
      </c>
      <c r="M565" s="1" t="s">
        <v>25</v>
      </c>
      <c r="N565" s="1" t="s">
        <v>25</v>
      </c>
      <c r="O565" s="1" t="s">
        <v>25</v>
      </c>
      <c r="P565" s="1" t="s">
        <v>25</v>
      </c>
      <c r="Q565" s="1" t="s">
        <v>25</v>
      </c>
      <c r="R565" s="85" t="str">
        <f t="shared" si="32"/>
        <v>5045923</v>
      </c>
      <c r="S565" t="str">
        <f>VLOOKUP(A565,Data_NV!$A:$C,3,0)</f>
        <v>Nguyễn Hữu Phước</v>
      </c>
      <c r="T565" t="str">
        <f>VLOOKUP(A565,Data_NV!$A:$E,4,0)</f>
        <v>Vận Hành</v>
      </c>
      <c r="U565" s="82">
        <f>DATEVALUE(Table2[[#This Row],[Ngày]])</f>
        <v>45923</v>
      </c>
      <c r="V565" t="str">
        <f>VLOOKUP(A565,Data_NV!$A:$E,5,0)</f>
        <v>Đang làm việc</v>
      </c>
      <c r="W565" s="10">
        <f>VLOOKUP(A565,Data_NV!$A:$I,8,0)</f>
        <v>0.3125</v>
      </c>
      <c r="X565" s="10">
        <f>VLOOKUP(A565,Data_NV!$A:$I,9,0)</f>
        <v>0.6875</v>
      </c>
      <c r="Y565" s="10">
        <f>IFERROR(TIMEVALUE(Table2[[#This Row],[Vào]]),0)</f>
        <v>0.31527777777777777</v>
      </c>
      <c r="Z565" s="10">
        <f>IFERROR(TIMEVALUE(Table2[[#This Row],[Ra]]),0)</f>
        <v>0</v>
      </c>
      <c r="AA565" t="str">
        <f t="shared" si="33"/>
        <v>x</v>
      </c>
      <c r="AB565" s="105">
        <f t="shared" si="34"/>
        <v>3.9999999999999858</v>
      </c>
      <c r="AC565" s="12" t="str">
        <f>IF(VLOOKUP(A565,Data_NV!$A:$I,7,0)="Không","",IF(OR(AND(Y565=0,Z565=0),AND(Y565&lt;&gt;0,Z565&lt;&gt;0)),"","Quên chấm công"))</f>
        <v/>
      </c>
      <c r="AD565" s="12">
        <f>IF(VLOOKUP(A565,Data_NV!$A:$I,7,0)="Không",0,IF(AND(Y565=0,Z565=0),0,IF(X565&lt;=Z565,0,ROUNDDOWN((X565-Z565)*24*60,0))))</f>
        <v>0</v>
      </c>
      <c r="AE565" s="12">
        <f>IF(VLOOKUP(A565,Data_NV!$A:$I,6,0)="Không",0,IF(Z565&lt;=X565,0,ROUNDDOWN((Z565-X565)*24*60,0)))</f>
        <v>0</v>
      </c>
      <c r="AF565" s="26">
        <f t="shared" si="35"/>
        <v>0</v>
      </c>
      <c r="AG565" s="27" t="str">
        <f>IF(AC565="","",IF(COUNTIFS($AC$3:AC565,"Quên chấm công",$S$3:S565,S565)&gt;3,"Không chấm công do vi phạm quá 3 lần",IF(COUNTIFS($AC$3:AC565,"Quên chấm công",$S$3:S565,S565)&gt;2,"Trừ toàn bộ chuyên cần tháng do vi phạm lần 3",IF(COUNTIFS($AC$3:AC565,"Quên chấm công",$S$3:S565,S565)&gt;1,"Trừ 1/2 ngày lương",50000))))</f>
        <v/>
      </c>
      <c r="AH565" s="12" t="str">
        <f>IF(AF565=0,"",IF(COUNTIFS($AF$3:AF565,"&gt;0",$S$3:S565,S565)&gt;3,"Trừ toàn bộ chuyên cần tháng",""))</f>
        <v/>
      </c>
      <c r="AI565" s="12"/>
    </row>
    <row r="566" spans="1:35" x14ac:dyDescent="0.25">
      <c r="A566" s="4" t="s">
        <v>890</v>
      </c>
      <c r="B566" s="1" t="s">
        <v>891</v>
      </c>
      <c r="C566" s="1" t="s">
        <v>20</v>
      </c>
      <c r="D566" s="1" t="s">
        <v>116</v>
      </c>
      <c r="E566" s="1" t="s">
        <v>22</v>
      </c>
      <c r="F566" s="1" t="s">
        <v>23</v>
      </c>
      <c r="G566" s="1" t="s">
        <v>12</v>
      </c>
      <c r="H566" s="1" t="s">
        <v>909</v>
      </c>
      <c r="I566" s="1" t="s">
        <v>24</v>
      </c>
      <c r="J566" s="1" t="s">
        <v>25</v>
      </c>
      <c r="K566" s="1" t="s">
        <v>25</v>
      </c>
      <c r="L566" s="1" t="s">
        <v>26</v>
      </c>
      <c r="M566" s="1" t="s">
        <v>25</v>
      </c>
      <c r="N566" s="1" t="s">
        <v>25</v>
      </c>
      <c r="O566" s="1" t="s">
        <v>25</v>
      </c>
      <c r="P566" s="1" t="s">
        <v>25</v>
      </c>
      <c r="Q566" s="1" t="s">
        <v>25</v>
      </c>
      <c r="R566" s="85" t="str">
        <f t="shared" si="32"/>
        <v>5045924</v>
      </c>
      <c r="S566" t="str">
        <f>VLOOKUP(A566,Data_NV!$A:$C,3,0)</f>
        <v>Nguyễn Hữu Phước</v>
      </c>
      <c r="T566" t="str">
        <f>VLOOKUP(A566,Data_NV!$A:$E,4,0)</f>
        <v>Vận Hành</v>
      </c>
      <c r="U566" s="82">
        <f>DATEVALUE(Table2[[#This Row],[Ngày]])</f>
        <v>45924</v>
      </c>
      <c r="V566" t="str">
        <f>VLOOKUP(A566,Data_NV!$A:$E,5,0)</f>
        <v>Đang làm việc</v>
      </c>
      <c r="W566" s="10">
        <f>VLOOKUP(A566,Data_NV!$A:$I,8,0)</f>
        <v>0.3125</v>
      </c>
      <c r="X566" s="10">
        <f>VLOOKUP(A566,Data_NV!$A:$I,9,0)</f>
        <v>0.6875</v>
      </c>
      <c r="Y566" s="10">
        <f>IFERROR(TIMEVALUE(Table2[[#This Row],[Vào]]),0)</f>
        <v>0.31247685185185187</v>
      </c>
      <c r="Z566" s="10">
        <f>IFERROR(TIMEVALUE(Table2[[#This Row],[Ra]]),0)</f>
        <v>0</v>
      </c>
      <c r="AA566" t="str">
        <f t="shared" si="33"/>
        <v>x</v>
      </c>
      <c r="AB566" s="105">
        <f t="shared" si="34"/>
        <v>0</v>
      </c>
      <c r="AC566" s="12" t="str">
        <f>IF(VLOOKUP(A566,Data_NV!$A:$I,7,0)="Không","",IF(OR(AND(Y566=0,Z566=0),AND(Y566&lt;&gt;0,Z566&lt;&gt;0)),"","Quên chấm công"))</f>
        <v/>
      </c>
      <c r="AD566" s="12">
        <f>IF(VLOOKUP(A566,Data_NV!$A:$I,7,0)="Không",0,IF(AND(Y566=0,Z566=0),0,IF(X566&lt;=Z566,0,ROUNDDOWN((X566-Z566)*24*60,0))))</f>
        <v>0</v>
      </c>
      <c r="AE566" s="12">
        <f>IF(VLOOKUP(A566,Data_NV!$A:$I,6,0)="Không",0,IF(Z566&lt;=X566,0,ROUNDDOWN((Z566-X566)*24*60,0)))</f>
        <v>0</v>
      </c>
      <c r="AF566" s="26">
        <f t="shared" si="35"/>
        <v>0</v>
      </c>
      <c r="AG566" s="27" t="str">
        <f>IF(AC566="","",IF(COUNTIFS($AC$3:AC566,"Quên chấm công",$S$3:S566,S566)&gt;3,"Không chấm công do vi phạm quá 3 lần",IF(COUNTIFS($AC$3:AC566,"Quên chấm công",$S$3:S566,S566)&gt;2,"Trừ toàn bộ chuyên cần tháng do vi phạm lần 3",IF(COUNTIFS($AC$3:AC566,"Quên chấm công",$S$3:S566,S566)&gt;1,"Trừ 1/2 ngày lương",50000))))</f>
        <v/>
      </c>
      <c r="AH566" s="12" t="str">
        <f>IF(AF566=0,"",IF(COUNTIFS($AF$3:AF566,"&gt;0",$S$3:S566,S566)&gt;3,"Trừ toàn bộ chuyên cần tháng",""))</f>
        <v/>
      </c>
      <c r="AI566" s="12"/>
    </row>
    <row r="567" spans="1:35" x14ac:dyDescent="0.25">
      <c r="A567" s="4" t="s">
        <v>890</v>
      </c>
      <c r="B567" s="1" t="s">
        <v>891</v>
      </c>
      <c r="C567" s="1" t="s">
        <v>20</v>
      </c>
      <c r="D567" s="1" t="s">
        <v>121</v>
      </c>
      <c r="E567" s="1" t="s">
        <v>22</v>
      </c>
      <c r="F567" s="1" t="s">
        <v>23</v>
      </c>
      <c r="G567" s="1" t="s">
        <v>12</v>
      </c>
      <c r="H567" s="1" t="s">
        <v>910</v>
      </c>
      <c r="I567" s="1" t="s">
        <v>24</v>
      </c>
      <c r="J567" s="1" t="s">
        <v>25</v>
      </c>
      <c r="K567" s="1" t="s">
        <v>25</v>
      </c>
      <c r="L567" s="1" t="s">
        <v>26</v>
      </c>
      <c r="M567" s="1" t="s">
        <v>25</v>
      </c>
      <c r="N567" s="1" t="s">
        <v>25</v>
      </c>
      <c r="O567" s="1" t="s">
        <v>25</v>
      </c>
      <c r="P567" s="1" t="s">
        <v>25</v>
      </c>
      <c r="Q567" s="1" t="s">
        <v>25</v>
      </c>
      <c r="R567" s="85" t="str">
        <f t="shared" si="32"/>
        <v>5045925</v>
      </c>
      <c r="S567" t="str">
        <f>VLOOKUP(A567,Data_NV!$A:$C,3,0)</f>
        <v>Nguyễn Hữu Phước</v>
      </c>
      <c r="T567" t="str">
        <f>VLOOKUP(A567,Data_NV!$A:$E,4,0)</f>
        <v>Vận Hành</v>
      </c>
      <c r="U567" s="82">
        <f>DATEVALUE(Table2[[#This Row],[Ngày]])</f>
        <v>45925</v>
      </c>
      <c r="V567" t="str">
        <f>VLOOKUP(A567,Data_NV!$A:$E,5,0)</f>
        <v>Đang làm việc</v>
      </c>
      <c r="W567" s="10">
        <f>VLOOKUP(A567,Data_NV!$A:$I,8,0)</f>
        <v>0.3125</v>
      </c>
      <c r="X567" s="10">
        <f>VLOOKUP(A567,Data_NV!$A:$I,9,0)</f>
        <v>0.6875</v>
      </c>
      <c r="Y567" s="10">
        <f>IFERROR(TIMEVALUE(Table2[[#This Row],[Vào]]),0)</f>
        <v>0.31188657407407405</v>
      </c>
      <c r="Z567" s="10">
        <f>IFERROR(TIMEVALUE(Table2[[#This Row],[Ra]]),0)</f>
        <v>0</v>
      </c>
      <c r="AA567" t="str">
        <f t="shared" si="33"/>
        <v>x</v>
      </c>
      <c r="AB567" s="105">
        <f t="shared" si="34"/>
        <v>0</v>
      </c>
      <c r="AC567" s="12" t="str">
        <f>IF(VLOOKUP(A567,Data_NV!$A:$I,7,0)="Không","",IF(OR(AND(Y567=0,Z567=0),AND(Y567&lt;&gt;0,Z567&lt;&gt;0)),"","Quên chấm công"))</f>
        <v/>
      </c>
      <c r="AD567" s="12">
        <f>IF(VLOOKUP(A567,Data_NV!$A:$I,7,0)="Không",0,IF(AND(Y567=0,Z567=0),0,IF(X567&lt;=Z567,0,ROUNDDOWN((X567-Z567)*24*60,0))))</f>
        <v>0</v>
      </c>
      <c r="AE567" s="12">
        <f>IF(VLOOKUP(A567,Data_NV!$A:$I,6,0)="Không",0,IF(Z567&lt;=X567,0,ROUNDDOWN((Z567-X567)*24*60,0)))</f>
        <v>0</v>
      </c>
      <c r="AF567" s="26">
        <f t="shared" si="35"/>
        <v>0</v>
      </c>
      <c r="AG567" s="27" t="str">
        <f>IF(AC567="","",IF(COUNTIFS($AC$3:AC567,"Quên chấm công",$S$3:S567,S567)&gt;3,"Không chấm công do vi phạm quá 3 lần",IF(COUNTIFS($AC$3:AC567,"Quên chấm công",$S$3:S567,S567)&gt;2,"Trừ toàn bộ chuyên cần tháng do vi phạm lần 3",IF(COUNTIFS($AC$3:AC567,"Quên chấm công",$S$3:S567,S567)&gt;1,"Trừ 1/2 ngày lương",50000))))</f>
        <v/>
      </c>
      <c r="AH567" s="12" t="str">
        <f>IF(AF567=0,"",IF(COUNTIFS($AF$3:AF567,"&gt;0",$S$3:S567,S567)&gt;3,"Trừ toàn bộ chuyên cần tháng",""))</f>
        <v/>
      </c>
      <c r="AI567" s="12"/>
    </row>
    <row r="568" spans="1:35" x14ac:dyDescent="0.25">
      <c r="A568" s="4" t="s">
        <v>890</v>
      </c>
      <c r="B568" s="1" t="s">
        <v>891</v>
      </c>
      <c r="C568" s="1" t="s">
        <v>20</v>
      </c>
      <c r="D568" s="1" t="s">
        <v>123</v>
      </c>
      <c r="E568" s="1" t="s">
        <v>22</v>
      </c>
      <c r="F568" s="1" t="s">
        <v>23</v>
      </c>
      <c r="G568" s="1" t="s">
        <v>12</v>
      </c>
      <c r="H568" s="1" t="s">
        <v>911</v>
      </c>
      <c r="I568" s="1" t="s">
        <v>24</v>
      </c>
      <c r="J568" s="1" t="s">
        <v>25</v>
      </c>
      <c r="K568" s="1" t="s">
        <v>25</v>
      </c>
      <c r="L568" s="1" t="s">
        <v>26</v>
      </c>
      <c r="M568" s="1" t="s">
        <v>25</v>
      </c>
      <c r="N568" s="1" t="s">
        <v>25</v>
      </c>
      <c r="O568" s="1" t="s">
        <v>25</v>
      </c>
      <c r="P568" s="1" t="s">
        <v>25</v>
      </c>
      <c r="Q568" s="1" t="s">
        <v>25</v>
      </c>
      <c r="R568" s="85" t="str">
        <f t="shared" si="32"/>
        <v>5045926</v>
      </c>
      <c r="S568" t="str">
        <f>VLOOKUP(A568,Data_NV!$A:$C,3,0)</f>
        <v>Nguyễn Hữu Phước</v>
      </c>
      <c r="T568" t="str">
        <f>VLOOKUP(A568,Data_NV!$A:$E,4,0)</f>
        <v>Vận Hành</v>
      </c>
      <c r="U568" s="82">
        <f>DATEVALUE(Table2[[#This Row],[Ngày]])</f>
        <v>45926</v>
      </c>
      <c r="V568" t="str">
        <f>VLOOKUP(A568,Data_NV!$A:$E,5,0)</f>
        <v>Đang làm việc</v>
      </c>
      <c r="W568" s="10">
        <f>VLOOKUP(A568,Data_NV!$A:$I,8,0)</f>
        <v>0.3125</v>
      </c>
      <c r="X568" s="10">
        <f>VLOOKUP(A568,Data_NV!$A:$I,9,0)</f>
        <v>0.6875</v>
      </c>
      <c r="Y568" s="10">
        <f>IFERROR(TIMEVALUE(Table2[[#This Row],[Vào]]),0)</f>
        <v>0.31306712962962963</v>
      </c>
      <c r="Z568" s="10">
        <f>IFERROR(TIMEVALUE(Table2[[#This Row],[Ra]]),0)</f>
        <v>0</v>
      </c>
      <c r="AA568" t="str">
        <f t="shared" si="33"/>
        <v>x</v>
      </c>
      <c r="AB568" s="105">
        <f t="shared" si="34"/>
        <v>0.8166666666666611</v>
      </c>
      <c r="AC568" s="12" t="str">
        <f>IF(VLOOKUP(A568,Data_NV!$A:$I,7,0)="Không","",IF(OR(AND(Y568=0,Z568=0),AND(Y568&lt;&gt;0,Z568&lt;&gt;0)),"","Quên chấm công"))</f>
        <v/>
      </c>
      <c r="AD568" s="12">
        <f>IF(VLOOKUP(A568,Data_NV!$A:$I,7,0)="Không",0,IF(AND(Y568=0,Z568=0),0,IF(X568&lt;=Z568,0,ROUNDDOWN((X568-Z568)*24*60,0))))</f>
        <v>0</v>
      </c>
      <c r="AE568" s="12">
        <f>IF(VLOOKUP(A568,Data_NV!$A:$I,6,0)="Không",0,IF(Z568&lt;=X568,0,ROUNDDOWN((Z568-X568)*24*60,0)))</f>
        <v>0</v>
      </c>
      <c r="AF568" s="26">
        <f t="shared" si="35"/>
        <v>0</v>
      </c>
      <c r="AG568" s="27" t="str">
        <f>IF(AC568="","",IF(COUNTIFS($AC$3:AC568,"Quên chấm công",$S$3:S568,S568)&gt;3,"Không chấm công do vi phạm quá 3 lần",IF(COUNTIFS($AC$3:AC568,"Quên chấm công",$S$3:S568,S568)&gt;2,"Trừ toàn bộ chuyên cần tháng do vi phạm lần 3",IF(COUNTIFS($AC$3:AC568,"Quên chấm công",$S$3:S568,S568)&gt;1,"Trừ 1/2 ngày lương",50000))))</f>
        <v/>
      </c>
      <c r="AH568" s="12" t="str">
        <f>IF(AF568=0,"",IF(COUNTIFS($AF$3:AF568,"&gt;0",$S$3:S568,S568)&gt;3,"Trừ toàn bộ chuyên cần tháng",""))</f>
        <v/>
      </c>
      <c r="AI568" s="12"/>
    </row>
    <row r="569" spans="1:35" x14ac:dyDescent="0.25">
      <c r="A569" s="4" t="s">
        <v>890</v>
      </c>
      <c r="B569" s="1" t="s">
        <v>891</v>
      </c>
      <c r="C569" s="1" t="s">
        <v>20</v>
      </c>
      <c r="D569" s="1" t="s">
        <v>125</v>
      </c>
      <c r="E569" s="1" t="s">
        <v>22</v>
      </c>
      <c r="F569" s="1" t="s">
        <v>23</v>
      </c>
      <c r="G569" s="1" t="s">
        <v>12</v>
      </c>
      <c r="H569" s="1" t="s">
        <v>912</v>
      </c>
      <c r="I569" s="1" t="s">
        <v>24</v>
      </c>
      <c r="J569" s="1" t="s">
        <v>25</v>
      </c>
      <c r="K569" s="1" t="s">
        <v>25</v>
      </c>
      <c r="L569" s="1" t="s">
        <v>26</v>
      </c>
      <c r="M569" s="1" t="s">
        <v>25</v>
      </c>
      <c r="N569" s="1" t="s">
        <v>25</v>
      </c>
      <c r="O569" s="1" t="s">
        <v>25</v>
      </c>
      <c r="P569" s="1" t="s">
        <v>25</v>
      </c>
      <c r="Q569" s="1" t="s">
        <v>25</v>
      </c>
      <c r="R569" s="85" t="str">
        <f t="shared" si="32"/>
        <v>5045927</v>
      </c>
      <c r="S569" t="str">
        <f>VLOOKUP(A569,Data_NV!$A:$C,3,0)</f>
        <v>Nguyễn Hữu Phước</v>
      </c>
      <c r="T569" t="str">
        <f>VLOOKUP(A569,Data_NV!$A:$E,4,0)</f>
        <v>Vận Hành</v>
      </c>
      <c r="U569" s="82">
        <f>DATEVALUE(Table2[[#This Row],[Ngày]])</f>
        <v>45927</v>
      </c>
      <c r="V569" t="str">
        <f>VLOOKUP(A569,Data_NV!$A:$E,5,0)</f>
        <v>Đang làm việc</v>
      </c>
      <c r="W569" s="10">
        <f>VLOOKUP(A569,Data_NV!$A:$I,8,0)</f>
        <v>0.3125</v>
      </c>
      <c r="X569" s="10">
        <f>VLOOKUP(A569,Data_NV!$A:$I,9,0)</f>
        <v>0.6875</v>
      </c>
      <c r="Y569" s="10">
        <f>IFERROR(TIMEVALUE(Table2[[#This Row],[Vào]]),0)</f>
        <v>0.3137152777777778</v>
      </c>
      <c r="Z569" s="10">
        <f>IFERROR(TIMEVALUE(Table2[[#This Row],[Ra]]),0)</f>
        <v>0</v>
      </c>
      <c r="AA569" t="str">
        <f t="shared" si="33"/>
        <v>x</v>
      </c>
      <c r="AB569" s="105">
        <f t="shared" si="34"/>
        <v>1.7500000000000338</v>
      </c>
      <c r="AC569" s="12" t="str">
        <f>IF(VLOOKUP(A569,Data_NV!$A:$I,7,0)="Không","",IF(OR(AND(Y569=0,Z569=0),AND(Y569&lt;&gt;0,Z569&lt;&gt;0)),"","Quên chấm công"))</f>
        <v/>
      </c>
      <c r="AD569" s="12">
        <f>IF(VLOOKUP(A569,Data_NV!$A:$I,7,0)="Không",0,IF(AND(Y569=0,Z569=0),0,IF(X569&lt;=Z569,0,ROUNDDOWN((X569-Z569)*24*60,0))))</f>
        <v>0</v>
      </c>
      <c r="AE569" s="12">
        <f>IF(VLOOKUP(A569,Data_NV!$A:$I,6,0)="Không",0,IF(Z569&lt;=X569,0,ROUNDDOWN((Z569-X569)*24*60,0)))</f>
        <v>0</v>
      </c>
      <c r="AF569" s="26">
        <f t="shared" si="35"/>
        <v>0</v>
      </c>
      <c r="AG569" s="27" t="str">
        <f>IF(AC569="","",IF(COUNTIFS($AC$3:AC569,"Quên chấm công",$S$3:S569,S569)&gt;3,"Không chấm công do vi phạm quá 3 lần",IF(COUNTIFS($AC$3:AC569,"Quên chấm công",$S$3:S569,S569)&gt;2,"Trừ toàn bộ chuyên cần tháng do vi phạm lần 3",IF(COUNTIFS($AC$3:AC569,"Quên chấm công",$S$3:S569,S569)&gt;1,"Trừ 1/2 ngày lương",50000))))</f>
        <v/>
      </c>
      <c r="AH569" s="12" t="str">
        <f>IF(AF569=0,"",IF(COUNTIFS($AF$3:AF569,"&gt;0",$S$3:S569,S569)&gt;3,"Trừ toàn bộ chuyên cần tháng",""))</f>
        <v/>
      </c>
      <c r="AI569" s="12"/>
    </row>
    <row r="570" spans="1:35" x14ac:dyDescent="0.25">
      <c r="A570" s="4" t="s">
        <v>890</v>
      </c>
      <c r="B570" s="1" t="s">
        <v>891</v>
      </c>
      <c r="C570" s="1" t="s">
        <v>20</v>
      </c>
      <c r="D570" s="1" t="s">
        <v>130</v>
      </c>
      <c r="E570" s="1" t="s">
        <v>22</v>
      </c>
      <c r="F570" s="1" t="s">
        <v>23</v>
      </c>
      <c r="G570" s="1" t="s">
        <v>12</v>
      </c>
      <c r="H570" s="1" t="s">
        <v>24</v>
      </c>
      <c r="I570" s="1" t="s">
        <v>24</v>
      </c>
      <c r="J570" s="1" t="s">
        <v>25</v>
      </c>
      <c r="K570" s="1" t="s">
        <v>25</v>
      </c>
      <c r="L570" s="1" t="s">
        <v>26</v>
      </c>
      <c r="M570" s="1" t="s">
        <v>25</v>
      </c>
      <c r="N570" s="1" t="s">
        <v>25</v>
      </c>
      <c r="O570" s="1" t="s">
        <v>25</v>
      </c>
      <c r="P570" s="1" t="s">
        <v>25</v>
      </c>
      <c r="Q570" s="1" t="s">
        <v>25</v>
      </c>
      <c r="R570" s="85" t="str">
        <f t="shared" si="32"/>
        <v>5045928</v>
      </c>
      <c r="S570" t="str">
        <f>VLOOKUP(A570,Data_NV!$A:$C,3,0)</f>
        <v>Nguyễn Hữu Phước</v>
      </c>
      <c r="T570" t="str">
        <f>VLOOKUP(A570,Data_NV!$A:$E,4,0)</f>
        <v>Vận Hành</v>
      </c>
      <c r="U570" s="82">
        <f>DATEVALUE(Table2[[#This Row],[Ngày]])</f>
        <v>45928</v>
      </c>
      <c r="V570" t="str">
        <f>VLOOKUP(A570,Data_NV!$A:$E,5,0)</f>
        <v>Đang làm việc</v>
      </c>
      <c r="W570" s="10">
        <f>VLOOKUP(A570,Data_NV!$A:$I,8,0)</f>
        <v>0.3125</v>
      </c>
      <c r="X570" s="10">
        <f>VLOOKUP(A570,Data_NV!$A:$I,9,0)</f>
        <v>0.6875</v>
      </c>
      <c r="Y570" s="10">
        <f>IFERROR(TIMEVALUE(Table2[[#This Row],[Vào]]),0)</f>
        <v>0</v>
      </c>
      <c r="Z570" s="10">
        <f>IFERROR(TIMEVALUE(Table2[[#This Row],[Ra]]),0)</f>
        <v>0</v>
      </c>
      <c r="AA570" t="str">
        <f t="shared" si="33"/>
        <v>Chủ nhật</v>
      </c>
      <c r="AB570" s="105">
        <f t="shared" si="34"/>
        <v>0</v>
      </c>
      <c r="AC570" s="12" t="str">
        <f>IF(VLOOKUP(A570,Data_NV!$A:$I,7,0)="Không","",IF(OR(AND(Y570=0,Z570=0),AND(Y570&lt;&gt;0,Z570&lt;&gt;0)),"","Quên chấm công"))</f>
        <v/>
      </c>
      <c r="AD570" s="12">
        <f>IF(VLOOKUP(A570,Data_NV!$A:$I,7,0)="Không",0,IF(AND(Y570=0,Z570=0),0,IF(X570&lt;=Z570,0,ROUNDDOWN((X570-Z570)*24*60,0))))</f>
        <v>0</v>
      </c>
      <c r="AE570" s="12">
        <f>IF(VLOOKUP(A570,Data_NV!$A:$I,6,0)="Không",0,IF(Z570&lt;=X570,0,ROUNDDOWN((Z570-X570)*24*60,0)))</f>
        <v>0</v>
      </c>
      <c r="AF570" s="26">
        <f t="shared" si="35"/>
        <v>0</v>
      </c>
      <c r="AG570" s="27" t="str">
        <f>IF(AC570="","",IF(COUNTIFS($AC$3:AC570,"Quên chấm công",$S$3:S570,S570)&gt;3,"Không chấm công do vi phạm quá 3 lần",IF(COUNTIFS($AC$3:AC570,"Quên chấm công",$S$3:S570,S570)&gt;2,"Trừ toàn bộ chuyên cần tháng do vi phạm lần 3",IF(COUNTIFS($AC$3:AC570,"Quên chấm công",$S$3:S570,S570)&gt;1,"Trừ 1/2 ngày lương",50000))))</f>
        <v/>
      </c>
      <c r="AH570" s="12" t="str">
        <f>IF(AF570=0,"",IF(COUNTIFS($AF$3:AF570,"&gt;0",$S$3:S570,S570)&gt;3,"Trừ toàn bộ chuyên cần tháng",""))</f>
        <v/>
      </c>
      <c r="AI570" s="12"/>
    </row>
    <row r="571" spans="1:35" x14ac:dyDescent="0.25">
      <c r="A571" s="4" t="s">
        <v>890</v>
      </c>
      <c r="B571" s="1" t="s">
        <v>891</v>
      </c>
      <c r="C571" s="1" t="s">
        <v>20</v>
      </c>
      <c r="D571" s="1" t="s">
        <v>131</v>
      </c>
      <c r="E571" s="1" t="s">
        <v>22</v>
      </c>
      <c r="F571" s="1" t="s">
        <v>23</v>
      </c>
      <c r="G571" s="1" t="s">
        <v>12</v>
      </c>
      <c r="H571" s="1" t="s">
        <v>913</v>
      </c>
      <c r="I571" s="1" t="s">
        <v>24</v>
      </c>
      <c r="J571" s="1" t="s">
        <v>25</v>
      </c>
      <c r="K571" s="1" t="s">
        <v>25</v>
      </c>
      <c r="L571" s="1" t="s">
        <v>26</v>
      </c>
      <c r="M571" s="1" t="s">
        <v>25</v>
      </c>
      <c r="N571" s="1" t="s">
        <v>25</v>
      </c>
      <c r="O571" s="1" t="s">
        <v>25</v>
      </c>
      <c r="P571" s="1" t="s">
        <v>25</v>
      </c>
      <c r="Q571" s="1" t="s">
        <v>25</v>
      </c>
      <c r="R571" s="85" t="str">
        <f t="shared" si="32"/>
        <v>5045929</v>
      </c>
      <c r="S571" t="str">
        <f>VLOOKUP(A571,Data_NV!$A:$C,3,0)</f>
        <v>Nguyễn Hữu Phước</v>
      </c>
      <c r="T571" t="str">
        <f>VLOOKUP(A571,Data_NV!$A:$E,4,0)</f>
        <v>Vận Hành</v>
      </c>
      <c r="U571" s="82">
        <f>DATEVALUE(Table2[[#This Row],[Ngày]])</f>
        <v>45929</v>
      </c>
      <c r="V571" t="str">
        <f>VLOOKUP(A571,Data_NV!$A:$E,5,0)</f>
        <v>Đang làm việc</v>
      </c>
      <c r="W571" s="10">
        <f>VLOOKUP(A571,Data_NV!$A:$I,8,0)</f>
        <v>0.3125</v>
      </c>
      <c r="X571" s="10">
        <f>VLOOKUP(A571,Data_NV!$A:$I,9,0)</f>
        <v>0.6875</v>
      </c>
      <c r="Y571" s="10">
        <f>IFERROR(TIMEVALUE(Table2[[#This Row],[Vào]]),0)</f>
        <v>0.31156250000000002</v>
      </c>
      <c r="Z571" s="10">
        <f>IFERROR(TIMEVALUE(Table2[[#This Row],[Ra]]),0)</f>
        <v>0</v>
      </c>
      <c r="AA571" t="str">
        <f t="shared" si="33"/>
        <v>x</v>
      </c>
      <c r="AB571" s="105">
        <f t="shared" si="34"/>
        <v>0</v>
      </c>
      <c r="AC571" s="12" t="str">
        <f>IF(VLOOKUP(A571,Data_NV!$A:$I,7,0)="Không","",IF(OR(AND(Y571=0,Z571=0),AND(Y571&lt;&gt;0,Z571&lt;&gt;0)),"","Quên chấm công"))</f>
        <v/>
      </c>
      <c r="AD571" s="12">
        <f>IF(VLOOKUP(A571,Data_NV!$A:$I,7,0)="Không",0,IF(AND(Y571=0,Z571=0),0,IF(X571&lt;=Z571,0,ROUNDDOWN((X571-Z571)*24*60,0))))</f>
        <v>0</v>
      </c>
      <c r="AE571" s="12">
        <f>IF(VLOOKUP(A571,Data_NV!$A:$I,6,0)="Không",0,IF(Z571&lt;=X571,0,ROUNDDOWN((Z571-X571)*24*60,0)))</f>
        <v>0</v>
      </c>
      <c r="AF571" s="26">
        <f t="shared" si="35"/>
        <v>0</v>
      </c>
      <c r="AG571" s="27" t="str">
        <f>IF(AC571="","",IF(COUNTIFS($AC$3:AC571,"Quên chấm công",$S$3:S571,S571)&gt;3,"Không chấm công do vi phạm quá 3 lần",IF(COUNTIFS($AC$3:AC571,"Quên chấm công",$S$3:S571,S571)&gt;2,"Trừ toàn bộ chuyên cần tháng do vi phạm lần 3",IF(COUNTIFS($AC$3:AC571,"Quên chấm công",$S$3:S571,S571)&gt;1,"Trừ 1/2 ngày lương",50000))))</f>
        <v/>
      </c>
      <c r="AH571" s="12" t="str">
        <f>IF(AF571=0,"",IF(COUNTIFS($AF$3:AF571,"&gt;0",$S$3:S571,S571)&gt;3,"Trừ toàn bộ chuyên cần tháng",""))</f>
        <v/>
      </c>
      <c r="AI571" s="12"/>
    </row>
    <row r="572" spans="1:35" x14ac:dyDescent="0.25">
      <c r="A572" s="4" t="s">
        <v>890</v>
      </c>
      <c r="B572" s="1" t="s">
        <v>891</v>
      </c>
      <c r="C572" s="1" t="s">
        <v>20</v>
      </c>
      <c r="D572" s="1" t="s">
        <v>136</v>
      </c>
      <c r="E572" s="1" t="s">
        <v>22</v>
      </c>
      <c r="F572" s="1" t="s">
        <v>23</v>
      </c>
      <c r="G572" s="1" t="s">
        <v>12</v>
      </c>
      <c r="H572" s="1" t="s">
        <v>914</v>
      </c>
      <c r="I572" s="1" t="s">
        <v>24</v>
      </c>
      <c r="J572" s="1" t="s">
        <v>25</v>
      </c>
      <c r="K572" s="1" t="s">
        <v>25</v>
      </c>
      <c r="L572" s="1" t="s">
        <v>26</v>
      </c>
      <c r="M572" s="1" t="s">
        <v>25</v>
      </c>
      <c r="N572" s="1" t="s">
        <v>25</v>
      </c>
      <c r="O572" s="1" t="s">
        <v>25</v>
      </c>
      <c r="P572" s="1" t="s">
        <v>25</v>
      </c>
      <c r="Q572" s="1" t="s">
        <v>25</v>
      </c>
      <c r="R572" s="85" t="str">
        <f t="shared" si="32"/>
        <v>5045930</v>
      </c>
      <c r="S572" t="str">
        <f>VLOOKUP(A572,Data_NV!$A:$C,3,0)</f>
        <v>Nguyễn Hữu Phước</v>
      </c>
      <c r="T572" t="str">
        <f>VLOOKUP(A572,Data_NV!$A:$E,4,0)</f>
        <v>Vận Hành</v>
      </c>
      <c r="U572" s="82">
        <f>DATEVALUE(Table2[[#This Row],[Ngày]])</f>
        <v>45930</v>
      </c>
      <c r="V572" t="str">
        <f>VLOOKUP(A572,Data_NV!$A:$E,5,0)</f>
        <v>Đang làm việc</v>
      </c>
      <c r="W572" s="10">
        <f>VLOOKUP(A572,Data_NV!$A:$I,8,0)</f>
        <v>0.3125</v>
      </c>
      <c r="X572" s="10">
        <f>VLOOKUP(A572,Data_NV!$A:$I,9,0)</f>
        <v>0.6875</v>
      </c>
      <c r="Y572" s="10">
        <f>IFERROR(TIMEVALUE(Table2[[#This Row],[Vào]]),0)</f>
        <v>0.3165972222222222</v>
      </c>
      <c r="Z572" s="10">
        <f>IFERROR(TIMEVALUE(Table2[[#This Row],[Ra]]),0)</f>
        <v>0</v>
      </c>
      <c r="AA572" t="str">
        <f t="shared" si="33"/>
        <v>x</v>
      </c>
      <c r="AB572" s="105">
        <f t="shared" si="34"/>
        <v>5.8999999999999631</v>
      </c>
      <c r="AC572" s="12" t="str">
        <f>IF(VLOOKUP(A572,Data_NV!$A:$I,7,0)="Không","",IF(OR(AND(Y572=0,Z572=0),AND(Y572&lt;&gt;0,Z572&lt;&gt;0)),"","Quên chấm công"))</f>
        <v/>
      </c>
      <c r="AD572" s="12">
        <f>IF(VLOOKUP(A572,Data_NV!$A:$I,7,0)="Không",0,IF(AND(Y572=0,Z572=0),0,IF(X572&lt;=Z572,0,ROUNDDOWN((X572-Z572)*24*60,0))))</f>
        <v>0</v>
      </c>
      <c r="AE572" s="12">
        <f>IF(VLOOKUP(A572,Data_NV!$A:$I,6,0)="Không",0,IF(Z572&lt;=X572,0,ROUNDDOWN((Z572-X572)*24*60,0)))</f>
        <v>0</v>
      </c>
      <c r="AF572" s="26">
        <f t="shared" si="35"/>
        <v>0</v>
      </c>
      <c r="AG572" s="27" t="str">
        <f>IF(AC572="","",IF(COUNTIFS($AC$3:AC572,"Quên chấm công",$S$3:S572,S572)&gt;3,"Không chấm công do vi phạm quá 3 lần",IF(COUNTIFS($AC$3:AC572,"Quên chấm công",$S$3:S572,S572)&gt;2,"Trừ toàn bộ chuyên cần tháng do vi phạm lần 3",IF(COUNTIFS($AC$3:AC572,"Quên chấm công",$S$3:S572,S572)&gt;1,"Trừ 1/2 ngày lương",50000))))</f>
        <v/>
      </c>
      <c r="AH572" s="12" t="str">
        <f>IF(AF572=0,"",IF(COUNTIFS($AF$3:AF572,"&gt;0",$S$3:S572,S572)&gt;3,"Trừ toàn bộ chuyên cần tháng",""))</f>
        <v/>
      </c>
      <c r="AI572" s="12"/>
    </row>
    <row r="573" spans="1:35" x14ac:dyDescent="0.25">
      <c r="A573" s="4" t="s">
        <v>915</v>
      </c>
      <c r="B573" s="1" t="s">
        <v>916</v>
      </c>
      <c r="C573" s="1" t="s">
        <v>20</v>
      </c>
      <c r="D573" s="1" t="s">
        <v>21</v>
      </c>
      <c r="E573" s="1" t="s">
        <v>22</v>
      </c>
      <c r="F573" s="1" t="s">
        <v>23</v>
      </c>
      <c r="G573" s="1" t="s">
        <v>12</v>
      </c>
      <c r="H573" s="1" t="s">
        <v>24</v>
      </c>
      <c r="I573" s="1" t="s">
        <v>24</v>
      </c>
      <c r="J573" s="1" t="s">
        <v>25</v>
      </c>
      <c r="K573" s="1" t="s">
        <v>25</v>
      </c>
      <c r="L573" s="1" t="s">
        <v>26</v>
      </c>
      <c r="M573" s="1" t="s">
        <v>25</v>
      </c>
      <c r="N573" s="1" t="s">
        <v>25</v>
      </c>
      <c r="O573" s="1" t="s">
        <v>25</v>
      </c>
      <c r="P573" s="1" t="s">
        <v>25</v>
      </c>
      <c r="Q573" s="1" t="s">
        <v>25</v>
      </c>
      <c r="R573" s="85" t="str">
        <f t="shared" si="32"/>
        <v>5145901</v>
      </c>
      <c r="S573" t="str">
        <f>VLOOKUP(A573,Data_NV!$A:$C,3,0)</f>
        <v>Dương Thị Kim Hồng</v>
      </c>
      <c r="T573" t="str">
        <f>VLOOKUP(A573,Data_NV!$A:$E,4,0)</f>
        <v>Kinh doanh</v>
      </c>
      <c r="U573" s="82">
        <f>DATEVALUE(Table2[[#This Row],[Ngày]])</f>
        <v>45901</v>
      </c>
      <c r="V573" t="str">
        <f>VLOOKUP(A573,Data_NV!$A:$E,5,0)</f>
        <v>Đang làm việc</v>
      </c>
      <c r="W573" s="10">
        <f>VLOOKUP(A573,Data_NV!$A:$I,8,0)</f>
        <v>0.33333333333333331</v>
      </c>
      <c r="X573" s="10">
        <f>VLOOKUP(A573,Data_NV!$A:$I,9,0)</f>
        <v>0.70833333333333337</v>
      </c>
      <c r="Y573" s="10">
        <f>IFERROR(TIMEVALUE(Table2[[#This Row],[Vào]]),0)</f>
        <v>0</v>
      </c>
      <c r="Z573" s="10">
        <f>IFERROR(TIMEVALUE(Table2[[#This Row],[Ra]]),0)</f>
        <v>0</v>
      </c>
      <c r="AA573" s="97" t="s">
        <v>1349</v>
      </c>
      <c r="AB573" s="105">
        <f t="shared" si="34"/>
        <v>0</v>
      </c>
      <c r="AC573" s="12" t="str">
        <f>IF(VLOOKUP(A573,Data_NV!$A:$I,7,0)="Không","",IF(OR(AND(Y573=0,Z573=0),AND(Y573&lt;&gt;0,Z573&lt;&gt;0)),"","Quên chấm công"))</f>
        <v/>
      </c>
      <c r="AD573" s="12">
        <f>IF(VLOOKUP(A573,Data_NV!$A:$I,7,0)="Không",0,IF(AND(Y573=0,Z573=0),0,IF(X573&lt;=Z573,0,ROUNDDOWN((X573-Z573)*24*60,0))))</f>
        <v>0</v>
      </c>
      <c r="AE573" s="12">
        <f>IF(VLOOKUP(A573,Data_NV!$A:$I,6,0)="Không",0,IF(Z573&lt;=X573,0,ROUNDDOWN((Z573-X573)*24*60,0)))</f>
        <v>0</v>
      </c>
      <c r="AF573" s="26">
        <f t="shared" si="35"/>
        <v>0</v>
      </c>
      <c r="AG573" s="27" t="str">
        <f>IF(AC573="","",IF(COUNTIFS($AC$3:AC573,"Quên chấm công",$S$3:S573,S573)&gt;3,"Không chấm công do vi phạm quá 3 lần",IF(COUNTIFS($AC$3:AC573,"Quên chấm công",$S$3:S573,S573)&gt;2,"Trừ toàn bộ chuyên cần tháng do vi phạm lần 3",IF(COUNTIFS($AC$3:AC573,"Quên chấm công",$S$3:S573,S573)&gt;1,"Trừ 1/2 ngày lương",50000))))</f>
        <v/>
      </c>
      <c r="AH573" s="12" t="str">
        <f>IF(AF573=0,"",IF(COUNTIFS($AF$3:AF573,"&gt;0",$S$3:S573,S573)&gt;3,"Trừ toàn bộ chuyên cần tháng",""))</f>
        <v/>
      </c>
      <c r="AI573" s="98" t="s">
        <v>1369</v>
      </c>
    </row>
    <row r="574" spans="1:35" x14ac:dyDescent="0.25">
      <c r="A574" s="4" t="s">
        <v>915</v>
      </c>
      <c r="B574" s="1" t="s">
        <v>916</v>
      </c>
      <c r="C574" s="1" t="s">
        <v>20</v>
      </c>
      <c r="D574" s="1" t="s">
        <v>27</v>
      </c>
      <c r="E574" s="1" t="s">
        <v>22</v>
      </c>
      <c r="F574" s="1" t="s">
        <v>23</v>
      </c>
      <c r="G574" s="1" t="s">
        <v>12</v>
      </c>
      <c r="H574" s="1" t="s">
        <v>24</v>
      </c>
      <c r="I574" s="1" t="s">
        <v>24</v>
      </c>
      <c r="J574" s="1" t="s">
        <v>25</v>
      </c>
      <c r="K574" s="1" t="s">
        <v>25</v>
      </c>
      <c r="L574" s="1" t="s">
        <v>26</v>
      </c>
      <c r="M574" s="1" t="s">
        <v>25</v>
      </c>
      <c r="N574" s="1" t="s">
        <v>25</v>
      </c>
      <c r="O574" s="1" t="s">
        <v>25</v>
      </c>
      <c r="P574" s="1" t="s">
        <v>25</v>
      </c>
      <c r="Q574" s="1" t="s">
        <v>25</v>
      </c>
      <c r="R574" s="85" t="str">
        <f t="shared" si="32"/>
        <v>5145902</v>
      </c>
      <c r="S574" t="str">
        <f>VLOOKUP(A574,Data_NV!$A:$C,3,0)</f>
        <v>Dương Thị Kim Hồng</v>
      </c>
      <c r="T574" t="str">
        <f>VLOOKUP(A574,Data_NV!$A:$E,4,0)</f>
        <v>Kinh doanh</v>
      </c>
      <c r="U574" s="82">
        <f>DATEVALUE(Table2[[#This Row],[Ngày]])</f>
        <v>45902</v>
      </c>
      <c r="V574" t="str">
        <f>VLOOKUP(A574,Data_NV!$A:$E,5,0)</f>
        <v>Đang làm việc</v>
      </c>
      <c r="W574" s="10">
        <f>VLOOKUP(A574,Data_NV!$A:$I,8,0)</f>
        <v>0.33333333333333331</v>
      </c>
      <c r="X574" s="10">
        <f>VLOOKUP(A574,Data_NV!$A:$I,9,0)</f>
        <v>0.70833333333333337</v>
      </c>
      <c r="Y574" s="10">
        <f>IFERROR(TIMEVALUE(Table2[[#This Row],[Vào]]),0)</f>
        <v>0</v>
      </c>
      <c r="Z574" s="10">
        <f>IFERROR(TIMEVALUE(Table2[[#This Row],[Ra]]),0)</f>
        <v>0</v>
      </c>
      <c r="AA574" s="97" t="s">
        <v>1349</v>
      </c>
      <c r="AB574" s="105">
        <f t="shared" si="34"/>
        <v>0</v>
      </c>
      <c r="AC574" s="12" t="str">
        <f>IF(VLOOKUP(A574,Data_NV!$A:$I,7,0)="Không","",IF(OR(AND(Y574=0,Z574=0),AND(Y574&lt;&gt;0,Z574&lt;&gt;0)),"","Quên chấm công"))</f>
        <v/>
      </c>
      <c r="AD574" s="12">
        <f>IF(VLOOKUP(A574,Data_NV!$A:$I,7,0)="Không",0,IF(AND(Y574=0,Z574=0),0,IF(X574&lt;=Z574,0,ROUNDDOWN((X574-Z574)*24*60,0))))</f>
        <v>0</v>
      </c>
      <c r="AE574" s="12">
        <f>IF(VLOOKUP(A574,Data_NV!$A:$I,6,0)="Không",0,IF(Z574&lt;=X574,0,ROUNDDOWN((Z574-X574)*24*60,0)))</f>
        <v>0</v>
      </c>
      <c r="AF574" s="26">
        <f t="shared" si="35"/>
        <v>0</v>
      </c>
      <c r="AG574" s="27" t="str">
        <f>IF(AC574="","",IF(COUNTIFS($AC$3:AC574,"Quên chấm công",$S$3:S574,S574)&gt;3,"Không chấm công do vi phạm quá 3 lần",IF(COUNTIFS($AC$3:AC574,"Quên chấm công",$S$3:S574,S574)&gt;2,"Trừ toàn bộ chuyên cần tháng do vi phạm lần 3",IF(COUNTIFS($AC$3:AC574,"Quên chấm công",$S$3:S574,S574)&gt;1,"Trừ 1/2 ngày lương",50000))))</f>
        <v/>
      </c>
      <c r="AH574" s="12" t="str">
        <f>IF(AF574=0,"",IF(COUNTIFS($AF$3:AF574,"&gt;0",$S$3:S574,S574)&gt;3,"Trừ toàn bộ chuyên cần tháng",""))</f>
        <v/>
      </c>
      <c r="AI574" s="98" t="s">
        <v>1369</v>
      </c>
    </row>
    <row r="575" spans="1:35" x14ac:dyDescent="0.25">
      <c r="A575" s="4" t="s">
        <v>915</v>
      </c>
      <c r="B575" s="1" t="s">
        <v>916</v>
      </c>
      <c r="C575" s="1" t="s">
        <v>20</v>
      </c>
      <c r="D575" s="1" t="s">
        <v>28</v>
      </c>
      <c r="E575" s="1" t="s">
        <v>22</v>
      </c>
      <c r="F575" s="1" t="s">
        <v>23</v>
      </c>
      <c r="G575" s="1" t="s">
        <v>12</v>
      </c>
      <c r="H575" s="1" t="s">
        <v>917</v>
      </c>
      <c r="I575" s="1" t="s">
        <v>24</v>
      </c>
      <c r="J575" s="1" t="s">
        <v>25</v>
      </c>
      <c r="K575" s="1" t="s">
        <v>25</v>
      </c>
      <c r="L575" s="1" t="s">
        <v>26</v>
      </c>
      <c r="M575" s="1" t="s">
        <v>25</v>
      </c>
      <c r="N575" s="1" t="s">
        <v>25</v>
      </c>
      <c r="O575" s="1" t="s">
        <v>25</v>
      </c>
      <c r="P575" s="1" t="s">
        <v>25</v>
      </c>
      <c r="Q575" s="1" t="s">
        <v>25</v>
      </c>
      <c r="R575" s="85" t="str">
        <f t="shared" si="32"/>
        <v>5145903</v>
      </c>
      <c r="S575" t="str">
        <f>VLOOKUP(A575,Data_NV!$A:$C,3,0)</f>
        <v>Dương Thị Kim Hồng</v>
      </c>
      <c r="T575" t="str">
        <f>VLOOKUP(A575,Data_NV!$A:$E,4,0)</f>
        <v>Kinh doanh</v>
      </c>
      <c r="U575" s="82">
        <f>DATEVALUE(Table2[[#This Row],[Ngày]])</f>
        <v>45903</v>
      </c>
      <c r="V575" t="str">
        <f>VLOOKUP(A575,Data_NV!$A:$E,5,0)</f>
        <v>Đang làm việc</v>
      </c>
      <c r="W575" s="10">
        <f>VLOOKUP(A575,Data_NV!$A:$I,8,0)</f>
        <v>0.33333333333333331</v>
      </c>
      <c r="X575" s="10">
        <f>VLOOKUP(A575,Data_NV!$A:$I,9,0)</f>
        <v>0.70833333333333337</v>
      </c>
      <c r="Y575" s="10">
        <f>IFERROR(TIMEVALUE(Table2[[#This Row],[Vào]]),0)</f>
        <v>0.3334375</v>
      </c>
      <c r="Z575" s="10">
        <f>IFERROR(TIMEVALUE(Table2[[#This Row],[Ra]]),0)</f>
        <v>0</v>
      </c>
      <c r="AA575" t="str">
        <f t="shared" si="33"/>
        <v>x</v>
      </c>
      <c r="AB575" s="105">
        <f t="shared" si="34"/>
        <v>0.15000000000002345</v>
      </c>
      <c r="AC575" s="12" t="str">
        <f>IF(VLOOKUP(A575,Data_NV!$A:$I,7,0)="Không","",IF(OR(AND(Y575=0,Z575=0),AND(Y575&lt;&gt;0,Z575&lt;&gt;0)),"","Quên chấm công"))</f>
        <v/>
      </c>
      <c r="AD575" s="12">
        <f>IF(VLOOKUP(A575,Data_NV!$A:$I,7,0)="Không",0,IF(AND(Y575=0,Z575=0),0,IF(X575&lt;=Z575,0,ROUNDDOWN((X575-Z575)*24*60,0))))</f>
        <v>0</v>
      </c>
      <c r="AE575" s="12">
        <f>IF(VLOOKUP(A575,Data_NV!$A:$I,6,0)="Không",0,IF(Z575&lt;=X575,0,ROUNDDOWN((Z575-X575)*24*60,0)))</f>
        <v>0</v>
      </c>
      <c r="AF575" s="26">
        <f t="shared" si="35"/>
        <v>0</v>
      </c>
      <c r="AG575" s="27" t="str">
        <f>IF(AC575="","",IF(COUNTIFS($AC$3:AC575,"Quên chấm công",$S$3:S575,S575)&gt;3,"Không chấm công do vi phạm quá 3 lần",IF(COUNTIFS($AC$3:AC575,"Quên chấm công",$S$3:S575,S575)&gt;2,"Trừ toàn bộ chuyên cần tháng do vi phạm lần 3",IF(COUNTIFS($AC$3:AC575,"Quên chấm công",$S$3:S575,S575)&gt;1,"Trừ 1/2 ngày lương",50000))))</f>
        <v/>
      </c>
      <c r="AH575" s="12" t="str">
        <f>IF(AF575=0,"",IF(COUNTIFS($AF$3:AF575,"&gt;0",$S$3:S575,S575)&gt;3,"Trừ toàn bộ chuyên cần tháng",""))</f>
        <v/>
      </c>
      <c r="AI575" s="12"/>
    </row>
    <row r="576" spans="1:35" x14ac:dyDescent="0.25">
      <c r="A576" s="4" t="s">
        <v>915</v>
      </c>
      <c r="B576" s="1" t="s">
        <v>916</v>
      </c>
      <c r="C576" s="1" t="s">
        <v>20</v>
      </c>
      <c r="D576" s="1" t="s">
        <v>35</v>
      </c>
      <c r="E576" s="1" t="s">
        <v>22</v>
      </c>
      <c r="F576" s="1" t="s">
        <v>23</v>
      </c>
      <c r="G576" s="1" t="s">
        <v>12</v>
      </c>
      <c r="H576" s="1" t="s">
        <v>918</v>
      </c>
      <c r="I576" s="1" t="s">
        <v>24</v>
      </c>
      <c r="J576" s="1" t="s">
        <v>358</v>
      </c>
      <c r="K576" s="1" t="s">
        <v>25</v>
      </c>
      <c r="L576" s="1" t="s">
        <v>26</v>
      </c>
      <c r="M576" s="1" t="s">
        <v>25</v>
      </c>
      <c r="N576" s="1" t="s">
        <v>25</v>
      </c>
      <c r="O576" s="1" t="s">
        <v>25</v>
      </c>
      <c r="P576" s="1" t="s">
        <v>25</v>
      </c>
      <c r="Q576" s="1" t="s">
        <v>25</v>
      </c>
      <c r="R576" s="85" t="str">
        <f t="shared" si="32"/>
        <v>5145904</v>
      </c>
      <c r="S576" t="str">
        <f>VLOOKUP(A576,Data_NV!$A:$C,3,0)</f>
        <v>Dương Thị Kim Hồng</v>
      </c>
      <c r="T576" t="str">
        <f>VLOOKUP(A576,Data_NV!$A:$E,4,0)</f>
        <v>Kinh doanh</v>
      </c>
      <c r="U576" s="82">
        <f>DATEVALUE(Table2[[#This Row],[Ngày]])</f>
        <v>45904</v>
      </c>
      <c r="V576" t="str">
        <f>VLOOKUP(A576,Data_NV!$A:$E,5,0)</f>
        <v>Đang làm việc</v>
      </c>
      <c r="W576" s="10">
        <f>VLOOKUP(A576,Data_NV!$A:$I,8,0)</f>
        <v>0.33333333333333331</v>
      </c>
      <c r="X576" s="10">
        <f>VLOOKUP(A576,Data_NV!$A:$I,9,0)</f>
        <v>0.70833333333333337</v>
      </c>
      <c r="Y576" s="10">
        <f>IFERROR(TIMEVALUE(Table2[[#This Row],[Vào]]),0)</f>
        <v>0.33423611111111112</v>
      </c>
      <c r="Z576" s="10">
        <f>IFERROR(TIMEVALUE(Table2[[#This Row],[Ra]]),0)</f>
        <v>0</v>
      </c>
      <c r="AA576" t="str">
        <f t="shared" si="33"/>
        <v>x</v>
      </c>
      <c r="AB576" s="105">
        <f t="shared" si="34"/>
        <v>1.3000000000000433</v>
      </c>
      <c r="AC576" s="12" t="str">
        <f>IF(VLOOKUP(A576,Data_NV!$A:$I,7,0)="Không","",IF(OR(AND(Y576=0,Z576=0),AND(Y576&lt;&gt;0,Z576&lt;&gt;0)),"","Quên chấm công"))</f>
        <v/>
      </c>
      <c r="AD576" s="12">
        <f>IF(VLOOKUP(A576,Data_NV!$A:$I,7,0)="Không",0,IF(AND(Y576=0,Z576=0),0,IF(X576&lt;=Z576,0,ROUNDDOWN((X576-Z576)*24*60,0))))</f>
        <v>0</v>
      </c>
      <c r="AE576" s="12">
        <f>IF(VLOOKUP(A576,Data_NV!$A:$I,6,0)="Không",0,IF(Z576&lt;=X576,0,ROUNDDOWN((Z576-X576)*24*60,0)))</f>
        <v>0</v>
      </c>
      <c r="AF576" s="26">
        <f t="shared" si="35"/>
        <v>0</v>
      </c>
      <c r="AG576" s="27" t="str">
        <f>IF(AC576="","",IF(COUNTIFS($AC$3:AC576,"Quên chấm công",$S$3:S576,S576)&gt;3,"Không chấm công do vi phạm quá 3 lần",IF(COUNTIFS($AC$3:AC576,"Quên chấm công",$S$3:S576,S576)&gt;2,"Trừ toàn bộ chuyên cần tháng do vi phạm lần 3",IF(COUNTIFS($AC$3:AC576,"Quên chấm công",$S$3:S576,S576)&gt;1,"Trừ 1/2 ngày lương",50000))))</f>
        <v/>
      </c>
      <c r="AH576" s="12" t="str">
        <f>IF(AF576=0,"",IF(COUNTIFS($AF$3:AF576,"&gt;0",$S$3:S576,S576)&gt;3,"Trừ toàn bộ chuyên cần tháng",""))</f>
        <v/>
      </c>
      <c r="AI576" s="12"/>
    </row>
    <row r="577" spans="1:35" x14ac:dyDescent="0.25">
      <c r="A577" s="4" t="s">
        <v>915</v>
      </c>
      <c r="B577" s="1" t="s">
        <v>916</v>
      </c>
      <c r="C577" s="1" t="s">
        <v>20</v>
      </c>
      <c r="D577" s="1" t="s">
        <v>37</v>
      </c>
      <c r="E577" s="1" t="s">
        <v>22</v>
      </c>
      <c r="F577" s="1" t="s">
        <v>23</v>
      </c>
      <c r="G577" s="1" t="s">
        <v>12</v>
      </c>
      <c r="H577" s="1" t="s">
        <v>919</v>
      </c>
      <c r="I577" s="1" t="s">
        <v>24</v>
      </c>
      <c r="J577" s="1" t="s">
        <v>25</v>
      </c>
      <c r="K577" s="1" t="s">
        <v>25</v>
      </c>
      <c r="L577" s="1" t="s">
        <v>26</v>
      </c>
      <c r="M577" s="1" t="s">
        <v>25</v>
      </c>
      <c r="N577" s="1" t="s">
        <v>25</v>
      </c>
      <c r="O577" s="1" t="s">
        <v>25</v>
      </c>
      <c r="P577" s="1" t="s">
        <v>25</v>
      </c>
      <c r="Q577" s="1" t="s">
        <v>25</v>
      </c>
      <c r="R577" s="85" t="str">
        <f t="shared" si="32"/>
        <v>5145905</v>
      </c>
      <c r="S577" t="str">
        <f>VLOOKUP(A577,Data_NV!$A:$C,3,0)</f>
        <v>Dương Thị Kim Hồng</v>
      </c>
      <c r="T577" t="str">
        <f>VLOOKUP(A577,Data_NV!$A:$E,4,0)</f>
        <v>Kinh doanh</v>
      </c>
      <c r="U577" s="82">
        <f>DATEVALUE(Table2[[#This Row],[Ngày]])</f>
        <v>45905</v>
      </c>
      <c r="V577" t="str">
        <f>VLOOKUP(A577,Data_NV!$A:$E,5,0)</f>
        <v>Đang làm việc</v>
      </c>
      <c r="W577" s="10">
        <f>VLOOKUP(A577,Data_NV!$A:$I,8,0)</f>
        <v>0.33333333333333331</v>
      </c>
      <c r="X577" s="10">
        <f>VLOOKUP(A577,Data_NV!$A:$I,9,0)</f>
        <v>0.70833333333333337</v>
      </c>
      <c r="Y577" s="10">
        <f>IFERROR(TIMEVALUE(Table2[[#This Row],[Vào]]),0)</f>
        <v>0.33098379629629632</v>
      </c>
      <c r="Z577" s="10">
        <f>IFERROR(TIMEVALUE(Table2[[#This Row],[Ra]]),0)</f>
        <v>0</v>
      </c>
      <c r="AA577" t="str">
        <f t="shared" si="33"/>
        <v>x</v>
      </c>
      <c r="AB577" s="105">
        <f t="shared" si="34"/>
        <v>0</v>
      </c>
      <c r="AC577" s="12" t="str">
        <f>IF(VLOOKUP(A577,Data_NV!$A:$I,7,0)="Không","",IF(OR(AND(Y577=0,Z577=0),AND(Y577&lt;&gt;0,Z577&lt;&gt;0)),"","Quên chấm công"))</f>
        <v/>
      </c>
      <c r="AD577" s="12">
        <f>IF(VLOOKUP(A577,Data_NV!$A:$I,7,0)="Không",0,IF(AND(Y577=0,Z577=0),0,IF(X577&lt;=Z577,0,ROUNDDOWN((X577-Z577)*24*60,0))))</f>
        <v>0</v>
      </c>
      <c r="AE577" s="12">
        <f>IF(VLOOKUP(A577,Data_NV!$A:$I,6,0)="Không",0,IF(Z577&lt;=X577,0,ROUNDDOWN((Z577-X577)*24*60,0)))</f>
        <v>0</v>
      </c>
      <c r="AF577" s="26">
        <f t="shared" si="35"/>
        <v>0</v>
      </c>
      <c r="AG577" s="27" t="str">
        <f>IF(AC577="","",IF(COUNTIFS($AC$3:AC577,"Quên chấm công",$S$3:S577,S577)&gt;3,"Không chấm công do vi phạm quá 3 lần",IF(COUNTIFS($AC$3:AC577,"Quên chấm công",$S$3:S577,S577)&gt;2,"Trừ toàn bộ chuyên cần tháng do vi phạm lần 3",IF(COUNTIFS($AC$3:AC577,"Quên chấm công",$S$3:S577,S577)&gt;1,"Trừ 1/2 ngày lương",50000))))</f>
        <v/>
      </c>
      <c r="AH577" s="12" t="str">
        <f>IF(AF577=0,"",IF(COUNTIFS($AF$3:AF577,"&gt;0",$S$3:S577,S577)&gt;3,"Trừ toàn bộ chuyên cần tháng",""))</f>
        <v/>
      </c>
      <c r="AI577" s="12"/>
    </row>
    <row r="578" spans="1:35" x14ac:dyDescent="0.25">
      <c r="A578" s="4" t="s">
        <v>915</v>
      </c>
      <c r="B578" s="1" t="s">
        <v>916</v>
      </c>
      <c r="C578" s="1" t="s">
        <v>20</v>
      </c>
      <c r="D578" s="1" t="s">
        <v>42</v>
      </c>
      <c r="E578" s="1" t="s">
        <v>22</v>
      </c>
      <c r="F578" s="1" t="s">
        <v>23</v>
      </c>
      <c r="G578" s="1" t="s">
        <v>12</v>
      </c>
      <c r="H578" s="1" t="s">
        <v>341</v>
      </c>
      <c r="I578" s="1" t="s">
        <v>24</v>
      </c>
      <c r="J578" s="1" t="s">
        <v>25</v>
      </c>
      <c r="K578" s="1" t="s">
        <v>25</v>
      </c>
      <c r="L578" s="1" t="s">
        <v>26</v>
      </c>
      <c r="M578" s="1" t="s">
        <v>25</v>
      </c>
      <c r="N578" s="1" t="s">
        <v>25</v>
      </c>
      <c r="O578" s="1" t="s">
        <v>25</v>
      </c>
      <c r="P578" s="1" t="s">
        <v>25</v>
      </c>
      <c r="Q578" s="1" t="s">
        <v>25</v>
      </c>
      <c r="R578" s="85" t="str">
        <f t="shared" si="32"/>
        <v>5145906</v>
      </c>
      <c r="S578" t="str">
        <f>VLOOKUP(A578,Data_NV!$A:$C,3,0)</f>
        <v>Dương Thị Kim Hồng</v>
      </c>
      <c r="T578" t="str">
        <f>VLOOKUP(A578,Data_NV!$A:$E,4,0)</f>
        <v>Kinh doanh</v>
      </c>
      <c r="U578" s="82">
        <f>DATEVALUE(Table2[[#This Row],[Ngày]])</f>
        <v>45906</v>
      </c>
      <c r="V578" t="str">
        <f>VLOOKUP(A578,Data_NV!$A:$E,5,0)</f>
        <v>Đang làm việc</v>
      </c>
      <c r="W578" s="10">
        <f>VLOOKUP(A578,Data_NV!$A:$I,8,0)</f>
        <v>0.33333333333333331</v>
      </c>
      <c r="X578" s="10">
        <f>VLOOKUP(A578,Data_NV!$A:$I,9,0)</f>
        <v>0.70833333333333337</v>
      </c>
      <c r="Y578" s="10">
        <f>IFERROR(TIMEVALUE(Table2[[#This Row],[Vào]]),0)</f>
        <v>0.33137731481481481</v>
      </c>
      <c r="Z578" s="10">
        <f>IFERROR(TIMEVALUE(Table2[[#This Row],[Ra]]),0)</f>
        <v>0</v>
      </c>
      <c r="AA578" t="str">
        <f t="shared" si="33"/>
        <v>x</v>
      </c>
      <c r="AB578" s="105">
        <f t="shared" si="34"/>
        <v>0</v>
      </c>
      <c r="AC578" s="12" t="str">
        <f>IF(VLOOKUP(A578,Data_NV!$A:$I,7,0)="Không","",IF(OR(AND(Y578=0,Z578=0),AND(Y578&lt;&gt;0,Z578&lt;&gt;0)),"","Quên chấm công"))</f>
        <v/>
      </c>
      <c r="AD578" s="12">
        <f>IF(VLOOKUP(A578,Data_NV!$A:$I,7,0)="Không",0,IF(AND(Y578=0,Z578=0),0,IF(X578&lt;=Z578,0,ROUNDDOWN((X578-Z578)*24*60,0))))</f>
        <v>0</v>
      </c>
      <c r="AE578" s="12">
        <f>IF(VLOOKUP(A578,Data_NV!$A:$I,6,0)="Không",0,IF(Z578&lt;=X578,0,ROUNDDOWN((Z578-X578)*24*60,0)))</f>
        <v>0</v>
      </c>
      <c r="AF578" s="26">
        <f t="shared" si="35"/>
        <v>0</v>
      </c>
      <c r="AG578" s="27" t="str">
        <f>IF(AC578="","",IF(COUNTIFS($AC$3:AC578,"Quên chấm công",$S$3:S578,S578)&gt;3,"Không chấm công do vi phạm quá 3 lần",IF(COUNTIFS($AC$3:AC578,"Quên chấm công",$S$3:S578,S578)&gt;2,"Trừ toàn bộ chuyên cần tháng do vi phạm lần 3",IF(COUNTIFS($AC$3:AC578,"Quên chấm công",$S$3:S578,S578)&gt;1,"Trừ 1/2 ngày lương",50000))))</f>
        <v/>
      </c>
      <c r="AH578" s="12" t="str">
        <f>IF(AF578=0,"",IF(COUNTIFS($AF$3:AF578,"&gt;0",$S$3:S578,S578)&gt;3,"Trừ toàn bộ chuyên cần tháng",""))</f>
        <v/>
      </c>
      <c r="AI578" s="12"/>
    </row>
    <row r="579" spans="1:35" x14ac:dyDescent="0.25">
      <c r="A579" s="4" t="s">
        <v>915</v>
      </c>
      <c r="B579" s="1" t="s">
        <v>916</v>
      </c>
      <c r="C579" s="1" t="s">
        <v>20</v>
      </c>
      <c r="D579" s="1" t="s">
        <v>47</v>
      </c>
      <c r="E579" s="1" t="s">
        <v>22</v>
      </c>
      <c r="F579" s="1" t="s">
        <v>23</v>
      </c>
      <c r="G579" s="1" t="s">
        <v>12</v>
      </c>
      <c r="H579" s="1" t="s">
        <v>24</v>
      </c>
      <c r="I579" s="1" t="s">
        <v>24</v>
      </c>
      <c r="J579" s="1" t="s">
        <v>25</v>
      </c>
      <c r="K579" s="1" t="s">
        <v>25</v>
      </c>
      <c r="L579" s="1" t="s">
        <v>26</v>
      </c>
      <c r="M579" s="1" t="s">
        <v>25</v>
      </c>
      <c r="N579" s="1" t="s">
        <v>25</v>
      </c>
      <c r="O579" s="1" t="s">
        <v>25</v>
      </c>
      <c r="P579" s="1" t="s">
        <v>25</v>
      </c>
      <c r="Q579" s="1" t="s">
        <v>25</v>
      </c>
      <c r="R579" s="85" t="str">
        <f t="shared" ref="R579:R642" si="36">A579&amp;U579</f>
        <v>5145907</v>
      </c>
      <c r="S579" t="str">
        <f>VLOOKUP(A579,Data_NV!$A:$C,3,0)</f>
        <v>Dương Thị Kim Hồng</v>
      </c>
      <c r="T579" t="str">
        <f>VLOOKUP(A579,Data_NV!$A:$E,4,0)</f>
        <v>Kinh doanh</v>
      </c>
      <c r="U579" s="82">
        <f>DATEVALUE(Table2[[#This Row],[Ngày]])</f>
        <v>45907</v>
      </c>
      <c r="V579" t="str">
        <f>VLOOKUP(A579,Data_NV!$A:$E,5,0)</f>
        <v>Đang làm việc</v>
      </c>
      <c r="W579" s="10">
        <f>VLOOKUP(A579,Data_NV!$A:$I,8,0)</f>
        <v>0.33333333333333331</v>
      </c>
      <c r="X579" s="10">
        <f>VLOOKUP(A579,Data_NV!$A:$I,9,0)</f>
        <v>0.70833333333333337</v>
      </c>
      <c r="Y579" s="10">
        <f>IFERROR(TIMEVALUE(Table2[[#This Row],[Vào]]),0)</f>
        <v>0</v>
      </c>
      <c r="Z579" s="10">
        <f>IFERROR(TIMEVALUE(Table2[[#This Row],[Ra]]),0)</f>
        <v>0</v>
      </c>
      <c r="AA579" t="str">
        <f t="shared" ref="AA579:AA640" si="37">IF(TEXT($U579,"ddd")="CN","Chủ nhật",IF(OR(AND(Y579=0,Z579=0),AG579="Không chấm công do vi phạm quá 3 lần"),"",IF(OR(AG579="Trừ 1/2 ngày lương",AF579="Trừ 1/2 ngày lương",AB579&gt;=60),"1/2","x")))</f>
        <v>Chủ nhật</v>
      </c>
      <c r="AB579" s="105">
        <f t="shared" ref="AB579:AB642" si="38">IF(Y579&lt;=W579,0,(Y579-W579)*24*60)</f>
        <v>0</v>
      </c>
      <c r="AC579" s="12" t="str">
        <f>IF(VLOOKUP(A579,Data_NV!$A:$I,7,0)="Không","",IF(OR(AND(Y579=0,Z579=0),AND(Y579&lt;&gt;0,Z579&lt;&gt;0)),"","Quên chấm công"))</f>
        <v/>
      </c>
      <c r="AD579" s="12">
        <f>IF(VLOOKUP(A579,Data_NV!$A:$I,7,0)="Không",0,IF(AND(Y579=0,Z579=0),0,IF(X579&lt;=Z579,0,ROUNDDOWN((X579-Z579)*24*60,0))))</f>
        <v>0</v>
      </c>
      <c r="AE579" s="12">
        <f>IF(VLOOKUP(A579,Data_NV!$A:$I,6,0)="Không",0,IF(Z579&lt;=X579,0,ROUNDDOWN((Z579-X579)*24*60,0)))</f>
        <v>0</v>
      </c>
      <c r="AF579" s="26">
        <f t="shared" ref="AF579:AF642" si="39">IF(AB579&gt;60,"Trừ 1/2 ngày lương",IF(AB579&gt;15,50000,IF(AB579&gt;6,30000,0)))</f>
        <v>0</v>
      </c>
      <c r="AG579" s="27" t="str">
        <f>IF(AC579="","",IF(COUNTIFS($AC$3:AC579,"Quên chấm công",$S$3:S579,S579)&gt;3,"Không chấm công do vi phạm quá 3 lần",IF(COUNTIFS($AC$3:AC579,"Quên chấm công",$S$3:S579,S579)&gt;2,"Trừ toàn bộ chuyên cần tháng do vi phạm lần 3",IF(COUNTIFS($AC$3:AC579,"Quên chấm công",$S$3:S579,S579)&gt;1,"Trừ 1/2 ngày lương",50000))))</f>
        <v/>
      </c>
      <c r="AH579" s="12" t="str">
        <f>IF(AF579=0,"",IF(COUNTIFS($AF$3:AF579,"&gt;0",$S$3:S579,S579)&gt;3,"Trừ toàn bộ chuyên cần tháng",""))</f>
        <v/>
      </c>
      <c r="AI579" s="12"/>
    </row>
    <row r="580" spans="1:35" x14ac:dyDescent="0.25">
      <c r="A580" s="4" t="s">
        <v>915</v>
      </c>
      <c r="B580" s="1" t="s">
        <v>916</v>
      </c>
      <c r="C580" s="1" t="s">
        <v>20</v>
      </c>
      <c r="D580" s="1" t="s">
        <v>48</v>
      </c>
      <c r="E580" s="1" t="s">
        <v>22</v>
      </c>
      <c r="F580" s="1" t="s">
        <v>23</v>
      </c>
      <c r="G580" s="1" t="s">
        <v>12</v>
      </c>
      <c r="H580" s="1" t="s">
        <v>920</v>
      </c>
      <c r="I580" s="1" t="s">
        <v>24</v>
      </c>
      <c r="J580" s="1" t="s">
        <v>358</v>
      </c>
      <c r="K580" s="1" t="s">
        <v>25</v>
      </c>
      <c r="L580" s="1" t="s">
        <v>26</v>
      </c>
      <c r="M580" s="1" t="s">
        <v>25</v>
      </c>
      <c r="N580" s="1" t="s">
        <v>25</v>
      </c>
      <c r="O580" s="1" t="s">
        <v>25</v>
      </c>
      <c r="P580" s="1" t="s">
        <v>25</v>
      </c>
      <c r="Q580" s="1" t="s">
        <v>25</v>
      </c>
      <c r="R580" s="85" t="str">
        <f t="shared" si="36"/>
        <v>5145908</v>
      </c>
      <c r="S580" t="str">
        <f>VLOOKUP(A580,Data_NV!$A:$C,3,0)</f>
        <v>Dương Thị Kim Hồng</v>
      </c>
      <c r="T580" t="str">
        <f>VLOOKUP(A580,Data_NV!$A:$E,4,0)</f>
        <v>Kinh doanh</v>
      </c>
      <c r="U580" s="82">
        <f>DATEVALUE(Table2[[#This Row],[Ngày]])</f>
        <v>45908</v>
      </c>
      <c r="V580" t="str">
        <f>VLOOKUP(A580,Data_NV!$A:$E,5,0)</f>
        <v>Đang làm việc</v>
      </c>
      <c r="W580" s="10">
        <f>VLOOKUP(A580,Data_NV!$A:$I,8,0)</f>
        <v>0.33333333333333331</v>
      </c>
      <c r="X580" s="10">
        <f>VLOOKUP(A580,Data_NV!$A:$I,9,0)</f>
        <v>0.70833333333333337</v>
      </c>
      <c r="Y580" s="10">
        <f>IFERROR(TIMEVALUE(Table2[[#This Row],[Vào]]),0)</f>
        <v>0.33407407407407408</v>
      </c>
      <c r="Z580" s="10">
        <f>IFERROR(TIMEVALUE(Table2[[#This Row],[Ra]]),0)</f>
        <v>0</v>
      </c>
      <c r="AA580" t="str">
        <f t="shared" si="37"/>
        <v>x</v>
      </c>
      <c r="AB580" s="105">
        <f t="shared" si="38"/>
        <v>1.0666666666667002</v>
      </c>
      <c r="AC580" s="12" t="str">
        <f>IF(VLOOKUP(A580,Data_NV!$A:$I,7,0)="Không","",IF(OR(AND(Y580=0,Z580=0),AND(Y580&lt;&gt;0,Z580&lt;&gt;0)),"","Quên chấm công"))</f>
        <v/>
      </c>
      <c r="AD580" s="12">
        <f>IF(VLOOKUP(A580,Data_NV!$A:$I,7,0)="Không",0,IF(AND(Y580=0,Z580=0),0,IF(X580&lt;=Z580,0,ROUNDDOWN((X580-Z580)*24*60,0))))</f>
        <v>0</v>
      </c>
      <c r="AE580" s="12">
        <f>IF(VLOOKUP(A580,Data_NV!$A:$I,6,0)="Không",0,IF(Z580&lt;=X580,0,ROUNDDOWN((Z580-X580)*24*60,0)))</f>
        <v>0</v>
      </c>
      <c r="AF580" s="26">
        <f t="shared" si="39"/>
        <v>0</v>
      </c>
      <c r="AG580" s="27" t="str">
        <f>IF(AC580="","",IF(COUNTIFS($AC$3:AC580,"Quên chấm công",$S$3:S580,S580)&gt;3,"Không chấm công do vi phạm quá 3 lần",IF(COUNTIFS($AC$3:AC580,"Quên chấm công",$S$3:S580,S580)&gt;2,"Trừ toàn bộ chuyên cần tháng do vi phạm lần 3",IF(COUNTIFS($AC$3:AC580,"Quên chấm công",$S$3:S580,S580)&gt;1,"Trừ 1/2 ngày lương",50000))))</f>
        <v/>
      </c>
      <c r="AH580" s="12" t="str">
        <f>IF(AF580=0,"",IF(COUNTIFS($AF$3:AF580,"&gt;0",$S$3:S580,S580)&gt;3,"Trừ toàn bộ chuyên cần tháng",""))</f>
        <v/>
      </c>
      <c r="AI580" s="12"/>
    </row>
    <row r="581" spans="1:35" x14ac:dyDescent="0.25">
      <c r="A581" s="4" t="s">
        <v>915</v>
      </c>
      <c r="B581" s="1" t="s">
        <v>916</v>
      </c>
      <c r="C581" s="1" t="s">
        <v>20</v>
      </c>
      <c r="D581" s="1" t="s">
        <v>53</v>
      </c>
      <c r="E581" s="1" t="s">
        <v>22</v>
      </c>
      <c r="F581" s="1" t="s">
        <v>23</v>
      </c>
      <c r="G581" s="1" t="s">
        <v>12</v>
      </c>
      <c r="H581" s="1" t="s">
        <v>378</v>
      </c>
      <c r="I581" s="1" t="s">
        <v>24</v>
      </c>
      <c r="J581" s="1" t="s">
        <v>314</v>
      </c>
      <c r="K581" s="1" t="s">
        <v>25</v>
      </c>
      <c r="L581" s="1" t="s">
        <v>26</v>
      </c>
      <c r="M581" s="1" t="s">
        <v>25</v>
      </c>
      <c r="N581" s="1" t="s">
        <v>25</v>
      </c>
      <c r="O581" s="1" t="s">
        <v>25</v>
      </c>
      <c r="P581" s="1" t="s">
        <v>25</v>
      </c>
      <c r="Q581" s="1" t="s">
        <v>25</v>
      </c>
      <c r="R581" s="85" t="str">
        <f t="shared" si="36"/>
        <v>5145909</v>
      </c>
      <c r="S581" t="str">
        <f>VLOOKUP(A581,Data_NV!$A:$C,3,0)</f>
        <v>Dương Thị Kim Hồng</v>
      </c>
      <c r="T581" t="str">
        <f>VLOOKUP(A581,Data_NV!$A:$E,4,0)</f>
        <v>Kinh doanh</v>
      </c>
      <c r="U581" s="82">
        <f>DATEVALUE(Table2[[#This Row],[Ngày]])</f>
        <v>45909</v>
      </c>
      <c r="V581" t="str">
        <f>VLOOKUP(A581,Data_NV!$A:$E,5,0)</f>
        <v>Đang làm việc</v>
      </c>
      <c r="W581" s="10">
        <f>VLOOKUP(A581,Data_NV!$A:$I,8,0)</f>
        <v>0.33333333333333331</v>
      </c>
      <c r="X581" s="10">
        <f>VLOOKUP(A581,Data_NV!$A:$I,9,0)</f>
        <v>0.70833333333333337</v>
      </c>
      <c r="Y581" s="10">
        <f>IFERROR(TIMEVALUE(Table2[[#This Row],[Vào]]),0)</f>
        <v>0.33501157407407406</v>
      </c>
      <c r="Z581" s="10">
        <f>IFERROR(TIMEVALUE(Table2[[#This Row],[Ra]]),0)</f>
        <v>0</v>
      </c>
      <c r="AA581" t="str">
        <f t="shared" si="37"/>
        <v>x</v>
      </c>
      <c r="AB581" s="105">
        <f t="shared" si="38"/>
        <v>2.4166666666666714</v>
      </c>
      <c r="AC581" s="12" t="str">
        <f>IF(VLOOKUP(A581,Data_NV!$A:$I,7,0)="Không","",IF(OR(AND(Y581=0,Z581=0),AND(Y581&lt;&gt;0,Z581&lt;&gt;0)),"","Quên chấm công"))</f>
        <v/>
      </c>
      <c r="AD581" s="12">
        <f>IF(VLOOKUP(A581,Data_NV!$A:$I,7,0)="Không",0,IF(AND(Y581=0,Z581=0),0,IF(X581&lt;=Z581,0,ROUNDDOWN((X581-Z581)*24*60,0))))</f>
        <v>0</v>
      </c>
      <c r="AE581" s="12">
        <f>IF(VLOOKUP(A581,Data_NV!$A:$I,6,0)="Không",0,IF(Z581&lt;=X581,0,ROUNDDOWN((Z581-X581)*24*60,0)))</f>
        <v>0</v>
      </c>
      <c r="AF581" s="26">
        <f t="shared" si="39"/>
        <v>0</v>
      </c>
      <c r="AG581" s="27" t="str">
        <f>IF(AC581="","",IF(COUNTIFS($AC$3:AC581,"Quên chấm công",$S$3:S581,S581)&gt;3,"Không chấm công do vi phạm quá 3 lần",IF(COUNTIFS($AC$3:AC581,"Quên chấm công",$S$3:S581,S581)&gt;2,"Trừ toàn bộ chuyên cần tháng do vi phạm lần 3",IF(COUNTIFS($AC$3:AC581,"Quên chấm công",$S$3:S581,S581)&gt;1,"Trừ 1/2 ngày lương",50000))))</f>
        <v/>
      </c>
      <c r="AH581" s="12" t="str">
        <f>IF(AF581=0,"",IF(COUNTIFS($AF$3:AF581,"&gt;0",$S$3:S581,S581)&gt;3,"Trừ toàn bộ chuyên cần tháng",""))</f>
        <v/>
      </c>
      <c r="AI581" s="12"/>
    </row>
    <row r="582" spans="1:35" x14ac:dyDescent="0.25">
      <c r="A582" s="4" t="s">
        <v>915</v>
      </c>
      <c r="B582" s="1" t="s">
        <v>916</v>
      </c>
      <c r="C582" s="1" t="s">
        <v>20</v>
      </c>
      <c r="D582" s="1" t="s">
        <v>58</v>
      </c>
      <c r="E582" s="1" t="s">
        <v>22</v>
      </c>
      <c r="F582" s="1" t="s">
        <v>23</v>
      </c>
      <c r="G582" s="1" t="s">
        <v>12</v>
      </c>
      <c r="H582" s="1" t="s">
        <v>921</v>
      </c>
      <c r="I582" s="1" t="s">
        <v>24</v>
      </c>
      <c r="J582" s="1" t="s">
        <v>682</v>
      </c>
      <c r="K582" s="1" t="s">
        <v>25</v>
      </c>
      <c r="L582" s="1" t="s">
        <v>26</v>
      </c>
      <c r="M582" s="1" t="s">
        <v>25</v>
      </c>
      <c r="N582" s="1" t="s">
        <v>25</v>
      </c>
      <c r="O582" s="1" t="s">
        <v>25</v>
      </c>
      <c r="P582" s="1" t="s">
        <v>25</v>
      </c>
      <c r="Q582" s="1" t="s">
        <v>25</v>
      </c>
      <c r="R582" s="85" t="str">
        <f t="shared" si="36"/>
        <v>5145910</v>
      </c>
      <c r="S582" t="str">
        <f>VLOOKUP(A582,Data_NV!$A:$C,3,0)</f>
        <v>Dương Thị Kim Hồng</v>
      </c>
      <c r="T582" t="str">
        <f>VLOOKUP(A582,Data_NV!$A:$E,4,0)</f>
        <v>Kinh doanh</v>
      </c>
      <c r="U582" s="82">
        <f>DATEVALUE(Table2[[#This Row],[Ngày]])</f>
        <v>45910</v>
      </c>
      <c r="V582" t="str">
        <f>VLOOKUP(A582,Data_NV!$A:$E,5,0)</f>
        <v>Đang làm việc</v>
      </c>
      <c r="W582" s="10">
        <f>VLOOKUP(A582,Data_NV!$A:$I,8,0)</f>
        <v>0.33333333333333331</v>
      </c>
      <c r="X582" s="10">
        <f>VLOOKUP(A582,Data_NV!$A:$I,9,0)</f>
        <v>0.70833333333333337</v>
      </c>
      <c r="Y582" s="10">
        <f>IFERROR(TIMEVALUE(Table2[[#This Row],[Vào]]),0)</f>
        <v>0.33703703703703702</v>
      </c>
      <c r="Z582" s="10">
        <f>IFERROR(TIMEVALUE(Table2[[#This Row],[Ra]]),0)</f>
        <v>0</v>
      </c>
      <c r="AA582" t="str">
        <f t="shared" si="37"/>
        <v>x</v>
      </c>
      <c r="AB582" s="105">
        <f t="shared" si="38"/>
        <v>5.333333333333341</v>
      </c>
      <c r="AC582" s="12" t="str">
        <f>IF(VLOOKUP(A582,Data_NV!$A:$I,7,0)="Không","",IF(OR(AND(Y582=0,Z582=0),AND(Y582&lt;&gt;0,Z582&lt;&gt;0)),"","Quên chấm công"))</f>
        <v/>
      </c>
      <c r="AD582" s="12">
        <f>IF(VLOOKUP(A582,Data_NV!$A:$I,7,0)="Không",0,IF(AND(Y582=0,Z582=0),0,IF(X582&lt;=Z582,0,ROUNDDOWN((X582-Z582)*24*60,0))))</f>
        <v>0</v>
      </c>
      <c r="AE582" s="12">
        <f>IF(VLOOKUP(A582,Data_NV!$A:$I,6,0)="Không",0,IF(Z582&lt;=X582,0,ROUNDDOWN((Z582-X582)*24*60,0)))</f>
        <v>0</v>
      </c>
      <c r="AF582" s="26">
        <f t="shared" si="39"/>
        <v>0</v>
      </c>
      <c r="AG582" s="27" t="str">
        <f>IF(AC582="","",IF(COUNTIFS($AC$3:AC582,"Quên chấm công",$S$3:S582,S582)&gt;3,"Không chấm công do vi phạm quá 3 lần",IF(COUNTIFS($AC$3:AC582,"Quên chấm công",$S$3:S582,S582)&gt;2,"Trừ toàn bộ chuyên cần tháng do vi phạm lần 3",IF(COUNTIFS($AC$3:AC582,"Quên chấm công",$S$3:S582,S582)&gt;1,"Trừ 1/2 ngày lương",50000))))</f>
        <v/>
      </c>
      <c r="AH582" s="12" t="str">
        <f>IF(AF582=0,"",IF(COUNTIFS($AF$3:AF582,"&gt;0",$S$3:S582,S582)&gt;3,"Trừ toàn bộ chuyên cần tháng",""))</f>
        <v/>
      </c>
      <c r="AI582" s="12"/>
    </row>
    <row r="583" spans="1:35" x14ac:dyDescent="0.25">
      <c r="A583" s="4" t="s">
        <v>915</v>
      </c>
      <c r="B583" s="1" t="s">
        <v>916</v>
      </c>
      <c r="C583" s="1" t="s">
        <v>20</v>
      </c>
      <c r="D583" s="1" t="s">
        <v>63</v>
      </c>
      <c r="E583" s="1" t="s">
        <v>22</v>
      </c>
      <c r="F583" s="1" t="s">
        <v>23</v>
      </c>
      <c r="G583" s="1" t="s">
        <v>12</v>
      </c>
      <c r="H583" s="1" t="s">
        <v>922</v>
      </c>
      <c r="I583" s="1" t="s">
        <v>24</v>
      </c>
      <c r="J583" s="1" t="s">
        <v>923</v>
      </c>
      <c r="K583" s="1" t="s">
        <v>25</v>
      </c>
      <c r="L583" s="1" t="s">
        <v>26</v>
      </c>
      <c r="M583" s="1" t="s">
        <v>25</v>
      </c>
      <c r="N583" s="1" t="s">
        <v>25</v>
      </c>
      <c r="O583" s="1" t="s">
        <v>25</v>
      </c>
      <c r="P583" s="1" t="s">
        <v>25</v>
      </c>
      <c r="Q583" s="1" t="s">
        <v>25</v>
      </c>
      <c r="R583" s="85" t="str">
        <f t="shared" si="36"/>
        <v>5145911</v>
      </c>
      <c r="S583" t="str">
        <f>VLOOKUP(A583,Data_NV!$A:$C,3,0)</f>
        <v>Dương Thị Kim Hồng</v>
      </c>
      <c r="T583" t="str">
        <f>VLOOKUP(A583,Data_NV!$A:$E,4,0)</f>
        <v>Kinh doanh</v>
      </c>
      <c r="U583" s="82">
        <f>DATEVALUE(Table2[[#This Row],[Ngày]])</f>
        <v>45911</v>
      </c>
      <c r="V583" t="str">
        <f>VLOOKUP(A583,Data_NV!$A:$E,5,0)</f>
        <v>Đang làm việc</v>
      </c>
      <c r="W583" s="10">
        <f>VLOOKUP(A583,Data_NV!$A:$I,8,0)</f>
        <v>0.33333333333333331</v>
      </c>
      <c r="X583" s="10">
        <f>VLOOKUP(A583,Data_NV!$A:$I,9,0)</f>
        <v>0.70833333333333337</v>
      </c>
      <c r="Y583" s="10">
        <f>IFERROR(TIMEVALUE(Table2[[#This Row],[Vào]]),0)</f>
        <v>0.35574074074074075</v>
      </c>
      <c r="Z583" s="10">
        <f>IFERROR(TIMEVALUE(Table2[[#This Row],[Ra]]),0)</f>
        <v>0</v>
      </c>
      <c r="AA583" t="str">
        <f t="shared" si="37"/>
        <v>x</v>
      </c>
      <c r="AB583" s="105">
        <f t="shared" si="38"/>
        <v>32.266666666666701</v>
      </c>
      <c r="AC583" s="12" t="str">
        <f>IF(VLOOKUP(A583,Data_NV!$A:$I,7,0)="Không","",IF(OR(AND(Y583=0,Z583=0),AND(Y583&lt;&gt;0,Z583&lt;&gt;0)),"","Quên chấm công"))</f>
        <v/>
      </c>
      <c r="AD583" s="12">
        <f>IF(VLOOKUP(A583,Data_NV!$A:$I,7,0)="Không",0,IF(AND(Y583=0,Z583=0),0,IF(X583&lt;=Z583,0,ROUNDDOWN((X583-Z583)*24*60,0))))</f>
        <v>0</v>
      </c>
      <c r="AE583" s="12">
        <f>IF(VLOOKUP(A583,Data_NV!$A:$I,6,0)="Không",0,IF(Z583&lt;=X583,0,ROUNDDOWN((Z583-X583)*24*60,0)))</f>
        <v>0</v>
      </c>
      <c r="AF583" s="26">
        <f t="shared" si="39"/>
        <v>50000</v>
      </c>
      <c r="AG583" s="27" t="str">
        <f>IF(AC583="","",IF(COUNTIFS($AC$3:AC583,"Quên chấm công",$S$3:S583,S583)&gt;3,"Không chấm công do vi phạm quá 3 lần",IF(COUNTIFS($AC$3:AC583,"Quên chấm công",$S$3:S583,S583)&gt;2,"Trừ toàn bộ chuyên cần tháng do vi phạm lần 3",IF(COUNTIFS($AC$3:AC583,"Quên chấm công",$S$3:S583,S583)&gt;1,"Trừ 1/2 ngày lương",50000))))</f>
        <v/>
      </c>
      <c r="AH583" s="12" t="str">
        <f>IF(AF583=0,"",IF(COUNTIFS($AF$3:AF583,"&gt;0",$S$3:S583,S583)&gt;3,"Trừ toàn bộ chuyên cần tháng",""))</f>
        <v/>
      </c>
      <c r="AI583" s="12" t="s">
        <v>1379</v>
      </c>
    </row>
    <row r="584" spans="1:35" x14ac:dyDescent="0.25">
      <c r="A584" s="4" t="s">
        <v>915</v>
      </c>
      <c r="B584" s="1" t="s">
        <v>916</v>
      </c>
      <c r="C584" s="1" t="s">
        <v>20</v>
      </c>
      <c r="D584" s="1" t="s">
        <v>67</v>
      </c>
      <c r="E584" s="1" t="s">
        <v>22</v>
      </c>
      <c r="F584" s="1" t="s">
        <v>23</v>
      </c>
      <c r="G584" s="1" t="s">
        <v>12</v>
      </c>
      <c r="H584" s="1" t="s">
        <v>24</v>
      </c>
      <c r="I584" s="1" t="s">
        <v>24</v>
      </c>
      <c r="J584" s="1" t="s">
        <v>25</v>
      </c>
      <c r="K584" s="1" t="s">
        <v>25</v>
      </c>
      <c r="L584" s="1" t="s">
        <v>26</v>
      </c>
      <c r="M584" s="1" t="s">
        <v>25</v>
      </c>
      <c r="N584" s="1" t="s">
        <v>25</v>
      </c>
      <c r="O584" s="1" t="s">
        <v>25</v>
      </c>
      <c r="P584" s="1" t="s">
        <v>25</v>
      </c>
      <c r="Q584" s="1" t="s">
        <v>25</v>
      </c>
      <c r="R584" s="85" t="str">
        <f t="shared" si="36"/>
        <v>5145912</v>
      </c>
      <c r="S584" t="str">
        <f>VLOOKUP(A584,Data_NV!$A:$C,3,0)</f>
        <v>Dương Thị Kim Hồng</v>
      </c>
      <c r="T584" t="str">
        <f>VLOOKUP(A584,Data_NV!$A:$E,4,0)</f>
        <v>Kinh doanh</v>
      </c>
      <c r="U584" s="82">
        <f>DATEVALUE(Table2[[#This Row],[Ngày]])</f>
        <v>45912</v>
      </c>
      <c r="V584" t="str">
        <f>VLOOKUP(A584,Data_NV!$A:$E,5,0)</f>
        <v>Đang làm việc</v>
      </c>
      <c r="W584" s="10">
        <f>VLOOKUP(A584,Data_NV!$A:$I,8,0)</f>
        <v>0.33333333333333331</v>
      </c>
      <c r="X584" s="10">
        <f>VLOOKUP(A584,Data_NV!$A:$I,9,0)</f>
        <v>0.70833333333333337</v>
      </c>
      <c r="Y584" s="10">
        <f>IFERROR(TIMEVALUE(Table2[[#This Row],[Vào]]),0)</f>
        <v>0</v>
      </c>
      <c r="Z584" s="10">
        <f>IFERROR(TIMEVALUE(Table2[[#This Row],[Ra]]),0)</f>
        <v>0</v>
      </c>
      <c r="AA584" t="s">
        <v>1341</v>
      </c>
      <c r="AB584" s="105">
        <f t="shared" si="38"/>
        <v>0</v>
      </c>
      <c r="AC584" s="12" t="str">
        <f>IF(VLOOKUP(A584,Data_NV!$A:$I,7,0)="Không","",IF(OR(AND(Y584=0,Z584=0),AND(Y584&lt;&gt;0,Z584&lt;&gt;0)),"","Quên chấm công"))</f>
        <v/>
      </c>
      <c r="AD584" s="12">
        <f>IF(VLOOKUP(A584,Data_NV!$A:$I,7,0)="Không",0,IF(AND(Y584=0,Z584=0),0,IF(X584&lt;=Z584,0,ROUNDDOWN((X584-Z584)*24*60,0))))</f>
        <v>0</v>
      </c>
      <c r="AE584" s="12">
        <f>IF(VLOOKUP(A584,Data_NV!$A:$I,6,0)="Không",0,IF(Z584&lt;=X584,0,ROUNDDOWN((Z584-X584)*24*60,0)))</f>
        <v>0</v>
      </c>
      <c r="AF584" s="26">
        <f t="shared" si="39"/>
        <v>0</v>
      </c>
      <c r="AG584" s="27" t="str">
        <f>IF(AC584="","",IF(COUNTIFS($AC$3:AC584,"Quên chấm công",$S$3:S584,S584)&gt;3,"Không chấm công do vi phạm quá 3 lần",IF(COUNTIFS($AC$3:AC584,"Quên chấm công",$S$3:S584,S584)&gt;2,"Trừ toàn bộ chuyên cần tháng do vi phạm lần 3",IF(COUNTIFS($AC$3:AC584,"Quên chấm công",$S$3:S584,S584)&gt;1,"Trừ 1/2 ngày lương",50000))))</f>
        <v/>
      </c>
      <c r="AH584" s="12" t="str">
        <f>IF(AF584=0,"",IF(COUNTIFS($AF$3:AF584,"&gt;0",$S$3:S584,S584)&gt;3,"Trừ toàn bộ chuyên cần tháng",""))</f>
        <v/>
      </c>
      <c r="AI584" s="12" t="s">
        <v>1382</v>
      </c>
    </row>
    <row r="585" spans="1:35" x14ac:dyDescent="0.25">
      <c r="A585" s="4" t="s">
        <v>915</v>
      </c>
      <c r="B585" s="1" t="s">
        <v>916</v>
      </c>
      <c r="C585" s="1" t="s">
        <v>20</v>
      </c>
      <c r="D585" s="1" t="s">
        <v>69</v>
      </c>
      <c r="E585" s="1" t="s">
        <v>22</v>
      </c>
      <c r="F585" s="1" t="s">
        <v>23</v>
      </c>
      <c r="G585" s="1" t="s">
        <v>12</v>
      </c>
      <c r="H585" s="1" t="s">
        <v>924</v>
      </c>
      <c r="I585" s="1" t="s">
        <v>24</v>
      </c>
      <c r="J585" s="1" t="s">
        <v>326</v>
      </c>
      <c r="K585" s="1" t="s">
        <v>25</v>
      </c>
      <c r="L585" s="1" t="s">
        <v>26</v>
      </c>
      <c r="M585" s="1" t="s">
        <v>25</v>
      </c>
      <c r="N585" s="1" t="s">
        <v>25</v>
      </c>
      <c r="O585" s="1" t="s">
        <v>25</v>
      </c>
      <c r="P585" s="1" t="s">
        <v>25</v>
      </c>
      <c r="Q585" s="1" t="s">
        <v>25</v>
      </c>
      <c r="R585" s="85" t="str">
        <f t="shared" si="36"/>
        <v>5145913</v>
      </c>
      <c r="S585" t="str">
        <f>VLOOKUP(A585,Data_NV!$A:$C,3,0)</f>
        <v>Dương Thị Kim Hồng</v>
      </c>
      <c r="T585" t="str">
        <f>VLOOKUP(A585,Data_NV!$A:$E,4,0)</f>
        <v>Kinh doanh</v>
      </c>
      <c r="U585" s="82">
        <f>DATEVALUE(Table2[[#This Row],[Ngày]])</f>
        <v>45913</v>
      </c>
      <c r="V585" t="str">
        <f>VLOOKUP(A585,Data_NV!$A:$E,5,0)</f>
        <v>Đang làm việc</v>
      </c>
      <c r="W585" s="10">
        <f>VLOOKUP(A585,Data_NV!$A:$I,8,0)</f>
        <v>0.33333333333333331</v>
      </c>
      <c r="X585" s="10">
        <f>VLOOKUP(A585,Data_NV!$A:$I,9,0)</f>
        <v>0.70833333333333337</v>
      </c>
      <c r="Y585" s="10">
        <f>IFERROR(TIMEVALUE(Table2[[#This Row],[Vào]]),0)</f>
        <v>0.37188657407407405</v>
      </c>
      <c r="Z585" s="10">
        <f>IFERROR(TIMEVALUE(Table2[[#This Row],[Ra]]),0)</f>
        <v>0</v>
      </c>
      <c r="AA585" t="str">
        <f t="shared" si="37"/>
        <v>x</v>
      </c>
      <c r="AB585" s="105">
        <f t="shared" si="38"/>
        <v>55.516666666666659</v>
      </c>
      <c r="AC585" s="12" t="str">
        <f>IF(VLOOKUP(A585,Data_NV!$A:$I,7,0)="Không","",IF(OR(AND(Y585=0,Z585=0),AND(Y585&lt;&gt;0,Z585&lt;&gt;0)),"","Quên chấm công"))</f>
        <v/>
      </c>
      <c r="AD585" s="12">
        <f>IF(VLOOKUP(A585,Data_NV!$A:$I,7,0)="Không",0,IF(AND(Y585=0,Z585=0),0,IF(X585&lt;=Z585,0,ROUNDDOWN((X585-Z585)*24*60,0))))</f>
        <v>0</v>
      </c>
      <c r="AE585" s="12">
        <f>IF(VLOOKUP(A585,Data_NV!$A:$I,6,0)="Không",0,IF(Z585&lt;=X585,0,ROUNDDOWN((Z585-X585)*24*60,0)))</f>
        <v>0</v>
      </c>
      <c r="AF585" s="26">
        <f t="shared" si="39"/>
        <v>50000</v>
      </c>
      <c r="AG585" s="27" t="str">
        <f>IF(AC585="","",IF(COUNTIFS($AC$3:AC585,"Quên chấm công",$S$3:S585,S585)&gt;3,"Không chấm công do vi phạm quá 3 lần",IF(COUNTIFS($AC$3:AC585,"Quên chấm công",$S$3:S585,S585)&gt;2,"Trừ toàn bộ chuyên cần tháng do vi phạm lần 3",IF(COUNTIFS($AC$3:AC585,"Quên chấm công",$S$3:S585,S585)&gt;1,"Trừ 1/2 ngày lương",50000))))</f>
        <v/>
      </c>
      <c r="AH585" s="12" t="str">
        <f>IF(AF585=0,"",IF(COUNTIFS($AF$3:AF585,"&gt;0",$S$3:S585,S585)&gt;3,"Trừ toàn bộ chuyên cần tháng",""))</f>
        <v/>
      </c>
      <c r="AI585" s="12" t="s">
        <v>1379</v>
      </c>
    </row>
    <row r="586" spans="1:35" x14ac:dyDescent="0.25">
      <c r="A586" s="4" t="s">
        <v>915</v>
      </c>
      <c r="B586" s="1" t="s">
        <v>916</v>
      </c>
      <c r="C586" s="1" t="s">
        <v>20</v>
      </c>
      <c r="D586" s="1" t="s">
        <v>74</v>
      </c>
      <c r="E586" s="1" t="s">
        <v>22</v>
      </c>
      <c r="F586" s="1" t="s">
        <v>23</v>
      </c>
      <c r="G586" s="1" t="s">
        <v>12</v>
      </c>
      <c r="H586" s="1" t="s">
        <v>24</v>
      </c>
      <c r="I586" s="1" t="s">
        <v>24</v>
      </c>
      <c r="J586" s="1" t="s">
        <v>25</v>
      </c>
      <c r="K586" s="1" t="s">
        <v>25</v>
      </c>
      <c r="L586" s="1" t="s">
        <v>26</v>
      </c>
      <c r="M586" s="1" t="s">
        <v>25</v>
      </c>
      <c r="N586" s="1" t="s">
        <v>25</v>
      </c>
      <c r="O586" s="1" t="s">
        <v>25</v>
      </c>
      <c r="P586" s="1" t="s">
        <v>25</v>
      </c>
      <c r="Q586" s="1" t="s">
        <v>25</v>
      </c>
      <c r="R586" s="85" t="str">
        <f t="shared" si="36"/>
        <v>5145914</v>
      </c>
      <c r="S586" t="str">
        <f>VLOOKUP(A586,Data_NV!$A:$C,3,0)</f>
        <v>Dương Thị Kim Hồng</v>
      </c>
      <c r="T586" t="str">
        <f>VLOOKUP(A586,Data_NV!$A:$E,4,0)</f>
        <v>Kinh doanh</v>
      </c>
      <c r="U586" s="82">
        <f>DATEVALUE(Table2[[#This Row],[Ngày]])</f>
        <v>45914</v>
      </c>
      <c r="V586" t="str">
        <f>VLOOKUP(A586,Data_NV!$A:$E,5,0)</f>
        <v>Đang làm việc</v>
      </c>
      <c r="W586" s="10">
        <f>VLOOKUP(A586,Data_NV!$A:$I,8,0)</f>
        <v>0.33333333333333331</v>
      </c>
      <c r="X586" s="10">
        <f>VLOOKUP(A586,Data_NV!$A:$I,9,0)</f>
        <v>0.70833333333333337</v>
      </c>
      <c r="Y586" s="10">
        <f>IFERROR(TIMEVALUE(Table2[[#This Row],[Vào]]),0)</f>
        <v>0</v>
      </c>
      <c r="Z586" s="10">
        <f>IFERROR(TIMEVALUE(Table2[[#This Row],[Ra]]),0)</f>
        <v>0</v>
      </c>
      <c r="AA586" t="str">
        <f t="shared" si="37"/>
        <v>Chủ nhật</v>
      </c>
      <c r="AB586" s="105">
        <f t="shared" si="38"/>
        <v>0</v>
      </c>
      <c r="AC586" s="12" t="str">
        <f>IF(VLOOKUP(A586,Data_NV!$A:$I,7,0)="Không","",IF(OR(AND(Y586=0,Z586=0),AND(Y586&lt;&gt;0,Z586&lt;&gt;0)),"","Quên chấm công"))</f>
        <v/>
      </c>
      <c r="AD586" s="12">
        <f>IF(VLOOKUP(A586,Data_NV!$A:$I,7,0)="Không",0,IF(AND(Y586=0,Z586=0),0,IF(X586&lt;=Z586,0,ROUNDDOWN((X586-Z586)*24*60,0))))</f>
        <v>0</v>
      </c>
      <c r="AE586" s="12">
        <f>IF(VLOOKUP(A586,Data_NV!$A:$I,6,0)="Không",0,IF(Z586&lt;=X586,0,ROUNDDOWN((Z586-X586)*24*60,0)))</f>
        <v>0</v>
      </c>
      <c r="AF586" s="26">
        <f t="shared" si="39"/>
        <v>0</v>
      </c>
      <c r="AG586" s="27" t="str">
        <f>IF(AC586="","",IF(COUNTIFS($AC$3:AC586,"Quên chấm công",$S$3:S586,S586)&gt;3,"Không chấm công do vi phạm quá 3 lần",IF(COUNTIFS($AC$3:AC586,"Quên chấm công",$S$3:S586,S586)&gt;2,"Trừ toàn bộ chuyên cần tháng do vi phạm lần 3",IF(COUNTIFS($AC$3:AC586,"Quên chấm công",$S$3:S586,S586)&gt;1,"Trừ 1/2 ngày lương",50000))))</f>
        <v/>
      </c>
      <c r="AH586" s="12" t="str">
        <f>IF(AF586=0,"",IF(COUNTIFS($AF$3:AF586,"&gt;0",$S$3:S586,S586)&gt;3,"Trừ toàn bộ chuyên cần tháng",""))</f>
        <v/>
      </c>
      <c r="AI586" s="12"/>
    </row>
    <row r="587" spans="1:35" x14ac:dyDescent="0.25">
      <c r="A587" s="4" t="s">
        <v>915</v>
      </c>
      <c r="B587" s="1" t="s">
        <v>916</v>
      </c>
      <c r="C587" s="1" t="s">
        <v>20</v>
      </c>
      <c r="D587" s="1" t="s">
        <v>75</v>
      </c>
      <c r="E587" s="1" t="s">
        <v>22</v>
      </c>
      <c r="F587" s="1" t="s">
        <v>23</v>
      </c>
      <c r="G587" s="1" t="s">
        <v>12</v>
      </c>
      <c r="H587" s="1" t="s">
        <v>925</v>
      </c>
      <c r="I587" s="1" t="s">
        <v>24</v>
      </c>
      <c r="J587" s="1" t="s">
        <v>177</v>
      </c>
      <c r="K587" s="1" t="s">
        <v>25</v>
      </c>
      <c r="L587" s="1" t="s">
        <v>26</v>
      </c>
      <c r="M587" s="1" t="s">
        <v>25</v>
      </c>
      <c r="N587" s="1" t="s">
        <v>25</v>
      </c>
      <c r="O587" s="1" t="s">
        <v>25</v>
      </c>
      <c r="P587" s="1" t="s">
        <v>25</v>
      </c>
      <c r="Q587" s="1" t="s">
        <v>25</v>
      </c>
      <c r="R587" s="85" t="str">
        <f t="shared" si="36"/>
        <v>5145915</v>
      </c>
      <c r="S587" t="str">
        <f>VLOOKUP(A587,Data_NV!$A:$C,3,0)</f>
        <v>Dương Thị Kim Hồng</v>
      </c>
      <c r="T587" t="str">
        <f>VLOOKUP(A587,Data_NV!$A:$E,4,0)</f>
        <v>Kinh doanh</v>
      </c>
      <c r="U587" s="82">
        <f>DATEVALUE(Table2[[#This Row],[Ngày]])</f>
        <v>45915</v>
      </c>
      <c r="V587" t="str">
        <f>VLOOKUP(A587,Data_NV!$A:$E,5,0)</f>
        <v>Đang làm việc</v>
      </c>
      <c r="W587" s="10">
        <f>VLOOKUP(A587,Data_NV!$A:$I,8,0)</f>
        <v>0.33333333333333331</v>
      </c>
      <c r="X587" s="10">
        <f>VLOOKUP(A587,Data_NV!$A:$I,9,0)</f>
        <v>0.70833333333333337</v>
      </c>
      <c r="Y587" s="10">
        <f>IFERROR(TIMEVALUE(Table2[[#This Row],[Vào]]),0)</f>
        <v>0.33769675925925924</v>
      </c>
      <c r="Z587" s="10">
        <f>IFERROR(TIMEVALUE(Table2[[#This Row],[Ra]]),0)</f>
        <v>0</v>
      </c>
      <c r="AA587" t="str">
        <f t="shared" si="37"/>
        <v>x</v>
      </c>
      <c r="AB587" s="105">
        <f t="shared" si="38"/>
        <v>6.2833333333333297</v>
      </c>
      <c r="AC587" s="12" t="str">
        <f>IF(VLOOKUP(A587,Data_NV!$A:$I,7,0)="Không","",IF(OR(AND(Y587=0,Z587=0),AND(Y587&lt;&gt;0,Z587&lt;&gt;0)),"","Quên chấm công"))</f>
        <v/>
      </c>
      <c r="AD587" s="12">
        <f>IF(VLOOKUP(A587,Data_NV!$A:$I,7,0)="Không",0,IF(AND(Y587=0,Z587=0),0,IF(X587&lt;=Z587,0,ROUNDDOWN((X587-Z587)*24*60,0))))</f>
        <v>0</v>
      </c>
      <c r="AE587" s="12">
        <f>IF(VLOOKUP(A587,Data_NV!$A:$I,6,0)="Không",0,IF(Z587&lt;=X587,0,ROUNDDOWN((Z587-X587)*24*60,0)))</f>
        <v>0</v>
      </c>
      <c r="AF587" s="26">
        <f t="shared" si="39"/>
        <v>30000</v>
      </c>
      <c r="AG587" s="27" t="str">
        <f>IF(AC587="","",IF(COUNTIFS($AC$3:AC587,"Quên chấm công",$S$3:S587,S587)&gt;3,"Không chấm công do vi phạm quá 3 lần",IF(COUNTIFS($AC$3:AC587,"Quên chấm công",$S$3:S587,S587)&gt;2,"Trừ toàn bộ chuyên cần tháng do vi phạm lần 3",IF(COUNTIFS($AC$3:AC587,"Quên chấm công",$S$3:S587,S587)&gt;1,"Trừ 1/2 ngày lương",50000))))</f>
        <v/>
      </c>
      <c r="AH587" s="12" t="str">
        <f>IF(AF587=0,"",IF(COUNTIFS($AF$3:AF587,"&gt;0",$S$3:S587,S587)&gt;3,"Trừ toàn bộ chuyên cần tháng",""))</f>
        <v/>
      </c>
      <c r="AI587" s="12"/>
    </row>
    <row r="588" spans="1:35" x14ac:dyDescent="0.25">
      <c r="A588" s="4" t="s">
        <v>915</v>
      </c>
      <c r="B588" s="1" t="s">
        <v>916</v>
      </c>
      <c r="C588" s="1" t="s">
        <v>20</v>
      </c>
      <c r="D588" s="1" t="s">
        <v>80</v>
      </c>
      <c r="E588" s="1" t="s">
        <v>22</v>
      </c>
      <c r="F588" s="1" t="s">
        <v>23</v>
      </c>
      <c r="G588" s="1" t="s">
        <v>12</v>
      </c>
      <c r="H588" s="1" t="s">
        <v>926</v>
      </c>
      <c r="I588" s="1" t="s">
        <v>24</v>
      </c>
      <c r="J588" s="1" t="s">
        <v>428</v>
      </c>
      <c r="K588" s="1" t="s">
        <v>25</v>
      </c>
      <c r="L588" s="1" t="s">
        <v>26</v>
      </c>
      <c r="M588" s="1" t="s">
        <v>25</v>
      </c>
      <c r="N588" s="1" t="s">
        <v>25</v>
      </c>
      <c r="O588" s="1" t="s">
        <v>25</v>
      </c>
      <c r="P588" s="1" t="s">
        <v>25</v>
      </c>
      <c r="Q588" s="1" t="s">
        <v>25</v>
      </c>
      <c r="R588" s="85" t="str">
        <f t="shared" si="36"/>
        <v>5145916</v>
      </c>
      <c r="S588" t="str">
        <f>VLOOKUP(A588,Data_NV!$A:$C,3,0)</f>
        <v>Dương Thị Kim Hồng</v>
      </c>
      <c r="T588" t="str">
        <f>VLOOKUP(A588,Data_NV!$A:$E,4,0)</f>
        <v>Kinh doanh</v>
      </c>
      <c r="U588" s="82">
        <f>DATEVALUE(Table2[[#This Row],[Ngày]])</f>
        <v>45916</v>
      </c>
      <c r="V588" t="str">
        <f>VLOOKUP(A588,Data_NV!$A:$E,5,0)</f>
        <v>Đang làm việc</v>
      </c>
      <c r="W588" s="10">
        <f>VLOOKUP(A588,Data_NV!$A:$I,8,0)</f>
        <v>0.33333333333333331</v>
      </c>
      <c r="X588" s="10">
        <f>VLOOKUP(A588,Data_NV!$A:$I,9,0)</f>
        <v>0.70833333333333337</v>
      </c>
      <c r="Y588" s="10">
        <f>IFERROR(TIMEVALUE(Table2[[#This Row],[Vào]]),0)</f>
        <v>0.34233796296296298</v>
      </c>
      <c r="Z588" s="10">
        <f>IFERROR(TIMEVALUE(Table2[[#This Row],[Ra]]),0)</f>
        <v>0</v>
      </c>
      <c r="AA588" t="str">
        <f t="shared" si="37"/>
        <v>x</v>
      </c>
      <c r="AB588" s="105">
        <f t="shared" si="38"/>
        <v>12.966666666666722</v>
      </c>
      <c r="AC588" s="12" t="str">
        <f>IF(VLOOKUP(A588,Data_NV!$A:$I,7,0)="Không","",IF(OR(AND(Y588=0,Z588=0),AND(Y588&lt;&gt;0,Z588&lt;&gt;0)),"","Quên chấm công"))</f>
        <v/>
      </c>
      <c r="AD588" s="12">
        <f>IF(VLOOKUP(A588,Data_NV!$A:$I,7,0)="Không",0,IF(AND(Y588=0,Z588=0),0,IF(X588&lt;=Z588,0,ROUNDDOWN((X588-Z588)*24*60,0))))</f>
        <v>0</v>
      </c>
      <c r="AE588" s="12">
        <f>IF(VLOOKUP(A588,Data_NV!$A:$I,6,0)="Không",0,IF(Z588&lt;=X588,0,ROUNDDOWN((Z588-X588)*24*60,0)))</f>
        <v>0</v>
      </c>
      <c r="AF588" s="26">
        <f t="shared" si="39"/>
        <v>30000</v>
      </c>
      <c r="AG588" s="27" t="str">
        <f>IF(AC588="","",IF(COUNTIFS($AC$3:AC588,"Quên chấm công",$S$3:S588,S588)&gt;3,"Không chấm công do vi phạm quá 3 lần",IF(COUNTIFS($AC$3:AC588,"Quên chấm công",$S$3:S588,S588)&gt;2,"Trừ toàn bộ chuyên cần tháng do vi phạm lần 3",IF(COUNTIFS($AC$3:AC588,"Quên chấm công",$S$3:S588,S588)&gt;1,"Trừ 1/2 ngày lương",50000))))</f>
        <v/>
      </c>
      <c r="AH588" s="12" t="str">
        <f>IF(AF588=0,"",IF(COUNTIFS($AF$3:AF588,"&gt;0",$S$3:S588,S588)&gt;3,"Trừ toàn bộ chuyên cần tháng",""))</f>
        <v>Trừ toàn bộ chuyên cần tháng</v>
      </c>
      <c r="AI588" s="12" t="s">
        <v>1379</v>
      </c>
    </row>
    <row r="589" spans="1:35" x14ac:dyDescent="0.25">
      <c r="A589" s="4" t="s">
        <v>915</v>
      </c>
      <c r="B589" s="1" t="s">
        <v>916</v>
      </c>
      <c r="C589" s="1" t="s">
        <v>20</v>
      </c>
      <c r="D589" s="1" t="s">
        <v>85</v>
      </c>
      <c r="E589" s="1" t="s">
        <v>22</v>
      </c>
      <c r="F589" s="1" t="s">
        <v>23</v>
      </c>
      <c r="G589" s="1" t="s">
        <v>12</v>
      </c>
      <c r="H589" s="1" t="s">
        <v>927</v>
      </c>
      <c r="I589" s="1" t="s">
        <v>24</v>
      </c>
      <c r="J589" s="1" t="s">
        <v>682</v>
      </c>
      <c r="K589" s="1" t="s">
        <v>25</v>
      </c>
      <c r="L589" s="1" t="s">
        <v>26</v>
      </c>
      <c r="M589" s="1" t="s">
        <v>25</v>
      </c>
      <c r="N589" s="1" t="s">
        <v>25</v>
      </c>
      <c r="O589" s="1" t="s">
        <v>25</v>
      </c>
      <c r="P589" s="1" t="s">
        <v>25</v>
      </c>
      <c r="Q589" s="1" t="s">
        <v>25</v>
      </c>
      <c r="R589" s="85" t="str">
        <f t="shared" si="36"/>
        <v>5145917</v>
      </c>
      <c r="S589" t="str">
        <f>VLOOKUP(A589,Data_NV!$A:$C,3,0)</f>
        <v>Dương Thị Kim Hồng</v>
      </c>
      <c r="T589" t="str">
        <f>VLOOKUP(A589,Data_NV!$A:$E,4,0)</f>
        <v>Kinh doanh</v>
      </c>
      <c r="U589" s="82">
        <f>DATEVALUE(Table2[[#This Row],[Ngày]])</f>
        <v>45917</v>
      </c>
      <c r="V589" t="str">
        <f>VLOOKUP(A589,Data_NV!$A:$E,5,0)</f>
        <v>Đang làm việc</v>
      </c>
      <c r="W589" s="10">
        <f>VLOOKUP(A589,Data_NV!$A:$I,8,0)</f>
        <v>0.33333333333333331</v>
      </c>
      <c r="X589" s="10">
        <f>VLOOKUP(A589,Data_NV!$A:$I,9,0)</f>
        <v>0.70833333333333337</v>
      </c>
      <c r="Y589" s="10">
        <f>IFERROR(TIMEVALUE(Table2[[#This Row],[Vào]]),0)</f>
        <v>0.33694444444444444</v>
      </c>
      <c r="Z589" s="10">
        <f>IFERROR(TIMEVALUE(Table2[[#This Row],[Ra]]),0)</f>
        <v>0</v>
      </c>
      <c r="AA589" t="str">
        <f t="shared" si="37"/>
        <v>x</v>
      </c>
      <c r="AB589" s="105">
        <f t="shared" si="38"/>
        <v>5.2000000000000135</v>
      </c>
      <c r="AC589" s="12" t="str">
        <f>IF(VLOOKUP(A589,Data_NV!$A:$I,7,0)="Không","",IF(OR(AND(Y589=0,Z589=0),AND(Y589&lt;&gt;0,Z589&lt;&gt;0)),"","Quên chấm công"))</f>
        <v/>
      </c>
      <c r="AD589" s="12">
        <f>IF(VLOOKUP(A589,Data_NV!$A:$I,7,0)="Không",0,IF(AND(Y589=0,Z589=0),0,IF(X589&lt;=Z589,0,ROUNDDOWN((X589-Z589)*24*60,0))))</f>
        <v>0</v>
      </c>
      <c r="AE589" s="12">
        <f>IF(VLOOKUP(A589,Data_NV!$A:$I,6,0)="Không",0,IF(Z589&lt;=X589,0,ROUNDDOWN((Z589-X589)*24*60,0)))</f>
        <v>0</v>
      </c>
      <c r="AF589" s="26">
        <f t="shared" si="39"/>
        <v>0</v>
      </c>
      <c r="AG589" s="27" t="str">
        <f>IF(AC589="","",IF(COUNTIFS($AC$3:AC589,"Quên chấm công",$S$3:S589,S589)&gt;3,"Không chấm công do vi phạm quá 3 lần",IF(COUNTIFS($AC$3:AC589,"Quên chấm công",$S$3:S589,S589)&gt;2,"Trừ toàn bộ chuyên cần tháng do vi phạm lần 3",IF(COUNTIFS($AC$3:AC589,"Quên chấm công",$S$3:S589,S589)&gt;1,"Trừ 1/2 ngày lương",50000))))</f>
        <v/>
      </c>
      <c r="AH589" s="12" t="str">
        <f>IF(AF589=0,"",IF(COUNTIFS($AF$3:AF589,"&gt;0",$S$3:S589,S589)&gt;3,"Trừ toàn bộ chuyên cần tháng",""))</f>
        <v/>
      </c>
      <c r="AI589" s="12"/>
    </row>
    <row r="590" spans="1:35" x14ac:dyDescent="0.25">
      <c r="A590" s="4" t="s">
        <v>915</v>
      </c>
      <c r="B590" s="1" t="s">
        <v>916</v>
      </c>
      <c r="C590" s="1" t="s">
        <v>20</v>
      </c>
      <c r="D590" s="1" t="s">
        <v>90</v>
      </c>
      <c r="E590" s="1" t="s">
        <v>22</v>
      </c>
      <c r="F590" s="1" t="s">
        <v>23</v>
      </c>
      <c r="G590" s="1" t="s">
        <v>12</v>
      </c>
      <c r="H590" s="1" t="s">
        <v>928</v>
      </c>
      <c r="I590" s="1" t="s">
        <v>24</v>
      </c>
      <c r="J590" s="1" t="s">
        <v>25</v>
      </c>
      <c r="K590" s="1" t="s">
        <v>25</v>
      </c>
      <c r="L590" s="1" t="s">
        <v>26</v>
      </c>
      <c r="M590" s="1" t="s">
        <v>25</v>
      </c>
      <c r="N590" s="1" t="s">
        <v>25</v>
      </c>
      <c r="O590" s="1" t="s">
        <v>25</v>
      </c>
      <c r="P590" s="1" t="s">
        <v>25</v>
      </c>
      <c r="Q590" s="1" t="s">
        <v>25</v>
      </c>
      <c r="R590" s="85" t="str">
        <f t="shared" si="36"/>
        <v>5145918</v>
      </c>
      <c r="S590" t="str">
        <f>VLOOKUP(A590,Data_NV!$A:$C,3,0)</f>
        <v>Dương Thị Kim Hồng</v>
      </c>
      <c r="T590" t="str">
        <f>VLOOKUP(A590,Data_NV!$A:$E,4,0)</f>
        <v>Kinh doanh</v>
      </c>
      <c r="U590" s="82">
        <f>DATEVALUE(Table2[[#This Row],[Ngày]])</f>
        <v>45918</v>
      </c>
      <c r="V590" t="str">
        <f>VLOOKUP(A590,Data_NV!$A:$E,5,0)</f>
        <v>Đang làm việc</v>
      </c>
      <c r="W590" s="10">
        <f>VLOOKUP(A590,Data_NV!$A:$I,8,0)</f>
        <v>0.33333333333333331</v>
      </c>
      <c r="X590" s="10">
        <f>VLOOKUP(A590,Data_NV!$A:$I,9,0)</f>
        <v>0.70833333333333337</v>
      </c>
      <c r="Y590" s="10">
        <f>IFERROR(TIMEVALUE(Table2[[#This Row],[Vào]]),0)</f>
        <v>0.30596064814814816</v>
      </c>
      <c r="Z590" s="10">
        <f>IFERROR(TIMEVALUE(Table2[[#This Row],[Ra]]),0)</f>
        <v>0</v>
      </c>
      <c r="AA590" t="str">
        <f t="shared" si="37"/>
        <v>x</v>
      </c>
      <c r="AB590" s="105">
        <f t="shared" si="38"/>
        <v>0</v>
      </c>
      <c r="AC590" s="12" t="str">
        <f>IF(VLOOKUP(A590,Data_NV!$A:$I,7,0)="Không","",IF(OR(AND(Y590=0,Z590=0),AND(Y590&lt;&gt;0,Z590&lt;&gt;0)),"","Quên chấm công"))</f>
        <v/>
      </c>
      <c r="AD590" s="12">
        <f>IF(VLOOKUP(A590,Data_NV!$A:$I,7,0)="Không",0,IF(AND(Y590=0,Z590=0),0,IF(X590&lt;=Z590,0,ROUNDDOWN((X590-Z590)*24*60,0))))</f>
        <v>0</v>
      </c>
      <c r="AE590" s="12">
        <f>IF(VLOOKUP(A590,Data_NV!$A:$I,6,0)="Không",0,IF(Z590&lt;=X590,0,ROUNDDOWN((Z590-X590)*24*60,0)))</f>
        <v>0</v>
      </c>
      <c r="AF590" s="26">
        <f t="shared" si="39"/>
        <v>0</v>
      </c>
      <c r="AG590" s="27" t="str">
        <f>IF(AC590="","",IF(COUNTIFS($AC$3:AC590,"Quên chấm công",$S$3:S590,S590)&gt;3,"Không chấm công do vi phạm quá 3 lần",IF(COUNTIFS($AC$3:AC590,"Quên chấm công",$S$3:S590,S590)&gt;2,"Trừ toàn bộ chuyên cần tháng do vi phạm lần 3",IF(COUNTIFS($AC$3:AC590,"Quên chấm công",$S$3:S590,S590)&gt;1,"Trừ 1/2 ngày lương",50000))))</f>
        <v/>
      </c>
      <c r="AH590" s="12" t="str">
        <f>IF(AF590=0,"",IF(COUNTIFS($AF$3:AF590,"&gt;0",$S$3:S590,S590)&gt;3,"Trừ toàn bộ chuyên cần tháng",""))</f>
        <v/>
      </c>
      <c r="AI590" s="12"/>
    </row>
    <row r="591" spans="1:35" x14ac:dyDescent="0.25">
      <c r="A591" s="4" t="s">
        <v>915</v>
      </c>
      <c r="B591" s="1" t="s">
        <v>916</v>
      </c>
      <c r="C591" s="1" t="s">
        <v>20</v>
      </c>
      <c r="D591" s="1" t="s">
        <v>95</v>
      </c>
      <c r="E591" s="1" t="s">
        <v>22</v>
      </c>
      <c r="F591" s="1" t="s">
        <v>23</v>
      </c>
      <c r="G591" s="1" t="s">
        <v>12</v>
      </c>
      <c r="H591" s="1" t="s">
        <v>929</v>
      </c>
      <c r="I591" s="1" t="s">
        <v>24</v>
      </c>
      <c r="J591" s="1" t="s">
        <v>345</v>
      </c>
      <c r="K591" s="1" t="s">
        <v>25</v>
      </c>
      <c r="L591" s="1" t="s">
        <v>26</v>
      </c>
      <c r="M591" s="1" t="s">
        <v>25</v>
      </c>
      <c r="N591" s="1" t="s">
        <v>25</v>
      </c>
      <c r="O591" s="1" t="s">
        <v>25</v>
      </c>
      <c r="P591" s="1" t="s">
        <v>25</v>
      </c>
      <c r="Q591" s="1" t="s">
        <v>25</v>
      </c>
      <c r="R591" s="85" t="str">
        <f t="shared" si="36"/>
        <v>5145919</v>
      </c>
      <c r="S591" t="str">
        <f>VLOOKUP(A591,Data_NV!$A:$C,3,0)</f>
        <v>Dương Thị Kim Hồng</v>
      </c>
      <c r="T591" t="str">
        <f>VLOOKUP(A591,Data_NV!$A:$E,4,0)</f>
        <v>Kinh doanh</v>
      </c>
      <c r="U591" s="82">
        <f>DATEVALUE(Table2[[#This Row],[Ngày]])</f>
        <v>45919</v>
      </c>
      <c r="V591" t="str">
        <f>VLOOKUP(A591,Data_NV!$A:$E,5,0)</f>
        <v>Đang làm việc</v>
      </c>
      <c r="W591" s="10">
        <f>VLOOKUP(A591,Data_NV!$A:$I,8,0)</f>
        <v>0.33333333333333331</v>
      </c>
      <c r="X591" s="10">
        <f>VLOOKUP(A591,Data_NV!$A:$I,9,0)</f>
        <v>0.70833333333333337</v>
      </c>
      <c r="Y591" s="10">
        <f>IFERROR(TIMEVALUE(Table2[[#This Row],[Vào]]),0)</f>
        <v>0.34672453703703704</v>
      </c>
      <c r="Z591" s="10">
        <f>IFERROR(TIMEVALUE(Table2[[#This Row],[Ra]]),0)</f>
        <v>0</v>
      </c>
      <c r="AA591" t="str">
        <f t="shared" si="37"/>
        <v>x</v>
      </c>
      <c r="AB591" s="105">
        <f t="shared" si="38"/>
        <v>19.283333333333363</v>
      </c>
      <c r="AC591" s="12" t="str">
        <f>IF(VLOOKUP(A591,Data_NV!$A:$I,7,0)="Không","",IF(OR(AND(Y591=0,Z591=0),AND(Y591&lt;&gt;0,Z591&lt;&gt;0)),"","Quên chấm công"))</f>
        <v/>
      </c>
      <c r="AD591" s="12">
        <f>IF(VLOOKUP(A591,Data_NV!$A:$I,7,0)="Không",0,IF(AND(Y591=0,Z591=0),0,IF(X591&lt;=Z591,0,ROUNDDOWN((X591-Z591)*24*60,0))))</f>
        <v>0</v>
      </c>
      <c r="AE591" s="12">
        <f>IF(VLOOKUP(A591,Data_NV!$A:$I,6,0)="Không",0,IF(Z591&lt;=X591,0,ROUNDDOWN((Z591-X591)*24*60,0)))</f>
        <v>0</v>
      </c>
      <c r="AF591" s="26">
        <f t="shared" si="39"/>
        <v>50000</v>
      </c>
      <c r="AG591" s="27" t="str">
        <f>IF(AC591="","",IF(COUNTIFS($AC$3:AC591,"Quên chấm công",$S$3:S591,S591)&gt;3,"Không chấm công do vi phạm quá 3 lần",IF(COUNTIFS($AC$3:AC591,"Quên chấm công",$S$3:S591,S591)&gt;2,"Trừ toàn bộ chuyên cần tháng do vi phạm lần 3",IF(COUNTIFS($AC$3:AC591,"Quên chấm công",$S$3:S591,S591)&gt;1,"Trừ 1/2 ngày lương",50000))))</f>
        <v/>
      </c>
      <c r="AH591" s="12"/>
      <c r="AI591" s="12" t="s">
        <v>1379</v>
      </c>
    </row>
    <row r="592" spans="1:35" x14ac:dyDescent="0.25">
      <c r="A592" s="4" t="s">
        <v>915</v>
      </c>
      <c r="B592" s="1" t="s">
        <v>916</v>
      </c>
      <c r="C592" s="1" t="s">
        <v>20</v>
      </c>
      <c r="D592" s="1" t="s">
        <v>100</v>
      </c>
      <c r="E592" s="1" t="s">
        <v>22</v>
      </c>
      <c r="F592" s="1" t="s">
        <v>23</v>
      </c>
      <c r="G592" s="1" t="s">
        <v>12</v>
      </c>
      <c r="H592" s="1" t="s">
        <v>930</v>
      </c>
      <c r="I592" s="1" t="s">
        <v>24</v>
      </c>
      <c r="J592" s="1" t="s">
        <v>691</v>
      </c>
      <c r="K592" s="1" t="s">
        <v>25</v>
      </c>
      <c r="L592" s="1" t="s">
        <v>26</v>
      </c>
      <c r="M592" s="1" t="s">
        <v>25</v>
      </c>
      <c r="N592" s="1" t="s">
        <v>25</v>
      </c>
      <c r="O592" s="1" t="s">
        <v>25</v>
      </c>
      <c r="P592" s="1" t="s">
        <v>25</v>
      </c>
      <c r="Q592" s="1" t="s">
        <v>25</v>
      </c>
      <c r="R592" s="85" t="str">
        <f t="shared" si="36"/>
        <v>5145920</v>
      </c>
      <c r="S592" t="str">
        <f>VLOOKUP(A592,Data_NV!$A:$C,3,0)</f>
        <v>Dương Thị Kim Hồng</v>
      </c>
      <c r="T592" t="str">
        <f>VLOOKUP(A592,Data_NV!$A:$E,4,0)</f>
        <v>Kinh doanh</v>
      </c>
      <c r="U592" s="82">
        <f>DATEVALUE(Table2[[#This Row],[Ngày]])</f>
        <v>45920</v>
      </c>
      <c r="V592" t="str">
        <f>VLOOKUP(A592,Data_NV!$A:$E,5,0)</f>
        <v>Đang làm việc</v>
      </c>
      <c r="W592" s="10">
        <f>VLOOKUP(A592,Data_NV!$A:$I,8,0)</f>
        <v>0.33333333333333331</v>
      </c>
      <c r="X592" s="10">
        <f>VLOOKUP(A592,Data_NV!$A:$I,9,0)</f>
        <v>0.70833333333333337</v>
      </c>
      <c r="Y592" s="10">
        <f>IFERROR(TIMEVALUE(Table2[[#This Row],[Vào]]),0)</f>
        <v>0.33538194444444447</v>
      </c>
      <c r="Z592" s="10">
        <f>IFERROR(TIMEVALUE(Table2[[#This Row],[Ra]]),0)</f>
        <v>0</v>
      </c>
      <c r="AA592" t="str">
        <f t="shared" si="37"/>
        <v>x</v>
      </c>
      <c r="AB592" s="105">
        <f t="shared" si="38"/>
        <v>2.9500000000000615</v>
      </c>
      <c r="AC592" s="12" t="str">
        <f>IF(VLOOKUP(A592,Data_NV!$A:$I,7,0)="Không","",IF(OR(AND(Y592=0,Z592=0),AND(Y592&lt;&gt;0,Z592&lt;&gt;0)),"","Quên chấm công"))</f>
        <v/>
      </c>
      <c r="AD592" s="12">
        <f>IF(VLOOKUP(A592,Data_NV!$A:$I,7,0)="Không",0,IF(AND(Y592=0,Z592=0),0,IF(X592&lt;=Z592,0,ROUNDDOWN((X592-Z592)*24*60,0))))</f>
        <v>0</v>
      </c>
      <c r="AE592" s="12">
        <f>IF(VLOOKUP(A592,Data_NV!$A:$I,6,0)="Không",0,IF(Z592&lt;=X592,0,ROUNDDOWN((Z592-X592)*24*60,0)))</f>
        <v>0</v>
      </c>
      <c r="AF592" s="26">
        <f t="shared" si="39"/>
        <v>0</v>
      </c>
      <c r="AG592" s="27" t="str">
        <f>IF(AC592="","",IF(COUNTIFS($AC$3:AC592,"Quên chấm công",$S$3:S592,S592)&gt;3,"Không chấm công do vi phạm quá 3 lần",IF(COUNTIFS($AC$3:AC592,"Quên chấm công",$S$3:S592,S592)&gt;2,"Trừ toàn bộ chuyên cần tháng do vi phạm lần 3",IF(COUNTIFS($AC$3:AC592,"Quên chấm công",$S$3:S592,S592)&gt;1,"Trừ 1/2 ngày lương",50000))))</f>
        <v/>
      </c>
      <c r="AH592" s="12" t="str">
        <f>IF(AF592=0,"",IF(COUNTIFS($AF$3:AF592,"&gt;0",$S$3:S592,S592)&gt;3,"Trừ toàn bộ chuyên cần tháng",""))</f>
        <v/>
      </c>
      <c r="AI592" s="12"/>
    </row>
    <row r="593" spans="1:35" x14ac:dyDescent="0.25">
      <c r="A593" s="4" t="s">
        <v>915</v>
      </c>
      <c r="B593" s="1" t="s">
        <v>916</v>
      </c>
      <c r="C593" s="1" t="s">
        <v>20</v>
      </c>
      <c r="D593" s="1" t="s">
        <v>105</v>
      </c>
      <c r="E593" s="1" t="s">
        <v>22</v>
      </c>
      <c r="F593" s="1" t="s">
        <v>23</v>
      </c>
      <c r="G593" s="1" t="s">
        <v>12</v>
      </c>
      <c r="H593" s="1" t="s">
        <v>24</v>
      </c>
      <c r="I593" s="1" t="s">
        <v>24</v>
      </c>
      <c r="J593" s="1" t="s">
        <v>25</v>
      </c>
      <c r="K593" s="1" t="s">
        <v>25</v>
      </c>
      <c r="L593" s="1" t="s">
        <v>26</v>
      </c>
      <c r="M593" s="1" t="s">
        <v>25</v>
      </c>
      <c r="N593" s="1" t="s">
        <v>25</v>
      </c>
      <c r="O593" s="1" t="s">
        <v>25</v>
      </c>
      <c r="P593" s="1" t="s">
        <v>25</v>
      </c>
      <c r="Q593" s="1" t="s">
        <v>25</v>
      </c>
      <c r="R593" s="85" t="str">
        <f t="shared" si="36"/>
        <v>5145921</v>
      </c>
      <c r="S593" t="str">
        <f>VLOOKUP(A593,Data_NV!$A:$C,3,0)</f>
        <v>Dương Thị Kim Hồng</v>
      </c>
      <c r="T593" t="str">
        <f>VLOOKUP(A593,Data_NV!$A:$E,4,0)</f>
        <v>Kinh doanh</v>
      </c>
      <c r="U593" s="82">
        <f>DATEVALUE(Table2[[#This Row],[Ngày]])</f>
        <v>45921</v>
      </c>
      <c r="V593" t="str">
        <f>VLOOKUP(A593,Data_NV!$A:$E,5,0)</f>
        <v>Đang làm việc</v>
      </c>
      <c r="W593" s="10">
        <f>VLOOKUP(A593,Data_NV!$A:$I,8,0)</f>
        <v>0.33333333333333331</v>
      </c>
      <c r="X593" s="10">
        <f>VLOOKUP(A593,Data_NV!$A:$I,9,0)</f>
        <v>0.70833333333333337</v>
      </c>
      <c r="Y593" s="10">
        <f>IFERROR(TIMEVALUE(Table2[[#This Row],[Vào]]),0)</f>
        <v>0</v>
      </c>
      <c r="Z593" s="10">
        <f>IFERROR(TIMEVALUE(Table2[[#This Row],[Ra]]),0)</f>
        <v>0</v>
      </c>
      <c r="AA593" t="str">
        <f t="shared" si="37"/>
        <v>Chủ nhật</v>
      </c>
      <c r="AB593" s="105">
        <f t="shared" si="38"/>
        <v>0</v>
      </c>
      <c r="AC593" s="12" t="str">
        <f>IF(VLOOKUP(A593,Data_NV!$A:$I,7,0)="Không","",IF(OR(AND(Y593=0,Z593=0),AND(Y593&lt;&gt;0,Z593&lt;&gt;0)),"","Quên chấm công"))</f>
        <v/>
      </c>
      <c r="AD593" s="12">
        <f>IF(VLOOKUP(A593,Data_NV!$A:$I,7,0)="Không",0,IF(AND(Y593=0,Z593=0),0,IF(X593&lt;=Z593,0,ROUNDDOWN((X593-Z593)*24*60,0))))</f>
        <v>0</v>
      </c>
      <c r="AE593" s="12">
        <f>IF(VLOOKUP(A593,Data_NV!$A:$I,6,0)="Không",0,IF(Z593&lt;=X593,0,ROUNDDOWN((Z593-X593)*24*60,0)))</f>
        <v>0</v>
      </c>
      <c r="AF593" s="26">
        <f t="shared" si="39"/>
        <v>0</v>
      </c>
      <c r="AG593" s="27" t="str">
        <f>IF(AC593="","",IF(COUNTIFS($AC$3:AC593,"Quên chấm công",$S$3:S593,S593)&gt;3,"Không chấm công do vi phạm quá 3 lần",IF(COUNTIFS($AC$3:AC593,"Quên chấm công",$S$3:S593,S593)&gt;2,"Trừ toàn bộ chuyên cần tháng do vi phạm lần 3",IF(COUNTIFS($AC$3:AC593,"Quên chấm công",$S$3:S593,S593)&gt;1,"Trừ 1/2 ngày lương",50000))))</f>
        <v/>
      </c>
      <c r="AH593" s="12" t="str">
        <f>IF(AF593=0,"",IF(COUNTIFS($AF$3:AF593,"&gt;0",$S$3:S593,S593)&gt;3,"Trừ toàn bộ chuyên cần tháng",""))</f>
        <v/>
      </c>
      <c r="AI593" s="12"/>
    </row>
    <row r="594" spans="1:35" x14ac:dyDescent="0.25">
      <c r="A594" s="4" t="s">
        <v>915</v>
      </c>
      <c r="B594" s="1" t="s">
        <v>916</v>
      </c>
      <c r="C594" s="1" t="s">
        <v>20</v>
      </c>
      <c r="D594" s="1" t="s">
        <v>106</v>
      </c>
      <c r="E594" s="1" t="s">
        <v>22</v>
      </c>
      <c r="F594" s="1" t="s">
        <v>23</v>
      </c>
      <c r="G594" s="1" t="s">
        <v>12</v>
      </c>
      <c r="H594" s="1" t="s">
        <v>931</v>
      </c>
      <c r="I594" s="1" t="s">
        <v>24</v>
      </c>
      <c r="J594" s="1" t="s">
        <v>25</v>
      </c>
      <c r="K594" s="1" t="s">
        <v>25</v>
      </c>
      <c r="L594" s="1" t="s">
        <v>26</v>
      </c>
      <c r="M594" s="1" t="s">
        <v>25</v>
      </c>
      <c r="N594" s="1" t="s">
        <v>25</v>
      </c>
      <c r="O594" s="1" t="s">
        <v>25</v>
      </c>
      <c r="P594" s="1" t="s">
        <v>25</v>
      </c>
      <c r="Q594" s="1" t="s">
        <v>25</v>
      </c>
      <c r="R594" s="85" t="str">
        <f t="shared" si="36"/>
        <v>5145922</v>
      </c>
      <c r="S594" t="str">
        <f>VLOOKUP(A594,Data_NV!$A:$C,3,0)</f>
        <v>Dương Thị Kim Hồng</v>
      </c>
      <c r="T594" t="str">
        <f>VLOOKUP(A594,Data_NV!$A:$E,4,0)</f>
        <v>Kinh doanh</v>
      </c>
      <c r="U594" s="82">
        <f>DATEVALUE(Table2[[#This Row],[Ngày]])</f>
        <v>45922</v>
      </c>
      <c r="V594" t="str">
        <f>VLOOKUP(A594,Data_NV!$A:$E,5,0)</f>
        <v>Đang làm việc</v>
      </c>
      <c r="W594" s="10">
        <f>VLOOKUP(A594,Data_NV!$A:$I,8,0)</f>
        <v>0.33333333333333331</v>
      </c>
      <c r="X594" s="10">
        <f>VLOOKUP(A594,Data_NV!$A:$I,9,0)</f>
        <v>0.70833333333333337</v>
      </c>
      <c r="Y594" s="10">
        <f>IFERROR(TIMEVALUE(Table2[[#This Row],[Vào]]),0)</f>
        <v>0.32923611111111112</v>
      </c>
      <c r="Z594" s="10">
        <f>IFERROR(TIMEVALUE(Table2[[#This Row],[Ra]]),0)</f>
        <v>0</v>
      </c>
      <c r="AA594" t="str">
        <f t="shared" si="37"/>
        <v>x</v>
      </c>
      <c r="AB594" s="105">
        <f t="shared" si="38"/>
        <v>0</v>
      </c>
      <c r="AC594" s="12" t="str">
        <f>IF(VLOOKUP(A594,Data_NV!$A:$I,7,0)="Không","",IF(OR(AND(Y594=0,Z594=0),AND(Y594&lt;&gt;0,Z594&lt;&gt;0)),"","Quên chấm công"))</f>
        <v/>
      </c>
      <c r="AD594" s="12">
        <f>IF(VLOOKUP(A594,Data_NV!$A:$I,7,0)="Không",0,IF(AND(Y594=0,Z594=0),0,IF(X594&lt;=Z594,0,ROUNDDOWN((X594-Z594)*24*60,0))))</f>
        <v>0</v>
      </c>
      <c r="AE594" s="12">
        <f>IF(VLOOKUP(A594,Data_NV!$A:$I,6,0)="Không",0,IF(Z594&lt;=X594,0,ROUNDDOWN((Z594-X594)*24*60,0)))</f>
        <v>0</v>
      </c>
      <c r="AF594" s="26">
        <f t="shared" si="39"/>
        <v>0</v>
      </c>
      <c r="AG594" s="27" t="str">
        <f>IF(AC594="","",IF(COUNTIFS($AC$3:AC594,"Quên chấm công",$S$3:S594,S594)&gt;3,"Không chấm công do vi phạm quá 3 lần",IF(COUNTIFS($AC$3:AC594,"Quên chấm công",$S$3:S594,S594)&gt;2,"Trừ toàn bộ chuyên cần tháng do vi phạm lần 3",IF(COUNTIFS($AC$3:AC594,"Quên chấm công",$S$3:S594,S594)&gt;1,"Trừ 1/2 ngày lương",50000))))</f>
        <v/>
      </c>
      <c r="AH594" s="12" t="str">
        <f>IF(AF594=0,"",IF(COUNTIFS($AF$3:AF594,"&gt;0",$S$3:S594,S594)&gt;3,"Trừ toàn bộ chuyên cần tháng",""))</f>
        <v/>
      </c>
      <c r="AI594" s="12"/>
    </row>
    <row r="595" spans="1:35" x14ac:dyDescent="0.25">
      <c r="A595" s="4" t="s">
        <v>915</v>
      </c>
      <c r="B595" s="1" t="s">
        <v>916</v>
      </c>
      <c r="C595" s="1" t="s">
        <v>20</v>
      </c>
      <c r="D595" s="1" t="s">
        <v>111</v>
      </c>
      <c r="E595" s="1" t="s">
        <v>22</v>
      </c>
      <c r="F595" s="1" t="s">
        <v>23</v>
      </c>
      <c r="G595" s="1" t="s">
        <v>12</v>
      </c>
      <c r="H595" s="1" t="s">
        <v>932</v>
      </c>
      <c r="I595" s="1" t="s">
        <v>24</v>
      </c>
      <c r="J595" s="1" t="s">
        <v>25</v>
      </c>
      <c r="K595" s="1" t="s">
        <v>25</v>
      </c>
      <c r="L595" s="1" t="s">
        <v>26</v>
      </c>
      <c r="M595" s="1" t="s">
        <v>25</v>
      </c>
      <c r="N595" s="1" t="s">
        <v>25</v>
      </c>
      <c r="O595" s="1" t="s">
        <v>25</v>
      </c>
      <c r="P595" s="1" t="s">
        <v>25</v>
      </c>
      <c r="Q595" s="1" t="s">
        <v>25</v>
      </c>
      <c r="R595" s="85" t="str">
        <f t="shared" si="36"/>
        <v>5145923</v>
      </c>
      <c r="S595" t="str">
        <f>VLOOKUP(A595,Data_NV!$A:$C,3,0)</f>
        <v>Dương Thị Kim Hồng</v>
      </c>
      <c r="T595" t="str">
        <f>VLOOKUP(A595,Data_NV!$A:$E,4,0)</f>
        <v>Kinh doanh</v>
      </c>
      <c r="U595" s="82">
        <f>DATEVALUE(Table2[[#This Row],[Ngày]])</f>
        <v>45923</v>
      </c>
      <c r="V595" t="str">
        <f>VLOOKUP(A595,Data_NV!$A:$E,5,0)</f>
        <v>Đang làm việc</v>
      </c>
      <c r="W595" s="10">
        <f>VLOOKUP(A595,Data_NV!$A:$I,8,0)</f>
        <v>0.33333333333333331</v>
      </c>
      <c r="X595" s="10">
        <f>VLOOKUP(A595,Data_NV!$A:$I,9,0)</f>
        <v>0.70833333333333337</v>
      </c>
      <c r="Y595" s="10">
        <f>IFERROR(TIMEVALUE(Table2[[#This Row],[Vào]]),0)</f>
        <v>0.33311342592592591</v>
      </c>
      <c r="Z595" s="10">
        <f>IFERROR(TIMEVALUE(Table2[[#This Row],[Ra]]),0)</f>
        <v>0</v>
      </c>
      <c r="AA595" t="str">
        <f t="shared" si="37"/>
        <v>x</v>
      </c>
      <c r="AB595" s="105">
        <f t="shared" si="38"/>
        <v>0</v>
      </c>
      <c r="AC595" s="12" t="str">
        <f>IF(VLOOKUP(A595,Data_NV!$A:$I,7,0)="Không","",IF(OR(AND(Y595=0,Z595=0),AND(Y595&lt;&gt;0,Z595&lt;&gt;0)),"","Quên chấm công"))</f>
        <v/>
      </c>
      <c r="AD595" s="12">
        <f>IF(VLOOKUP(A595,Data_NV!$A:$I,7,0)="Không",0,IF(AND(Y595=0,Z595=0),0,IF(X595&lt;=Z595,0,ROUNDDOWN((X595-Z595)*24*60,0))))</f>
        <v>0</v>
      </c>
      <c r="AE595" s="12">
        <f>IF(VLOOKUP(A595,Data_NV!$A:$I,6,0)="Không",0,IF(Z595&lt;=X595,0,ROUNDDOWN((Z595-X595)*24*60,0)))</f>
        <v>0</v>
      </c>
      <c r="AF595" s="26">
        <f t="shared" si="39"/>
        <v>0</v>
      </c>
      <c r="AG595" s="27" t="str">
        <f>IF(AC595="","",IF(COUNTIFS($AC$3:AC595,"Quên chấm công",$S$3:S595,S595)&gt;3,"Không chấm công do vi phạm quá 3 lần",IF(COUNTIFS($AC$3:AC595,"Quên chấm công",$S$3:S595,S595)&gt;2,"Trừ toàn bộ chuyên cần tháng do vi phạm lần 3",IF(COUNTIFS($AC$3:AC595,"Quên chấm công",$S$3:S595,S595)&gt;1,"Trừ 1/2 ngày lương",50000))))</f>
        <v/>
      </c>
      <c r="AH595" s="12" t="str">
        <f>IF(AF595=0,"",IF(COUNTIFS($AF$3:AF595,"&gt;0",$S$3:S595,S595)&gt;3,"Trừ toàn bộ chuyên cần tháng",""))</f>
        <v/>
      </c>
      <c r="AI595" s="12"/>
    </row>
    <row r="596" spans="1:35" x14ac:dyDescent="0.25">
      <c r="A596" s="4" t="s">
        <v>915</v>
      </c>
      <c r="B596" s="1" t="s">
        <v>916</v>
      </c>
      <c r="C596" s="1" t="s">
        <v>20</v>
      </c>
      <c r="D596" s="1" t="s">
        <v>116</v>
      </c>
      <c r="E596" s="1" t="s">
        <v>22</v>
      </c>
      <c r="F596" s="1" t="s">
        <v>23</v>
      </c>
      <c r="G596" s="1" t="s">
        <v>12</v>
      </c>
      <c r="H596" s="1" t="s">
        <v>933</v>
      </c>
      <c r="I596" s="1" t="s">
        <v>24</v>
      </c>
      <c r="J596" s="1" t="s">
        <v>25</v>
      </c>
      <c r="K596" s="1" t="s">
        <v>25</v>
      </c>
      <c r="L596" s="1" t="s">
        <v>26</v>
      </c>
      <c r="M596" s="1" t="s">
        <v>25</v>
      </c>
      <c r="N596" s="1" t="s">
        <v>25</v>
      </c>
      <c r="O596" s="1" t="s">
        <v>25</v>
      </c>
      <c r="P596" s="1" t="s">
        <v>25</v>
      </c>
      <c r="Q596" s="1" t="s">
        <v>25</v>
      </c>
      <c r="R596" s="85" t="str">
        <f t="shared" si="36"/>
        <v>5145924</v>
      </c>
      <c r="S596" t="str">
        <f>VLOOKUP(A596,Data_NV!$A:$C,3,0)</f>
        <v>Dương Thị Kim Hồng</v>
      </c>
      <c r="T596" t="str">
        <f>VLOOKUP(A596,Data_NV!$A:$E,4,0)</f>
        <v>Kinh doanh</v>
      </c>
      <c r="U596" s="82">
        <f>DATEVALUE(Table2[[#This Row],[Ngày]])</f>
        <v>45924</v>
      </c>
      <c r="V596" t="str">
        <f>VLOOKUP(A596,Data_NV!$A:$E,5,0)</f>
        <v>Đang làm việc</v>
      </c>
      <c r="W596" s="10">
        <f>VLOOKUP(A596,Data_NV!$A:$I,8,0)</f>
        <v>0.33333333333333331</v>
      </c>
      <c r="X596" s="10">
        <f>VLOOKUP(A596,Data_NV!$A:$I,9,0)</f>
        <v>0.70833333333333337</v>
      </c>
      <c r="Y596" s="10">
        <f>IFERROR(TIMEVALUE(Table2[[#This Row],[Vào]]),0)</f>
        <v>0.32082175925925926</v>
      </c>
      <c r="Z596" s="10">
        <f>IFERROR(TIMEVALUE(Table2[[#This Row],[Ra]]),0)</f>
        <v>0</v>
      </c>
      <c r="AA596" t="str">
        <f t="shared" si="37"/>
        <v>x</v>
      </c>
      <c r="AB596" s="105">
        <f t="shared" si="38"/>
        <v>0</v>
      </c>
      <c r="AC596" s="12" t="str">
        <f>IF(VLOOKUP(A596,Data_NV!$A:$I,7,0)="Không","",IF(OR(AND(Y596=0,Z596=0),AND(Y596&lt;&gt;0,Z596&lt;&gt;0)),"","Quên chấm công"))</f>
        <v/>
      </c>
      <c r="AD596" s="12">
        <f>IF(VLOOKUP(A596,Data_NV!$A:$I,7,0)="Không",0,IF(AND(Y596=0,Z596=0),0,IF(X596&lt;=Z596,0,ROUNDDOWN((X596-Z596)*24*60,0))))</f>
        <v>0</v>
      </c>
      <c r="AE596" s="12">
        <f>IF(VLOOKUP(A596,Data_NV!$A:$I,6,0)="Không",0,IF(Z596&lt;=X596,0,ROUNDDOWN((Z596-X596)*24*60,0)))</f>
        <v>0</v>
      </c>
      <c r="AF596" s="26">
        <f t="shared" si="39"/>
        <v>0</v>
      </c>
      <c r="AG596" s="27" t="str">
        <f>IF(AC596="","",IF(COUNTIFS($AC$3:AC596,"Quên chấm công",$S$3:S596,S596)&gt;3,"Không chấm công do vi phạm quá 3 lần",IF(COUNTIFS($AC$3:AC596,"Quên chấm công",$S$3:S596,S596)&gt;2,"Trừ toàn bộ chuyên cần tháng do vi phạm lần 3",IF(COUNTIFS($AC$3:AC596,"Quên chấm công",$S$3:S596,S596)&gt;1,"Trừ 1/2 ngày lương",50000))))</f>
        <v/>
      </c>
      <c r="AH596" s="12" t="str">
        <f>IF(AF596=0,"",IF(COUNTIFS($AF$3:AF596,"&gt;0",$S$3:S596,S596)&gt;3,"Trừ toàn bộ chuyên cần tháng",""))</f>
        <v/>
      </c>
      <c r="AI596" s="12"/>
    </row>
    <row r="597" spans="1:35" x14ac:dyDescent="0.25">
      <c r="A597" s="4" t="s">
        <v>915</v>
      </c>
      <c r="B597" s="1" t="s">
        <v>916</v>
      </c>
      <c r="C597" s="1" t="s">
        <v>20</v>
      </c>
      <c r="D597" s="1" t="s">
        <v>121</v>
      </c>
      <c r="E597" s="1" t="s">
        <v>22</v>
      </c>
      <c r="F597" s="1" t="s">
        <v>23</v>
      </c>
      <c r="G597" s="1" t="s">
        <v>12</v>
      </c>
      <c r="H597" s="1" t="s">
        <v>934</v>
      </c>
      <c r="I597" s="1" t="s">
        <v>24</v>
      </c>
      <c r="J597" s="1" t="s">
        <v>25</v>
      </c>
      <c r="K597" s="1" t="s">
        <v>25</v>
      </c>
      <c r="L597" s="1" t="s">
        <v>26</v>
      </c>
      <c r="M597" s="1" t="s">
        <v>25</v>
      </c>
      <c r="N597" s="1" t="s">
        <v>25</v>
      </c>
      <c r="O597" s="1" t="s">
        <v>25</v>
      </c>
      <c r="P597" s="1" t="s">
        <v>25</v>
      </c>
      <c r="Q597" s="1" t="s">
        <v>25</v>
      </c>
      <c r="R597" s="85" t="str">
        <f t="shared" si="36"/>
        <v>5145925</v>
      </c>
      <c r="S597" t="str">
        <f>VLOOKUP(A597,Data_NV!$A:$C,3,0)</f>
        <v>Dương Thị Kim Hồng</v>
      </c>
      <c r="T597" t="str">
        <f>VLOOKUP(A597,Data_NV!$A:$E,4,0)</f>
        <v>Kinh doanh</v>
      </c>
      <c r="U597" s="82">
        <f>DATEVALUE(Table2[[#This Row],[Ngày]])</f>
        <v>45925</v>
      </c>
      <c r="V597" t="str">
        <f>VLOOKUP(A597,Data_NV!$A:$E,5,0)</f>
        <v>Đang làm việc</v>
      </c>
      <c r="W597" s="10">
        <f>VLOOKUP(A597,Data_NV!$A:$I,8,0)</f>
        <v>0.33333333333333331</v>
      </c>
      <c r="X597" s="10">
        <f>VLOOKUP(A597,Data_NV!$A:$I,9,0)</f>
        <v>0.70833333333333337</v>
      </c>
      <c r="Y597" s="10">
        <f>IFERROR(TIMEVALUE(Table2[[#This Row],[Vào]]),0)</f>
        <v>0.33162037037037034</v>
      </c>
      <c r="Z597" s="10">
        <f>IFERROR(TIMEVALUE(Table2[[#This Row],[Ra]]),0)</f>
        <v>0</v>
      </c>
      <c r="AA597" t="str">
        <f t="shared" si="37"/>
        <v>x</v>
      </c>
      <c r="AB597" s="105">
        <f t="shared" si="38"/>
        <v>0</v>
      </c>
      <c r="AC597" s="12" t="str">
        <f>IF(VLOOKUP(A597,Data_NV!$A:$I,7,0)="Không","",IF(OR(AND(Y597=0,Z597=0),AND(Y597&lt;&gt;0,Z597&lt;&gt;0)),"","Quên chấm công"))</f>
        <v/>
      </c>
      <c r="AD597" s="12">
        <f>IF(VLOOKUP(A597,Data_NV!$A:$I,7,0)="Không",0,IF(AND(Y597=0,Z597=0),0,IF(X597&lt;=Z597,0,ROUNDDOWN((X597-Z597)*24*60,0))))</f>
        <v>0</v>
      </c>
      <c r="AE597" s="12">
        <f>IF(VLOOKUP(A597,Data_NV!$A:$I,6,0)="Không",0,IF(Z597&lt;=X597,0,ROUNDDOWN((Z597-X597)*24*60,0)))</f>
        <v>0</v>
      </c>
      <c r="AF597" s="26">
        <f t="shared" si="39"/>
        <v>0</v>
      </c>
      <c r="AG597" s="27" t="str">
        <f>IF(AC597="","",IF(COUNTIFS($AC$3:AC597,"Quên chấm công",$S$3:S597,S597)&gt;3,"Không chấm công do vi phạm quá 3 lần",IF(COUNTIFS($AC$3:AC597,"Quên chấm công",$S$3:S597,S597)&gt;2,"Trừ toàn bộ chuyên cần tháng do vi phạm lần 3",IF(COUNTIFS($AC$3:AC597,"Quên chấm công",$S$3:S597,S597)&gt;1,"Trừ 1/2 ngày lương",50000))))</f>
        <v/>
      </c>
      <c r="AH597" s="12" t="str">
        <f>IF(AF597=0,"",IF(COUNTIFS($AF$3:AF597,"&gt;0",$S$3:S597,S597)&gt;3,"Trừ toàn bộ chuyên cần tháng",""))</f>
        <v/>
      </c>
      <c r="AI597" s="12"/>
    </row>
    <row r="598" spans="1:35" x14ac:dyDescent="0.25">
      <c r="A598" s="4" t="s">
        <v>915</v>
      </c>
      <c r="B598" s="1" t="s">
        <v>916</v>
      </c>
      <c r="C598" s="1" t="s">
        <v>20</v>
      </c>
      <c r="D598" s="1" t="s">
        <v>123</v>
      </c>
      <c r="E598" s="1" t="s">
        <v>22</v>
      </c>
      <c r="F598" s="1" t="s">
        <v>23</v>
      </c>
      <c r="G598" s="1" t="s">
        <v>12</v>
      </c>
      <c r="H598" s="1" t="s">
        <v>220</v>
      </c>
      <c r="I598" s="1" t="s">
        <v>24</v>
      </c>
      <c r="J598" s="1" t="s">
        <v>25</v>
      </c>
      <c r="K598" s="1" t="s">
        <v>25</v>
      </c>
      <c r="L598" s="1" t="s">
        <v>26</v>
      </c>
      <c r="M598" s="1" t="s">
        <v>25</v>
      </c>
      <c r="N598" s="1" t="s">
        <v>25</v>
      </c>
      <c r="O598" s="1" t="s">
        <v>25</v>
      </c>
      <c r="P598" s="1" t="s">
        <v>25</v>
      </c>
      <c r="Q598" s="1" t="s">
        <v>25</v>
      </c>
      <c r="R598" s="85" t="str">
        <f t="shared" si="36"/>
        <v>5145926</v>
      </c>
      <c r="S598" t="str">
        <f>VLOOKUP(A598,Data_NV!$A:$C,3,0)</f>
        <v>Dương Thị Kim Hồng</v>
      </c>
      <c r="T598" t="str">
        <f>VLOOKUP(A598,Data_NV!$A:$E,4,0)</f>
        <v>Kinh doanh</v>
      </c>
      <c r="U598" s="82">
        <f>DATEVALUE(Table2[[#This Row],[Ngày]])</f>
        <v>45926</v>
      </c>
      <c r="V598" t="str">
        <f>VLOOKUP(A598,Data_NV!$A:$E,5,0)</f>
        <v>Đang làm việc</v>
      </c>
      <c r="W598" s="10">
        <f>VLOOKUP(A598,Data_NV!$A:$I,8,0)</f>
        <v>0.33333333333333331</v>
      </c>
      <c r="X598" s="10">
        <f>VLOOKUP(A598,Data_NV!$A:$I,9,0)</f>
        <v>0.70833333333333337</v>
      </c>
      <c r="Y598" s="10">
        <f>IFERROR(TIMEVALUE(Table2[[#This Row],[Vào]]),0)</f>
        <v>0.32969907407407406</v>
      </c>
      <c r="Z598" s="10">
        <f>IFERROR(TIMEVALUE(Table2[[#This Row],[Ra]]),0)</f>
        <v>0</v>
      </c>
      <c r="AA598" t="str">
        <f t="shared" si="37"/>
        <v>x</v>
      </c>
      <c r="AB598" s="105">
        <f t="shared" si="38"/>
        <v>0</v>
      </c>
      <c r="AC598" s="12" t="str">
        <f>IF(VLOOKUP(A598,Data_NV!$A:$I,7,0)="Không","",IF(OR(AND(Y598=0,Z598=0),AND(Y598&lt;&gt;0,Z598&lt;&gt;0)),"","Quên chấm công"))</f>
        <v/>
      </c>
      <c r="AD598" s="12">
        <f>IF(VLOOKUP(A598,Data_NV!$A:$I,7,0)="Không",0,IF(AND(Y598=0,Z598=0),0,IF(X598&lt;=Z598,0,ROUNDDOWN((X598-Z598)*24*60,0))))</f>
        <v>0</v>
      </c>
      <c r="AE598" s="12">
        <f>IF(VLOOKUP(A598,Data_NV!$A:$I,6,0)="Không",0,IF(Z598&lt;=X598,0,ROUNDDOWN((Z598-X598)*24*60,0)))</f>
        <v>0</v>
      </c>
      <c r="AF598" s="26">
        <f t="shared" si="39"/>
        <v>0</v>
      </c>
      <c r="AG598" s="27" t="str">
        <f>IF(AC598="","",IF(COUNTIFS($AC$3:AC598,"Quên chấm công",$S$3:S598,S598)&gt;3,"Không chấm công do vi phạm quá 3 lần",IF(COUNTIFS($AC$3:AC598,"Quên chấm công",$S$3:S598,S598)&gt;2,"Trừ toàn bộ chuyên cần tháng do vi phạm lần 3",IF(COUNTIFS($AC$3:AC598,"Quên chấm công",$S$3:S598,S598)&gt;1,"Trừ 1/2 ngày lương",50000))))</f>
        <v/>
      </c>
      <c r="AH598" s="12" t="str">
        <f>IF(AF598=0,"",IF(COUNTIFS($AF$3:AF598,"&gt;0",$S$3:S598,S598)&gt;3,"Trừ toàn bộ chuyên cần tháng",""))</f>
        <v/>
      </c>
      <c r="AI598" s="12"/>
    </row>
    <row r="599" spans="1:35" x14ac:dyDescent="0.25">
      <c r="A599" s="4" t="s">
        <v>915</v>
      </c>
      <c r="B599" s="1" t="s">
        <v>916</v>
      </c>
      <c r="C599" s="1" t="s">
        <v>20</v>
      </c>
      <c r="D599" s="1" t="s">
        <v>125</v>
      </c>
      <c r="E599" s="1" t="s">
        <v>22</v>
      </c>
      <c r="F599" s="1" t="s">
        <v>23</v>
      </c>
      <c r="G599" s="1" t="s">
        <v>12</v>
      </c>
      <c r="H599" s="1" t="s">
        <v>24</v>
      </c>
      <c r="I599" s="1" t="s">
        <v>24</v>
      </c>
      <c r="J599" s="1" t="s">
        <v>25</v>
      </c>
      <c r="K599" s="1" t="s">
        <v>25</v>
      </c>
      <c r="L599" s="1" t="s">
        <v>26</v>
      </c>
      <c r="M599" s="1" t="s">
        <v>25</v>
      </c>
      <c r="N599" s="1" t="s">
        <v>25</v>
      </c>
      <c r="O599" s="1" t="s">
        <v>25</v>
      </c>
      <c r="P599" s="1" t="s">
        <v>25</v>
      </c>
      <c r="Q599" s="1" t="s">
        <v>25</v>
      </c>
      <c r="R599" s="85" t="str">
        <f t="shared" si="36"/>
        <v>5145927</v>
      </c>
      <c r="S599" t="str">
        <f>VLOOKUP(A599,Data_NV!$A:$C,3,0)</f>
        <v>Dương Thị Kim Hồng</v>
      </c>
      <c r="T599" t="str">
        <f>VLOOKUP(A599,Data_NV!$A:$E,4,0)</f>
        <v>Kinh doanh</v>
      </c>
      <c r="U599" s="82">
        <f>DATEVALUE(Table2[[#This Row],[Ngày]])</f>
        <v>45927</v>
      </c>
      <c r="V599" t="str">
        <f>VLOOKUP(A599,Data_NV!$A:$E,5,0)</f>
        <v>Đang làm việc</v>
      </c>
      <c r="W599" s="10">
        <f>VLOOKUP(A599,Data_NV!$A:$I,8,0)</f>
        <v>0.33333333333333331</v>
      </c>
      <c r="X599" s="10">
        <f>VLOOKUP(A599,Data_NV!$A:$I,9,0)</f>
        <v>0.70833333333333337</v>
      </c>
      <c r="Y599" s="10">
        <f>IFERROR(TIMEVALUE(Table2[[#This Row],[Vào]]),0)</f>
        <v>0</v>
      </c>
      <c r="Z599" s="10">
        <f>IFERROR(TIMEVALUE(Table2[[#This Row],[Ra]]),0)</f>
        <v>0</v>
      </c>
      <c r="AA599" t="s">
        <v>1384</v>
      </c>
      <c r="AB599" s="105">
        <f t="shared" si="38"/>
        <v>0</v>
      </c>
      <c r="AC599" s="12" t="str">
        <f>IF(VLOOKUP(A599,Data_NV!$A:$I,7,0)="Không","",IF(OR(AND(Y599=0,Z599=0),AND(Y599&lt;&gt;0,Z599&lt;&gt;0)),"","Quên chấm công"))</f>
        <v/>
      </c>
      <c r="AD599" s="12">
        <f>IF(VLOOKUP(A599,Data_NV!$A:$I,7,0)="Không",0,IF(AND(Y599=0,Z599=0),0,IF(X599&lt;=Z599,0,ROUNDDOWN((X599-Z599)*24*60,0))))</f>
        <v>0</v>
      </c>
      <c r="AE599" s="12">
        <f>IF(VLOOKUP(A599,Data_NV!$A:$I,6,0)="Không",0,IF(Z599&lt;=X599,0,ROUNDDOWN((Z599-X599)*24*60,0)))</f>
        <v>0</v>
      </c>
      <c r="AF599" s="26">
        <f t="shared" si="39"/>
        <v>0</v>
      </c>
      <c r="AG599" s="27" t="str">
        <f>IF(AC599="","",IF(COUNTIFS($AC$3:AC599,"Quên chấm công",$S$3:S599,S599)&gt;3,"Không chấm công do vi phạm quá 3 lần",IF(COUNTIFS($AC$3:AC599,"Quên chấm công",$S$3:S599,S599)&gt;2,"Trừ toàn bộ chuyên cần tháng do vi phạm lần 3",IF(COUNTIFS($AC$3:AC599,"Quên chấm công",$S$3:S599,S599)&gt;1,"Trừ 1/2 ngày lương",50000))))</f>
        <v/>
      </c>
      <c r="AH599" s="12" t="str">
        <f>IF(AF599=0,"",IF(COUNTIFS($AF$3:AF599,"&gt;0",$S$3:S599,S599)&gt;3,"Trừ toàn bộ chuyên cần tháng",""))</f>
        <v/>
      </c>
      <c r="AI599" s="12" t="s">
        <v>1383</v>
      </c>
    </row>
    <row r="600" spans="1:35" x14ac:dyDescent="0.25">
      <c r="A600" s="4" t="s">
        <v>915</v>
      </c>
      <c r="B600" s="1" t="s">
        <v>916</v>
      </c>
      <c r="C600" s="1" t="s">
        <v>20</v>
      </c>
      <c r="D600" s="1" t="s">
        <v>130</v>
      </c>
      <c r="E600" s="1" t="s">
        <v>22</v>
      </c>
      <c r="F600" s="1" t="s">
        <v>23</v>
      </c>
      <c r="G600" s="1" t="s">
        <v>12</v>
      </c>
      <c r="H600" s="1" t="s">
        <v>24</v>
      </c>
      <c r="I600" s="1" t="s">
        <v>24</v>
      </c>
      <c r="J600" s="1" t="s">
        <v>25</v>
      </c>
      <c r="K600" s="1" t="s">
        <v>25</v>
      </c>
      <c r="L600" s="1" t="s">
        <v>26</v>
      </c>
      <c r="M600" s="1" t="s">
        <v>25</v>
      </c>
      <c r="N600" s="1" t="s">
        <v>25</v>
      </c>
      <c r="O600" s="1" t="s">
        <v>25</v>
      </c>
      <c r="P600" s="1" t="s">
        <v>25</v>
      </c>
      <c r="Q600" s="1" t="s">
        <v>25</v>
      </c>
      <c r="R600" s="85" t="str">
        <f t="shared" si="36"/>
        <v>5145928</v>
      </c>
      <c r="S600" t="str">
        <f>VLOOKUP(A600,Data_NV!$A:$C,3,0)</f>
        <v>Dương Thị Kim Hồng</v>
      </c>
      <c r="T600" t="str">
        <f>VLOOKUP(A600,Data_NV!$A:$E,4,0)</f>
        <v>Kinh doanh</v>
      </c>
      <c r="U600" s="82">
        <f>DATEVALUE(Table2[[#This Row],[Ngày]])</f>
        <v>45928</v>
      </c>
      <c r="V600" t="str">
        <f>VLOOKUP(A600,Data_NV!$A:$E,5,0)</f>
        <v>Đang làm việc</v>
      </c>
      <c r="W600" s="10">
        <f>VLOOKUP(A600,Data_NV!$A:$I,8,0)</f>
        <v>0.33333333333333331</v>
      </c>
      <c r="X600" s="10">
        <f>VLOOKUP(A600,Data_NV!$A:$I,9,0)</f>
        <v>0.70833333333333337</v>
      </c>
      <c r="Y600" s="10">
        <f>IFERROR(TIMEVALUE(Table2[[#This Row],[Vào]]),0)</f>
        <v>0</v>
      </c>
      <c r="Z600" s="10">
        <f>IFERROR(TIMEVALUE(Table2[[#This Row],[Ra]]),0)</f>
        <v>0</v>
      </c>
      <c r="AA600" t="str">
        <f t="shared" si="37"/>
        <v>Chủ nhật</v>
      </c>
      <c r="AB600" s="105">
        <f t="shared" si="38"/>
        <v>0</v>
      </c>
      <c r="AC600" s="12" t="str">
        <f>IF(VLOOKUP(A600,Data_NV!$A:$I,7,0)="Không","",IF(OR(AND(Y600=0,Z600=0),AND(Y600&lt;&gt;0,Z600&lt;&gt;0)),"","Quên chấm công"))</f>
        <v/>
      </c>
      <c r="AD600" s="12">
        <f>IF(VLOOKUP(A600,Data_NV!$A:$I,7,0)="Không",0,IF(AND(Y600=0,Z600=0),0,IF(X600&lt;=Z600,0,ROUNDDOWN((X600-Z600)*24*60,0))))</f>
        <v>0</v>
      </c>
      <c r="AE600" s="12">
        <f>IF(VLOOKUP(A600,Data_NV!$A:$I,6,0)="Không",0,IF(Z600&lt;=X600,0,ROUNDDOWN((Z600-X600)*24*60,0)))</f>
        <v>0</v>
      </c>
      <c r="AF600" s="26">
        <f t="shared" si="39"/>
        <v>0</v>
      </c>
      <c r="AG600" s="27" t="str">
        <f>IF(AC600="","",IF(COUNTIFS($AC$3:AC600,"Quên chấm công",$S$3:S600,S600)&gt;3,"Không chấm công do vi phạm quá 3 lần",IF(COUNTIFS($AC$3:AC600,"Quên chấm công",$S$3:S600,S600)&gt;2,"Trừ toàn bộ chuyên cần tháng do vi phạm lần 3",IF(COUNTIFS($AC$3:AC600,"Quên chấm công",$S$3:S600,S600)&gt;1,"Trừ 1/2 ngày lương",50000))))</f>
        <v/>
      </c>
      <c r="AH600" s="12" t="str">
        <f>IF(AF600=0,"",IF(COUNTIFS($AF$3:AF600,"&gt;0",$S$3:S600,S600)&gt;3,"Trừ toàn bộ chuyên cần tháng",""))</f>
        <v/>
      </c>
      <c r="AI600" s="12"/>
    </row>
    <row r="601" spans="1:35" x14ac:dyDescent="0.25">
      <c r="A601" s="4" t="s">
        <v>915</v>
      </c>
      <c r="B601" s="1" t="s">
        <v>916</v>
      </c>
      <c r="C601" s="1" t="s">
        <v>20</v>
      </c>
      <c r="D601" s="1" t="s">
        <v>131</v>
      </c>
      <c r="E601" s="1" t="s">
        <v>22</v>
      </c>
      <c r="F601" s="1" t="s">
        <v>23</v>
      </c>
      <c r="G601" s="1" t="s">
        <v>12</v>
      </c>
      <c r="H601" s="1" t="s">
        <v>935</v>
      </c>
      <c r="I601" s="1" t="s">
        <v>24</v>
      </c>
      <c r="J601" s="1" t="s">
        <v>251</v>
      </c>
      <c r="K601" s="1" t="s">
        <v>25</v>
      </c>
      <c r="L601" s="1" t="s">
        <v>26</v>
      </c>
      <c r="M601" s="1" t="s">
        <v>25</v>
      </c>
      <c r="N601" s="1" t="s">
        <v>25</v>
      </c>
      <c r="O601" s="1" t="s">
        <v>25</v>
      </c>
      <c r="P601" s="1" t="s">
        <v>25</v>
      </c>
      <c r="Q601" s="1" t="s">
        <v>25</v>
      </c>
      <c r="R601" s="85" t="str">
        <f t="shared" si="36"/>
        <v>5145929</v>
      </c>
      <c r="S601" t="str">
        <f>VLOOKUP(A601,Data_NV!$A:$C,3,0)</f>
        <v>Dương Thị Kim Hồng</v>
      </c>
      <c r="T601" t="str">
        <f>VLOOKUP(A601,Data_NV!$A:$E,4,0)</f>
        <v>Kinh doanh</v>
      </c>
      <c r="U601" s="82">
        <f>DATEVALUE(Table2[[#This Row],[Ngày]])</f>
        <v>45929</v>
      </c>
      <c r="V601" t="str">
        <f>VLOOKUP(A601,Data_NV!$A:$E,5,0)</f>
        <v>Đang làm việc</v>
      </c>
      <c r="W601" s="10">
        <f>VLOOKUP(A601,Data_NV!$A:$I,8,0)</f>
        <v>0.33333333333333331</v>
      </c>
      <c r="X601" s="10">
        <f>VLOOKUP(A601,Data_NV!$A:$I,9,0)</f>
        <v>0.70833333333333337</v>
      </c>
      <c r="Y601" s="10">
        <f>IFERROR(TIMEVALUE(Table2[[#This Row],[Vào]]),0)</f>
        <v>0.33598379629629632</v>
      </c>
      <c r="Z601" s="10">
        <f>IFERROR(TIMEVALUE(Table2[[#This Row],[Ra]]),0)</f>
        <v>0</v>
      </c>
      <c r="AA601" t="str">
        <f t="shared" si="37"/>
        <v>x</v>
      </c>
      <c r="AB601" s="105">
        <f t="shared" si="38"/>
        <v>3.8166666666667304</v>
      </c>
      <c r="AC601" s="12" t="str">
        <f>IF(VLOOKUP(A601,Data_NV!$A:$I,7,0)="Không","",IF(OR(AND(Y601=0,Z601=0),AND(Y601&lt;&gt;0,Z601&lt;&gt;0)),"","Quên chấm công"))</f>
        <v/>
      </c>
      <c r="AD601" s="12">
        <f>IF(VLOOKUP(A601,Data_NV!$A:$I,7,0)="Không",0,IF(AND(Y601=0,Z601=0),0,IF(X601&lt;=Z601,0,ROUNDDOWN((X601-Z601)*24*60,0))))</f>
        <v>0</v>
      </c>
      <c r="AE601" s="12">
        <f>IF(VLOOKUP(A601,Data_NV!$A:$I,6,0)="Không",0,IF(Z601&lt;=X601,0,ROUNDDOWN((Z601-X601)*24*60,0)))</f>
        <v>0</v>
      </c>
      <c r="AF601" s="26">
        <f t="shared" si="39"/>
        <v>0</v>
      </c>
      <c r="AG601" s="27" t="str">
        <f>IF(AC601="","",IF(COUNTIFS($AC$3:AC601,"Quên chấm công",$S$3:S601,S601)&gt;3,"Không chấm công do vi phạm quá 3 lần",IF(COUNTIFS($AC$3:AC601,"Quên chấm công",$S$3:S601,S601)&gt;2,"Trừ toàn bộ chuyên cần tháng do vi phạm lần 3",IF(COUNTIFS($AC$3:AC601,"Quên chấm công",$S$3:S601,S601)&gt;1,"Trừ 1/2 ngày lương",50000))))</f>
        <v/>
      </c>
      <c r="AH601" s="12" t="str">
        <f>IF(AF601=0,"",IF(COUNTIFS($AF$3:AF601,"&gt;0",$S$3:S601,S601)&gt;3,"Trừ toàn bộ chuyên cần tháng",""))</f>
        <v/>
      </c>
      <c r="AI601" s="12"/>
    </row>
    <row r="602" spans="1:35" x14ac:dyDescent="0.25">
      <c r="A602" s="4" t="s">
        <v>915</v>
      </c>
      <c r="B602" s="1" t="s">
        <v>916</v>
      </c>
      <c r="C602" s="1" t="s">
        <v>20</v>
      </c>
      <c r="D602" s="1" t="s">
        <v>136</v>
      </c>
      <c r="E602" s="1" t="s">
        <v>22</v>
      </c>
      <c r="F602" s="1" t="s">
        <v>23</v>
      </c>
      <c r="G602" s="1" t="s">
        <v>12</v>
      </c>
      <c r="H602" s="1" t="s">
        <v>936</v>
      </c>
      <c r="I602" s="1" t="s">
        <v>24</v>
      </c>
      <c r="J602" s="1" t="s">
        <v>447</v>
      </c>
      <c r="K602" s="1" t="s">
        <v>25</v>
      </c>
      <c r="L602" s="1" t="s">
        <v>26</v>
      </c>
      <c r="M602" s="1" t="s">
        <v>25</v>
      </c>
      <c r="N602" s="1" t="s">
        <v>25</v>
      </c>
      <c r="O602" s="1" t="s">
        <v>25</v>
      </c>
      <c r="P602" s="1" t="s">
        <v>25</v>
      </c>
      <c r="Q602" s="1" t="s">
        <v>25</v>
      </c>
      <c r="R602" s="85" t="str">
        <f t="shared" si="36"/>
        <v>5145930</v>
      </c>
      <c r="S602" t="str">
        <f>VLOOKUP(A602,Data_NV!$A:$C,3,0)</f>
        <v>Dương Thị Kim Hồng</v>
      </c>
      <c r="T602" t="str">
        <f>VLOOKUP(A602,Data_NV!$A:$E,4,0)</f>
        <v>Kinh doanh</v>
      </c>
      <c r="U602" s="82">
        <f>DATEVALUE(Table2[[#This Row],[Ngày]])</f>
        <v>45930</v>
      </c>
      <c r="V602" t="str">
        <f>VLOOKUP(A602,Data_NV!$A:$E,5,0)</f>
        <v>Đang làm việc</v>
      </c>
      <c r="W602" s="10">
        <f>VLOOKUP(A602,Data_NV!$A:$I,8,0)</f>
        <v>0.33333333333333331</v>
      </c>
      <c r="X602" s="10">
        <f>VLOOKUP(A602,Data_NV!$A:$I,9,0)</f>
        <v>0.70833333333333337</v>
      </c>
      <c r="Y602" s="10">
        <f>IFERROR(TIMEVALUE(Table2[[#This Row],[Vào]]),0)</f>
        <v>0.40290509259259261</v>
      </c>
      <c r="Z602" s="10">
        <f>IFERROR(TIMEVALUE(Table2[[#This Row],[Ra]]),0)</f>
        <v>0</v>
      </c>
      <c r="AA602" t="str">
        <f t="shared" si="37"/>
        <v>1/2</v>
      </c>
      <c r="AB602" s="105">
        <f t="shared" si="38"/>
        <v>100.18333333333338</v>
      </c>
      <c r="AC602" s="12" t="str">
        <f>IF(VLOOKUP(A602,Data_NV!$A:$I,7,0)="Không","",IF(OR(AND(Y602=0,Z602=0),AND(Y602&lt;&gt;0,Z602&lt;&gt;0)),"","Quên chấm công"))</f>
        <v/>
      </c>
      <c r="AD602" s="12">
        <f>IF(VLOOKUP(A602,Data_NV!$A:$I,7,0)="Không",0,IF(AND(Y602=0,Z602=0),0,IF(X602&lt;=Z602,0,ROUNDDOWN((X602-Z602)*24*60,0))))</f>
        <v>0</v>
      </c>
      <c r="AE602" s="12">
        <f>IF(VLOOKUP(A602,Data_NV!$A:$I,6,0)="Không",0,IF(Z602&lt;=X602,0,ROUNDDOWN((Z602-X602)*24*60,0)))</f>
        <v>0</v>
      </c>
      <c r="AF602" s="26" t="str">
        <f t="shared" si="39"/>
        <v>Trừ 1/2 ngày lương</v>
      </c>
      <c r="AG602" s="27" t="str">
        <f>IF(AC602="","",IF(COUNTIFS($AC$3:AC602,"Quên chấm công",$S$3:S602,S602)&gt;3,"Không chấm công do vi phạm quá 3 lần",IF(COUNTIFS($AC$3:AC602,"Quên chấm công",$S$3:S602,S602)&gt;2,"Trừ toàn bộ chuyên cần tháng do vi phạm lần 3",IF(COUNTIFS($AC$3:AC602,"Quên chấm công",$S$3:S602,S602)&gt;1,"Trừ 1/2 ngày lương",50000))))</f>
        <v/>
      </c>
      <c r="AH602" s="12"/>
      <c r="AI602" s="12" t="s">
        <v>1379</v>
      </c>
    </row>
    <row r="603" spans="1:35" x14ac:dyDescent="0.25">
      <c r="A603" s="4" t="s">
        <v>939</v>
      </c>
      <c r="B603" s="1" t="s">
        <v>940</v>
      </c>
      <c r="C603" s="1" t="s">
        <v>20</v>
      </c>
      <c r="D603" s="1" t="s">
        <v>21</v>
      </c>
      <c r="E603" s="1" t="s">
        <v>22</v>
      </c>
      <c r="F603" s="1" t="s">
        <v>23</v>
      </c>
      <c r="G603" s="1" t="s">
        <v>12</v>
      </c>
      <c r="H603" s="1" t="s">
        <v>24</v>
      </c>
      <c r="I603" s="1" t="s">
        <v>24</v>
      </c>
      <c r="J603" s="1" t="s">
        <v>25</v>
      </c>
      <c r="K603" s="1" t="s">
        <v>25</v>
      </c>
      <c r="L603" s="1" t="s">
        <v>26</v>
      </c>
      <c r="M603" s="1" t="s">
        <v>25</v>
      </c>
      <c r="N603" s="1" t="s">
        <v>25</v>
      </c>
      <c r="O603" s="1" t="s">
        <v>25</v>
      </c>
      <c r="P603" s="1" t="s">
        <v>25</v>
      </c>
      <c r="Q603" s="1" t="s">
        <v>25</v>
      </c>
      <c r="R603" s="85" t="str">
        <f t="shared" si="36"/>
        <v>5345901</v>
      </c>
      <c r="S603" t="str">
        <f>VLOOKUP(A603,Data_NV!$A:$C,3,0)</f>
        <v>Bùi Thị Kim Dung</v>
      </c>
      <c r="T603" t="str">
        <f>VLOOKUP(A603,Data_NV!$A:$E,4,0)</f>
        <v>Kinh doanh</v>
      </c>
      <c r="U603" s="82">
        <f>DATEVALUE(Table2[[#This Row],[Ngày]])</f>
        <v>45901</v>
      </c>
      <c r="V603" t="str">
        <f>VLOOKUP(A603,Data_NV!$A:$E,5,0)</f>
        <v>Đang làm việc</v>
      </c>
      <c r="W603" s="10">
        <f>VLOOKUP(A603,Data_NV!$A:$I,8,0)</f>
        <v>0.33333333333333331</v>
      </c>
      <c r="X603" s="10">
        <f>VLOOKUP(A603,Data_NV!$A:$I,9,0)</f>
        <v>0.70833333333333337</v>
      </c>
      <c r="Y603" s="10">
        <f>IFERROR(TIMEVALUE(Table2[[#This Row],[Vào]]),0)</f>
        <v>0</v>
      </c>
      <c r="Z603" s="10">
        <f>IFERROR(TIMEVALUE(Table2[[#This Row],[Ra]]),0)</f>
        <v>0</v>
      </c>
      <c r="AA603" s="97" t="s">
        <v>1349</v>
      </c>
      <c r="AB603" s="105">
        <f t="shared" si="38"/>
        <v>0</v>
      </c>
      <c r="AC603" s="12" t="str">
        <f>IF(VLOOKUP(A603,Data_NV!$A:$I,7,0)="Không","",IF(OR(AND(Y603=0,Z603=0),AND(Y603&lt;&gt;0,Z603&lt;&gt;0)),"","Quên chấm công"))</f>
        <v/>
      </c>
      <c r="AD603" s="12">
        <f>IF(VLOOKUP(A603,Data_NV!$A:$I,7,0)="Không",0,IF(AND(Y603=0,Z603=0),0,IF(X603&lt;=Z603,0,ROUNDDOWN((X603-Z603)*24*60,0))))</f>
        <v>0</v>
      </c>
      <c r="AE603" s="12">
        <f>IF(VLOOKUP(A603,Data_NV!$A:$I,6,0)="Không",0,IF(Z603&lt;=X603,0,ROUNDDOWN((Z603-X603)*24*60,0)))</f>
        <v>0</v>
      </c>
      <c r="AF603" s="26">
        <f t="shared" si="39"/>
        <v>0</v>
      </c>
      <c r="AG603" s="27" t="str">
        <f>IF(AC603="","",IF(COUNTIFS($AC$3:AC603,"Quên chấm công",$S$3:S603,S603)&gt;3,"Không chấm công do vi phạm quá 3 lần",IF(COUNTIFS($AC$3:AC603,"Quên chấm công",$S$3:S603,S603)&gt;2,"Trừ toàn bộ chuyên cần tháng do vi phạm lần 3",IF(COUNTIFS($AC$3:AC603,"Quên chấm công",$S$3:S603,S603)&gt;1,"Trừ 1/2 ngày lương",50000))))</f>
        <v/>
      </c>
      <c r="AH603" s="12" t="str">
        <f>IF(AF603=0,"",IF(COUNTIFS($AF$3:AF603,"&gt;0",$S$3:S603,S603)&gt;3,"Trừ toàn bộ chuyên cần tháng",""))</f>
        <v/>
      </c>
      <c r="AI603" s="98" t="s">
        <v>1369</v>
      </c>
    </row>
    <row r="604" spans="1:35" x14ac:dyDescent="0.25">
      <c r="A604" s="4" t="s">
        <v>939</v>
      </c>
      <c r="B604" s="1" t="s">
        <v>940</v>
      </c>
      <c r="C604" s="1" t="s">
        <v>20</v>
      </c>
      <c r="D604" s="1" t="s">
        <v>27</v>
      </c>
      <c r="E604" s="1" t="s">
        <v>22</v>
      </c>
      <c r="F604" s="1" t="s">
        <v>23</v>
      </c>
      <c r="G604" s="1" t="s">
        <v>12</v>
      </c>
      <c r="H604" s="1" t="s">
        <v>24</v>
      </c>
      <c r="I604" s="1" t="s">
        <v>24</v>
      </c>
      <c r="J604" s="1" t="s">
        <v>25</v>
      </c>
      <c r="K604" s="1" t="s">
        <v>25</v>
      </c>
      <c r="L604" s="1" t="s">
        <v>26</v>
      </c>
      <c r="M604" s="1" t="s">
        <v>25</v>
      </c>
      <c r="N604" s="1" t="s">
        <v>25</v>
      </c>
      <c r="O604" s="1" t="s">
        <v>25</v>
      </c>
      <c r="P604" s="1" t="s">
        <v>25</v>
      </c>
      <c r="Q604" s="1" t="s">
        <v>25</v>
      </c>
      <c r="R604" s="85" t="str">
        <f t="shared" si="36"/>
        <v>5345902</v>
      </c>
      <c r="S604" t="str">
        <f>VLOOKUP(A604,Data_NV!$A:$C,3,0)</f>
        <v>Bùi Thị Kim Dung</v>
      </c>
      <c r="T604" t="str">
        <f>VLOOKUP(A604,Data_NV!$A:$E,4,0)</f>
        <v>Kinh doanh</v>
      </c>
      <c r="U604" s="82">
        <f>DATEVALUE(Table2[[#This Row],[Ngày]])</f>
        <v>45902</v>
      </c>
      <c r="V604" t="str">
        <f>VLOOKUP(A604,Data_NV!$A:$E,5,0)</f>
        <v>Đang làm việc</v>
      </c>
      <c r="W604" s="10">
        <f>VLOOKUP(A604,Data_NV!$A:$I,8,0)</f>
        <v>0.33333333333333331</v>
      </c>
      <c r="X604" s="10">
        <f>VLOOKUP(A604,Data_NV!$A:$I,9,0)</f>
        <v>0.70833333333333337</v>
      </c>
      <c r="Y604" s="10">
        <f>IFERROR(TIMEVALUE(Table2[[#This Row],[Vào]]),0)</f>
        <v>0</v>
      </c>
      <c r="Z604" s="10">
        <f>IFERROR(TIMEVALUE(Table2[[#This Row],[Ra]]),0)</f>
        <v>0</v>
      </c>
      <c r="AA604" s="97" t="s">
        <v>1349</v>
      </c>
      <c r="AB604" s="105">
        <f t="shared" si="38"/>
        <v>0</v>
      </c>
      <c r="AC604" s="12" t="str">
        <f>IF(VLOOKUP(A604,Data_NV!$A:$I,7,0)="Không","",IF(OR(AND(Y604=0,Z604=0),AND(Y604&lt;&gt;0,Z604&lt;&gt;0)),"","Quên chấm công"))</f>
        <v/>
      </c>
      <c r="AD604" s="12">
        <f>IF(VLOOKUP(A604,Data_NV!$A:$I,7,0)="Không",0,IF(AND(Y604=0,Z604=0),0,IF(X604&lt;=Z604,0,ROUNDDOWN((X604-Z604)*24*60,0))))</f>
        <v>0</v>
      </c>
      <c r="AE604" s="12">
        <f>IF(VLOOKUP(A604,Data_NV!$A:$I,6,0)="Không",0,IF(Z604&lt;=X604,0,ROUNDDOWN((Z604-X604)*24*60,0)))</f>
        <v>0</v>
      </c>
      <c r="AF604" s="26">
        <f t="shared" si="39"/>
        <v>0</v>
      </c>
      <c r="AG604" s="27" t="str">
        <f>IF(AC604="","",IF(COUNTIFS($AC$3:AC604,"Quên chấm công",$S$3:S604,S604)&gt;3,"Không chấm công do vi phạm quá 3 lần",IF(COUNTIFS($AC$3:AC604,"Quên chấm công",$S$3:S604,S604)&gt;2,"Trừ toàn bộ chuyên cần tháng do vi phạm lần 3",IF(COUNTIFS($AC$3:AC604,"Quên chấm công",$S$3:S604,S604)&gt;1,"Trừ 1/2 ngày lương",50000))))</f>
        <v/>
      </c>
      <c r="AH604" s="12" t="str">
        <f>IF(AF604=0,"",IF(COUNTIFS($AF$3:AF604,"&gt;0",$S$3:S604,S604)&gt;3,"Trừ toàn bộ chuyên cần tháng",""))</f>
        <v/>
      </c>
      <c r="AI604" s="98" t="s">
        <v>1369</v>
      </c>
    </row>
    <row r="605" spans="1:35" x14ac:dyDescent="0.25">
      <c r="A605" s="4" t="s">
        <v>939</v>
      </c>
      <c r="B605" s="1" t="s">
        <v>940</v>
      </c>
      <c r="C605" s="1" t="s">
        <v>20</v>
      </c>
      <c r="D605" s="1" t="s">
        <v>28</v>
      </c>
      <c r="E605" s="1" t="s">
        <v>22</v>
      </c>
      <c r="F605" s="1" t="s">
        <v>23</v>
      </c>
      <c r="G605" s="1" t="s">
        <v>12</v>
      </c>
      <c r="H605" s="1" t="s">
        <v>941</v>
      </c>
      <c r="I605" s="1" t="s">
        <v>24</v>
      </c>
      <c r="J605" s="1" t="s">
        <v>25</v>
      </c>
      <c r="K605" s="1" t="s">
        <v>25</v>
      </c>
      <c r="L605" s="1" t="s">
        <v>26</v>
      </c>
      <c r="M605" s="1" t="s">
        <v>25</v>
      </c>
      <c r="N605" s="1" t="s">
        <v>25</v>
      </c>
      <c r="O605" s="1" t="s">
        <v>25</v>
      </c>
      <c r="P605" s="1" t="s">
        <v>25</v>
      </c>
      <c r="Q605" s="1" t="s">
        <v>25</v>
      </c>
      <c r="R605" s="85" t="str">
        <f t="shared" si="36"/>
        <v>5345903</v>
      </c>
      <c r="S605" t="str">
        <f>VLOOKUP(A605,Data_NV!$A:$C,3,0)</f>
        <v>Bùi Thị Kim Dung</v>
      </c>
      <c r="T605" t="str">
        <f>VLOOKUP(A605,Data_NV!$A:$E,4,0)</f>
        <v>Kinh doanh</v>
      </c>
      <c r="U605" s="82">
        <f>DATEVALUE(Table2[[#This Row],[Ngày]])</f>
        <v>45903</v>
      </c>
      <c r="V605" t="str">
        <f>VLOOKUP(A605,Data_NV!$A:$E,5,0)</f>
        <v>Đang làm việc</v>
      </c>
      <c r="W605" s="10">
        <f>VLOOKUP(A605,Data_NV!$A:$I,8,0)</f>
        <v>0.33333333333333331</v>
      </c>
      <c r="X605" s="10">
        <f>VLOOKUP(A605,Data_NV!$A:$I,9,0)</f>
        <v>0.70833333333333337</v>
      </c>
      <c r="Y605" s="10">
        <f>IFERROR(TIMEVALUE(Table2[[#This Row],[Vào]]),0)</f>
        <v>0.33244212962962966</v>
      </c>
      <c r="Z605" s="10">
        <f>IFERROR(TIMEVALUE(Table2[[#This Row],[Ra]]),0)</f>
        <v>0</v>
      </c>
      <c r="AA605" t="str">
        <f t="shared" si="37"/>
        <v>x</v>
      </c>
      <c r="AB605" s="105">
        <f t="shared" si="38"/>
        <v>0</v>
      </c>
      <c r="AC605" s="12" t="str">
        <f>IF(VLOOKUP(A605,Data_NV!$A:$I,7,0)="Không","",IF(OR(AND(Y605=0,Z605=0),AND(Y605&lt;&gt;0,Z605&lt;&gt;0)),"","Quên chấm công"))</f>
        <v/>
      </c>
      <c r="AD605" s="12">
        <f>IF(VLOOKUP(A605,Data_NV!$A:$I,7,0)="Không",0,IF(AND(Y605=0,Z605=0),0,IF(X605&lt;=Z605,0,ROUNDDOWN((X605-Z605)*24*60,0))))</f>
        <v>0</v>
      </c>
      <c r="AE605" s="12">
        <f>IF(VLOOKUP(A605,Data_NV!$A:$I,6,0)="Không",0,IF(Z605&lt;=X605,0,ROUNDDOWN((Z605-X605)*24*60,0)))</f>
        <v>0</v>
      </c>
      <c r="AF605" s="26">
        <f t="shared" si="39"/>
        <v>0</v>
      </c>
      <c r="AG605" s="27" t="str">
        <f>IF(AC605="","",IF(COUNTIFS($AC$3:AC605,"Quên chấm công",$S$3:S605,S605)&gt;3,"Không chấm công do vi phạm quá 3 lần",IF(COUNTIFS($AC$3:AC605,"Quên chấm công",$S$3:S605,S605)&gt;2,"Trừ toàn bộ chuyên cần tháng do vi phạm lần 3",IF(COUNTIFS($AC$3:AC605,"Quên chấm công",$S$3:S605,S605)&gt;1,"Trừ 1/2 ngày lương",50000))))</f>
        <v/>
      </c>
      <c r="AH605" s="12" t="str">
        <f>IF(AF605=0,"",IF(COUNTIFS($AF$3:AF605,"&gt;0",$S$3:S605,S605)&gt;3,"Trừ toàn bộ chuyên cần tháng",""))</f>
        <v/>
      </c>
      <c r="AI605" s="12"/>
    </row>
    <row r="606" spans="1:35" x14ac:dyDescent="0.25">
      <c r="A606" s="4" t="s">
        <v>939</v>
      </c>
      <c r="B606" s="1" t="s">
        <v>940</v>
      </c>
      <c r="C606" s="1" t="s">
        <v>20</v>
      </c>
      <c r="D606" s="1" t="s">
        <v>35</v>
      </c>
      <c r="E606" s="1" t="s">
        <v>22</v>
      </c>
      <c r="F606" s="1" t="s">
        <v>23</v>
      </c>
      <c r="G606" s="1" t="s">
        <v>12</v>
      </c>
      <c r="H606" s="1" t="s">
        <v>942</v>
      </c>
      <c r="I606" s="1" t="s">
        <v>24</v>
      </c>
      <c r="J606" s="1" t="s">
        <v>25</v>
      </c>
      <c r="K606" s="1" t="s">
        <v>25</v>
      </c>
      <c r="L606" s="1" t="s">
        <v>26</v>
      </c>
      <c r="M606" s="1" t="s">
        <v>25</v>
      </c>
      <c r="N606" s="1" t="s">
        <v>25</v>
      </c>
      <c r="O606" s="1" t="s">
        <v>25</v>
      </c>
      <c r="P606" s="1" t="s">
        <v>25</v>
      </c>
      <c r="Q606" s="1" t="s">
        <v>25</v>
      </c>
      <c r="R606" s="85" t="str">
        <f t="shared" si="36"/>
        <v>5345904</v>
      </c>
      <c r="S606" t="str">
        <f>VLOOKUP(A606,Data_NV!$A:$C,3,0)</f>
        <v>Bùi Thị Kim Dung</v>
      </c>
      <c r="T606" t="str">
        <f>VLOOKUP(A606,Data_NV!$A:$E,4,0)</f>
        <v>Kinh doanh</v>
      </c>
      <c r="U606" s="82">
        <f>DATEVALUE(Table2[[#This Row],[Ngày]])</f>
        <v>45904</v>
      </c>
      <c r="V606" t="str">
        <f>VLOOKUP(A606,Data_NV!$A:$E,5,0)</f>
        <v>Đang làm việc</v>
      </c>
      <c r="W606" s="10">
        <f>VLOOKUP(A606,Data_NV!$A:$I,8,0)</f>
        <v>0.33333333333333331</v>
      </c>
      <c r="X606" s="10">
        <f>VLOOKUP(A606,Data_NV!$A:$I,9,0)</f>
        <v>0.70833333333333337</v>
      </c>
      <c r="Y606" s="10">
        <f>IFERROR(TIMEVALUE(Table2[[#This Row],[Vào]]),0)</f>
        <v>0.3336574074074074</v>
      </c>
      <c r="Z606" s="10">
        <f>IFERROR(TIMEVALUE(Table2[[#This Row],[Ra]]),0)</f>
        <v>0</v>
      </c>
      <c r="AA606" t="str">
        <f t="shared" si="37"/>
        <v>x</v>
      </c>
      <c r="AB606" s="105">
        <f t="shared" si="38"/>
        <v>0.46666666666668633</v>
      </c>
      <c r="AC606" s="12" t="str">
        <f>IF(VLOOKUP(A606,Data_NV!$A:$I,7,0)="Không","",IF(OR(AND(Y606=0,Z606=0),AND(Y606&lt;&gt;0,Z606&lt;&gt;0)),"","Quên chấm công"))</f>
        <v/>
      </c>
      <c r="AD606" s="12">
        <f>IF(VLOOKUP(A606,Data_NV!$A:$I,7,0)="Không",0,IF(AND(Y606=0,Z606=0),0,IF(X606&lt;=Z606,0,ROUNDDOWN((X606-Z606)*24*60,0))))</f>
        <v>0</v>
      </c>
      <c r="AE606" s="12">
        <f>IF(VLOOKUP(A606,Data_NV!$A:$I,6,0)="Không",0,IF(Z606&lt;=X606,0,ROUNDDOWN((Z606-X606)*24*60,0)))</f>
        <v>0</v>
      </c>
      <c r="AF606" s="26">
        <f t="shared" si="39"/>
        <v>0</v>
      </c>
      <c r="AG606" s="27" t="str">
        <f>IF(AC606="","",IF(COUNTIFS($AC$3:AC606,"Quên chấm công",$S$3:S606,S606)&gt;3,"Không chấm công do vi phạm quá 3 lần",IF(COUNTIFS($AC$3:AC606,"Quên chấm công",$S$3:S606,S606)&gt;2,"Trừ toàn bộ chuyên cần tháng do vi phạm lần 3",IF(COUNTIFS($AC$3:AC606,"Quên chấm công",$S$3:S606,S606)&gt;1,"Trừ 1/2 ngày lương",50000))))</f>
        <v/>
      </c>
      <c r="AH606" s="12" t="str">
        <f>IF(AF606=0,"",IF(COUNTIFS($AF$3:AF606,"&gt;0",$S$3:S606,S606)&gt;3,"Trừ toàn bộ chuyên cần tháng",""))</f>
        <v/>
      </c>
      <c r="AI606" s="12"/>
    </row>
    <row r="607" spans="1:35" x14ac:dyDescent="0.25">
      <c r="A607" s="4" t="s">
        <v>939</v>
      </c>
      <c r="B607" s="1" t="s">
        <v>940</v>
      </c>
      <c r="C607" s="1" t="s">
        <v>20</v>
      </c>
      <c r="D607" s="1" t="s">
        <v>37</v>
      </c>
      <c r="E607" s="1" t="s">
        <v>22</v>
      </c>
      <c r="F607" s="1" t="s">
        <v>23</v>
      </c>
      <c r="G607" s="1" t="s">
        <v>12</v>
      </c>
      <c r="H607" s="1" t="s">
        <v>943</v>
      </c>
      <c r="I607" s="1" t="s">
        <v>24</v>
      </c>
      <c r="J607" s="1" t="s">
        <v>634</v>
      </c>
      <c r="K607" s="1" t="s">
        <v>25</v>
      </c>
      <c r="L607" s="1" t="s">
        <v>26</v>
      </c>
      <c r="M607" s="1" t="s">
        <v>25</v>
      </c>
      <c r="N607" s="1" t="s">
        <v>25</v>
      </c>
      <c r="O607" s="1" t="s">
        <v>25</v>
      </c>
      <c r="P607" s="1" t="s">
        <v>25</v>
      </c>
      <c r="Q607" s="1" t="s">
        <v>25</v>
      </c>
      <c r="R607" s="85" t="str">
        <f t="shared" si="36"/>
        <v>5345905</v>
      </c>
      <c r="S607" t="str">
        <f>VLOOKUP(A607,Data_NV!$A:$C,3,0)</f>
        <v>Bùi Thị Kim Dung</v>
      </c>
      <c r="T607" t="str">
        <f>VLOOKUP(A607,Data_NV!$A:$E,4,0)</f>
        <v>Kinh doanh</v>
      </c>
      <c r="U607" s="82">
        <f>DATEVALUE(Table2[[#This Row],[Ngày]])</f>
        <v>45905</v>
      </c>
      <c r="V607" t="str">
        <f>VLOOKUP(A607,Data_NV!$A:$E,5,0)</f>
        <v>Đang làm việc</v>
      </c>
      <c r="W607" s="10">
        <f>VLOOKUP(A607,Data_NV!$A:$I,8,0)</f>
        <v>0.33333333333333331</v>
      </c>
      <c r="X607" s="10">
        <f>VLOOKUP(A607,Data_NV!$A:$I,9,0)</f>
        <v>0.70833333333333337</v>
      </c>
      <c r="Y607" s="10">
        <f>IFERROR(TIMEVALUE(Table2[[#This Row],[Vào]]),0)</f>
        <v>0.34700231481481481</v>
      </c>
      <c r="Z607" s="10">
        <f>IFERROR(TIMEVALUE(Table2[[#This Row],[Ra]]),0)</f>
        <v>0</v>
      </c>
      <c r="AA607" t="str">
        <f t="shared" si="37"/>
        <v>x</v>
      </c>
      <c r="AB607" s="105">
        <f t="shared" si="38"/>
        <v>19.683333333333344</v>
      </c>
      <c r="AC607" s="12" t="str">
        <f>IF(VLOOKUP(A607,Data_NV!$A:$I,7,0)="Không","",IF(OR(AND(Y607=0,Z607=0),AND(Y607&lt;&gt;0,Z607&lt;&gt;0)),"","Quên chấm công"))</f>
        <v/>
      </c>
      <c r="AD607" s="12">
        <f>IF(VLOOKUP(A607,Data_NV!$A:$I,7,0)="Không",0,IF(AND(Y607=0,Z607=0),0,IF(X607&lt;=Z607,0,ROUNDDOWN((X607-Z607)*24*60,0))))</f>
        <v>0</v>
      </c>
      <c r="AE607" s="12">
        <f>IF(VLOOKUP(A607,Data_NV!$A:$I,6,0)="Không",0,IF(Z607&lt;=X607,0,ROUNDDOWN((Z607-X607)*24*60,0)))</f>
        <v>0</v>
      </c>
      <c r="AF607" s="26">
        <f t="shared" si="39"/>
        <v>50000</v>
      </c>
      <c r="AG607" s="27" t="str">
        <f>IF(AC607="","",IF(COUNTIFS($AC$3:AC607,"Quên chấm công",$S$3:S607,S607)&gt;3,"Không chấm công do vi phạm quá 3 lần",IF(COUNTIFS($AC$3:AC607,"Quên chấm công",$S$3:S607,S607)&gt;2,"Trừ toàn bộ chuyên cần tháng do vi phạm lần 3",IF(COUNTIFS($AC$3:AC607,"Quên chấm công",$S$3:S607,S607)&gt;1,"Trừ 1/2 ngày lương",50000))))</f>
        <v/>
      </c>
      <c r="AH607" s="12" t="str">
        <f>IF(AF607=0,"",IF(COUNTIFS($AF$3:AF607,"&gt;0",$S$3:S607,S607)&gt;3,"Trừ toàn bộ chuyên cần tháng",""))</f>
        <v/>
      </c>
      <c r="AI607" s="12"/>
    </row>
    <row r="608" spans="1:35" x14ac:dyDescent="0.25">
      <c r="A608" s="4" t="s">
        <v>939</v>
      </c>
      <c r="B608" s="1" t="s">
        <v>940</v>
      </c>
      <c r="C608" s="1" t="s">
        <v>20</v>
      </c>
      <c r="D608" s="1" t="s">
        <v>42</v>
      </c>
      <c r="E608" s="1" t="s">
        <v>22</v>
      </c>
      <c r="F608" s="1" t="s">
        <v>23</v>
      </c>
      <c r="G608" s="1" t="s">
        <v>12</v>
      </c>
      <c r="H608" s="1" t="s">
        <v>944</v>
      </c>
      <c r="I608" s="1" t="s">
        <v>24</v>
      </c>
      <c r="J608" s="1" t="s">
        <v>25</v>
      </c>
      <c r="K608" s="1" t="s">
        <v>25</v>
      </c>
      <c r="L608" s="1" t="s">
        <v>26</v>
      </c>
      <c r="M608" s="1" t="s">
        <v>25</v>
      </c>
      <c r="N608" s="1" t="s">
        <v>25</v>
      </c>
      <c r="O608" s="1" t="s">
        <v>25</v>
      </c>
      <c r="P608" s="1" t="s">
        <v>25</v>
      </c>
      <c r="Q608" s="1" t="s">
        <v>25</v>
      </c>
      <c r="R608" s="85" t="str">
        <f t="shared" si="36"/>
        <v>5345906</v>
      </c>
      <c r="S608" t="str">
        <f>VLOOKUP(A608,Data_NV!$A:$C,3,0)</f>
        <v>Bùi Thị Kim Dung</v>
      </c>
      <c r="T608" t="str">
        <f>VLOOKUP(A608,Data_NV!$A:$E,4,0)</f>
        <v>Kinh doanh</v>
      </c>
      <c r="U608" s="82">
        <f>DATEVALUE(Table2[[#This Row],[Ngày]])</f>
        <v>45906</v>
      </c>
      <c r="V608" t="str">
        <f>VLOOKUP(A608,Data_NV!$A:$E,5,0)</f>
        <v>Đang làm việc</v>
      </c>
      <c r="W608" s="10">
        <f>VLOOKUP(A608,Data_NV!$A:$I,8,0)</f>
        <v>0.33333333333333331</v>
      </c>
      <c r="X608" s="10">
        <f>VLOOKUP(A608,Data_NV!$A:$I,9,0)</f>
        <v>0.70833333333333337</v>
      </c>
      <c r="Y608" s="10">
        <f>IFERROR(TIMEVALUE(Table2[[#This Row],[Vào]]),0)</f>
        <v>0.33129629629629631</v>
      </c>
      <c r="Z608" s="10">
        <f>IFERROR(TIMEVALUE(Table2[[#This Row],[Ra]]),0)</f>
        <v>0</v>
      </c>
      <c r="AA608" t="str">
        <f t="shared" si="37"/>
        <v>x</v>
      </c>
      <c r="AB608" s="105">
        <f t="shared" si="38"/>
        <v>0</v>
      </c>
      <c r="AC608" s="12" t="str">
        <f>IF(VLOOKUP(A608,Data_NV!$A:$I,7,0)="Không","",IF(OR(AND(Y608=0,Z608=0),AND(Y608&lt;&gt;0,Z608&lt;&gt;0)),"","Quên chấm công"))</f>
        <v/>
      </c>
      <c r="AD608" s="12">
        <f>IF(VLOOKUP(A608,Data_NV!$A:$I,7,0)="Không",0,IF(AND(Y608=0,Z608=0),0,IF(X608&lt;=Z608,0,ROUNDDOWN((X608-Z608)*24*60,0))))</f>
        <v>0</v>
      </c>
      <c r="AE608" s="12">
        <f>IF(VLOOKUP(A608,Data_NV!$A:$I,6,0)="Không",0,IF(Z608&lt;=X608,0,ROUNDDOWN((Z608-X608)*24*60,0)))</f>
        <v>0</v>
      </c>
      <c r="AF608" s="26">
        <f t="shared" si="39"/>
        <v>0</v>
      </c>
      <c r="AG608" s="27" t="str">
        <f>IF(AC608="","",IF(COUNTIFS($AC$3:AC608,"Quên chấm công",$S$3:S608,S608)&gt;3,"Không chấm công do vi phạm quá 3 lần",IF(COUNTIFS($AC$3:AC608,"Quên chấm công",$S$3:S608,S608)&gt;2,"Trừ toàn bộ chuyên cần tháng do vi phạm lần 3",IF(COUNTIFS($AC$3:AC608,"Quên chấm công",$S$3:S608,S608)&gt;1,"Trừ 1/2 ngày lương",50000))))</f>
        <v/>
      </c>
      <c r="AH608" s="12" t="str">
        <f>IF(AF608=0,"",IF(COUNTIFS($AF$3:AF608,"&gt;0",$S$3:S608,S608)&gt;3,"Trừ toàn bộ chuyên cần tháng",""))</f>
        <v/>
      </c>
      <c r="AI608" s="12"/>
    </row>
    <row r="609" spans="1:35" x14ac:dyDescent="0.25">
      <c r="A609" s="4" t="s">
        <v>939</v>
      </c>
      <c r="B609" s="1" t="s">
        <v>940</v>
      </c>
      <c r="C609" s="1" t="s">
        <v>20</v>
      </c>
      <c r="D609" s="1" t="s">
        <v>47</v>
      </c>
      <c r="E609" s="1" t="s">
        <v>22</v>
      </c>
      <c r="F609" s="1" t="s">
        <v>23</v>
      </c>
      <c r="G609" s="1" t="s">
        <v>12</v>
      </c>
      <c r="H609" s="1" t="s">
        <v>24</v>
      </c>
      <c r="I609" s="1" t="s">
        <v>24</v>
      </c>
      <c r="J609" s="1" t="s">
        <v>25</v>
      </c>
      <c r="K609" s="1" t="s">
        <v>25</v>
      </c>
      <c r="L609" s="1" t="s">
        <v>26</v>
      </c>
      <c r="M609" s="1" t="s">
        <v>25</v>
      </c>
      <c r="N609" s="1" t="s">
        <v>25</v>
      </c>
      <c r="O609" s="1" t="s">
        <v>25</v>
      </c>
      <c r="P609" s="1" t="s">
        <v>25</v>
      </c>
      <c r="Q609" s="1" t="s">
        <v>25</v>
      </c>
      <c r="R609" s="85" t="str">
        <f t="shared" si="36"/>
        <v>5345907</v>
      </c>
      <c r="S609" t="str">
        <f>VLOOKUP(A609,Data_NV!$A:$C,3,0)</f>
        <v>Bùi Thị Kim Dung</v>
      </c>
      <c r="T609" t="str">
        <f>VLOOKUP(A609,Data_NV!$A:$E,4,0)</f>
        <v>Kinh doanh</v>
      </c>
      <c r="U609" s="82">
        <f>DATEVALUE(Table2[[#This Row],[Ngày]])</f>
        <v>45907</v>
      </c>
      <c r="V609" t="str">
        <f>VLOOKUP(A609,Data_NV!$A:$E,5,0)</f>
        <v>Đang làm việc</v>
      </c>
      <c r="W609" s="10">
        <f>VLOOKUP(A609,Data_NV!$A:$I,8,0)</f>
        <v>0.33333333333333331</v>
      </c>
      <c r="X609" s="10">
        <f>VLOOKUP(A609,Data_NV!$A:$I,9,0)</f>
        <v>0.70833333333333337</v>
      </c>
      <c r="Y609" s="10">
        <f>IFERROR(TIMEVALUE(Table2[[#This Row],[Vào]]),0)</f>
        <v>0</v>
      </c>
      <c r="Z609" s="10">
        <f>IFERROR(TIMEVALUE(Table2[[#This Row],[Ra]]),0)</f>
        <v>0</v>
      </c>
      <c r="AA609" t="str">
        <f t="shared" si="37"/>
        <v>Chủ nhật</v>
      </c>
      <c r="AB609" s="105">
        <f t="shared" si="38"/>
        <v>0</v>
      </c>
      <c r="AC609" s="12" t="str">
        <f>IF(VLOOKUP(A609,Data_NV!$A:$I,7,0)="Không","",IF(OR(AND(Y609=0,Z609=0),AND(Y609&lt;&gt;0,Z609&lt;&gt;0)),"","Quên chấm công"))</f>
        <v/>
      </c>
      <c r="AD609" s="12">
        <f>IF(VLOOKUP(A609,Data_NV!$A:$I,7,0)="Không",0,IF(AND(Y609=0,Z609=0),0,IF(X609&lt;=Z609,0,ROUNDDOWN((X609-Z609)*24*60,0))))</f>
        <v>0</v>
      </c>
      <c r="AE609" s="12">
        <f>IF(VLOOKUP(A609,Data_NV!$A:$I,6,0)="Không",0,IF(Z609&lt;=X609,0,ROUNDDOWN((Z609-X609)*24*60,0)))</f>
        <v>0</v>
      </c>
      <c r="AF609" s="26">
        <f t="shared" si="39"/>
        <v>0</v>
      </c>
      <c r="AG609" s="27" t="str">
        <f>IF(AC609="","",IF(COUNTIFS($AC$3:AC609,"Quên chấm công",$S$3:S609,S609)&gt;3,"Không chấm công do vi phạm quá 3 lần",IF(COUNTIFS($AC$3:AC609,"Quên chấm công",$S$3:S609,S609)&gt;2,"Trừ toàn bộ chuyên cần tháng do vi phạm lần 3",IF(COUNTIFS($AC$3:AC609,"Quên chấm công",$S$3:S609,S609)&gt;1,"Trừ 1/2 ngày lương",50000))))</f>
        <v/>
      </c>
      <c r="AH609" s="12" t="str">
        <f>IF(AF609=0,"",IF(COUNTIFS($AF$3:AF609,"&gt;0",$S$3:S609,S609)&gt;3,"Trừ toàn bộ chuyên cần tháng",""))</f>
        <v/>
      </c>
      <c r="AI609" s="12"/>
    </row>
    <row r="610" spans="1:35" x14ac:dyDescent="0.25">
      <c r="A610" s="4" t="s">
        <v>939</v>
      </c>
      <c r="B610" s="1" t="s">
        <v>940</v>
      </c>
      <c r="C610" s="1" t="s">
        <v>20</v>
      </c>
      <c r="D610" s="1" t="s">
        <v>48</v>
      </c>
      <c r="E610" s="1" t="s">
        <v>22</v>
      </c>
      <c r="F610" s="1" t="s">
        <v>23</v>
      </c>
      <c r="G610" s="1" t="s">
        <v>12</v>
      </c>
      <c r="H610" s="1" t="s">
        <v>945</v>
      </c>
      <c r="I610" s="1" t="s">
        <v>24</v>
      </c>
      <c r="J610" s="1" t="s">
        <v>25</v>
      </c>
      <c r="K610" s="1" t="s">
        <v>25</v>
      </c>
      <c r="L610" s="1" t="s">
        <v>26</v>
      </c>
      <c r="M610" s="1" t="s">
        <v>25</v>
      </c>
      <c r="N610" s="1" t="s">
        <v>25</v>
      </c>
      <c r="O610" s="1" t="s">
        <v>25</v>
      </c>
      <c r="P610" s="1" t="s">
        <v>25</v>
      </c>
      <c r="Q610" s="1" t="s">
        <v>25</v>
      </c>
      <c r="R610" s="85" t="str">
        <f t="shared" si="36"/>
        <v>5345908</v>
      </c>
      <c r="S610" t="str">
        <f>VLOOKUP(A610,Data_NV!$A:$C,3,0)</f>
        <v>Bùi Thị Kim Dung</v>
      </c>
      <c r="T610" t="str">
        <f>VLOOKUP(A610,Data_NV!$A:$E,4,0)</f>
        <v>Kinh doanh</v>
      </c>
      <c r="U610" s="82">
        <f>DATEVALUE(Table2[[#This Row],[Ngày]])</f>
        <v>45908</v>
      </c>
      <c r="V610" t="str">
        <f>VLOOKUP(A610,Data_NV!$A:$E,5,0)</f>
        <v>Đang làm việc</v>
      </c>
      <c r="W610" s="10">
        <f>VLOOKUP(A610,Data_NV!$A:$I,8,0)</f>
        <v>0.33333333333333331</v>
      </c>
      <c r="X610" s="10">
        <f>VLOOKUP(A610,Data_NV!$A:$I,9,0)</f>
        <v>0.70833333333333337</v>
      </c>
      <c r="Y610" s="10">
        <f>IFERROR(TIMEVALUE(Table2[[#This Row],[Vào]]),0)</f>
        <v>0.33118055555555553</v>
      </c>
      <c r="Z610" s="10">
        <f>IFERROR(TIMEVALUE(Table2[[#This Row],[Ra]]),0)</f>
        <v>0</v>
      </c>
      <c r="AA610" t="str">
        <f t="shared" si="37"/>
        <v>x</v>
      </c>
      <c r="AB610" s="105">
        <f t="shared" si="38"/>
        <v>0</v>
      </c>
      <c r="AC610" s="12" t="str">
        <f>IF(VLOOKUP(A610,Data_NV!$A:$I,7,0)="Không","",IF(OR(AND(Y610=0,Z610=0),AND(Y610&lt;&gt;0,Z610&lt;&gt;0)),"","Quên chấm công"))</f>
        <v/>
      </c>
      <c r="AD610" s="12">
        <f>IF(VLOOKUP(A610,Data_NV!$A:$I,7,0)="Không",0,IF(AND(Y610=0,Z610=0),0,IF(X610&lt;=Z610,0,ROUNDDOWN((X610-Z610)*24*60,0))))</f>
        <v>0</v>
      </c>
      <c r="AE610" s="12">
        <f>IF(VLOOKUP(A610,Data_NV!$A:$I,6,0)="Không",0,IF(Z610&lt;=X610,0,ROUNDDOWN((Z610-X610)*24*60,0)))</f>
        <v>0</v>
      </c>
      <c r="AF610" s="26">
        <f t="shared" si="39"/>
        <v>0</v>
      </c>
      <c r="AG610" s="27" t="str">
        <f>IF(AC610="","",IF(COUNTIFS($AC$3:AC610,"Quên chấm công",$S$3:S610,S610)&gt;3,"Không chấm công do vi phạm quá 3 lần",IF(COUNTIFS($AC$3:AC610,"Quên chấm công",$S$3:S610,S610)&gt;2,"Trừ toàn bộ chuyên cần tháng do vi phạm lần 3",IF(COUNTIFS($AC$3:AC610,"Quên chấm công",$S$3:S610,S610)&gt;1,"Trừ 1/2 ngày lương",50000))))</f>
        <v/>
      </c>
      <c r="AH610" s="12" t="str">
        <f>IF(AF610=0,"",IF(COUNTIFS($AF$3:AF610,"&gt;0",$S$3:S610,S610)&gt;3,"Trừ toàn bộ chuyên cần tháng",""))</f>
        <v/>
      </c>
      <c r="AI610" s="12"/>
    </row>
    <row r="611" spans="1:35" x14ac:dyDescent="0.25">
      <c r="A611" s="4" t="s">
        <v>939</v>
      </c>
      <c r="B611" s="1" t="s">
        <v>940</v>
      </c>
      <c r="C611" s="1" t="s">
        <v>20</v>
      </c>
      <c r="D611" s="1" t="s">
        <v>53</v>
      </c>
      <c r="E611" s="1" t="s">
        <v>22</v>
      </c>
      <c r="F611" s="1" t="s">
        <v>23</v>
      </c>
      <c r="G611" s="1" t="s">
        <v>12</v>
      </c>
      <c r="H611" s="1" t="s">
        <v>856</v>
      </c>
      <c r="I611" s="1" t="s">
        <v>24</v>
      </c>
      <c r="J611" s="1" t="s">
        <v>25</v>
      </c>
      <c r="K611" s="1" t="s">
        <v>25</v>
      </c>
      <c r="L611" s="1" t="s">
        <v>26</v>
      </c>
      <c r="M611" s="1" t="s">
        <v>25</v>
      </c>
      <c r="N611" s="1" t="s">
        <v>25</v>
      </c>
      <c r="O611" s="1" t="s">
        <v>25</v>
      </c>
      <c r="P611" s="1" t="s">
        <v>25</v>
      </c>
      <c r="Q611" s="1" t="s">
        <v>25</v>
      </c>
      <c r="R611" s="85" t="str">
        <f t="shared" si="36"/>
        <v>5345909</v>
      </c>
      <c r="S611" t="str">
        <f>VLOOKUP(A611,Data_NV!$A:$C,3,0)</f>
        <v>Bùi Thị Kim Dung</v>
      </c>
      <c r="T611" t="str">
        <f>VLOOKUP(A611,Data_NV!$A:$E,4,0)</f>
        <v>Kinh doanh</v>
      </c>
      <c r="U611" s="82">
        <f>DATEVALUE(Table2[[#This Row],[Ngày]])</f>
        <v>45909</v>
      </c>
      <c r="V611" t="str">
        <f>VLOOKUP(A611,Data_NV!$A:$E,5,0)</f>
        <v>Đang làm việc</v>
      </c>
      <c r="W611" s="10">
        <f>VLOOKUP(A611,Data_NV!$A:$I,8,0)</f>
        <v>0.33333333333333331</v>
      </c>
      <c r="X611" s="10">
        <f>VLOOKUP(A611,Data_NV!$A:$I,9,0)</f>
        <v>0.70833333333333337</v>
      </c>
      <c r="Y611" s="10">
        <f>IFERROR(TIMEVALUE(Table2[[#This Row],[Vào]]),0)</f>
        <v>0.33119212962962963</v>
      </c>
      <c r="Z611" s="10">
        <f>IFERROR(TIMEVALUE(Table2[[#This Row],[Ra]]),0)</f>
        <v>0</v>
      </c>
      <c r="AA611" t="str">
        <f t="shared" si="37"/>
        <v>x</v>
      </c>
      <c r="AB611" s="105">
        <f t="shared" si="38"/>
        <v>0</v>
      </c>
      <c r="AC611" s="12" t="str">
        <f>IF(VLOOKUP(A611,Data_NV!$A:$I,7,0)="Không","",IF(OR(AND(Y611=0,Z611=0),AND(Y611&lt;&gt;0,Z611&lt;&gt;0)),"","Quên chấm công"))</f>
        <v/>
      </c>
      <c r="AD611" s="12">
        <f>IF(VLOOKUP(A611,Data_NV!$A:$I,7,0)="Không",0,IF(AND(Y611=0,Z611=0),0,IF(X611&lt;=Z611,0,ROUNDDOWN((X611-Z611)*24*60,0))))</f>
        <v>0</v>
      </c>
      <c r="AE611" s="12">
        <f>IF(VLOOKUP(A611,Data_NV!$A:$I,6,0)="Không",0,IF(Z611&lt;=X611,0,ROUNDDOWN((Z611-X611)*24*60,0)))</f>
        <v>0</v>
      </c>
      <c r="AF611" s="26">
        <f t="shared" si="39"/>
        <v>0</v>
      </c>
      <c r="AG611" s="27" t="str">
        <f>IF(AC611="","",IF(COUNTIFS($AC$3:AC611,"Quên chấm công",$S$3:S611,S611)&gt;3,"Không chấm công do vi phạm quá 3 lần",IF(COUNTIFS($AC$3:AC611,"Quên chấm công",$S$3:S611,S611)&gt;2,"Trừ toàn bộ chuyên cần tháng do vi phạm lần 3",IF(COUNTIFS($AC$3:AC611,"Quên chấm công",$S$3:S611,S611)&gt;1,"Trừ 1/2 ngày lương",50000))))</f>
        <v/>
      </c>
      <c r="AH611" s="12" t="str">
        <f>IF(AF611=0,"",IF(COUNTIFS($AF$3:AF611,"&gt;0",$S$3:S611,S611)&gt;3,"Trừ toàn bộ chuyên cần tháng",""))</f>
        <v/>
      </c>
      <c r="AI611" s="12"/>
    </row>
    <row r="612" spans="1:35" x14ac:dyDescent="0.25">
      <c r="A612" s="4" t="s">
        <v>939</v>
      </c>
      <c r="B612" s="1" t="s">
        <v>940</v>
      </c>
      <c r="C612" s="1" t="s">
        <v>20</v>
      </c>
      <c r="D612" s="1" t="s">
        <v>58</v>
      </c>
      <c r="E612" s="1" t="s">
        <v>22</v>
      </c>
      <c r="F612" s="1" t="s">
        <v>23</v>
      </c>
      <c r="G612" s="1" t="s">
        <v>12</v>
      </c>
      <c r="H612" s="1" t="s">
        <v>824</v>
      </c>
      <c r="I612" s="1" t="s">
        <v>24</v>
      </c>
      <c r="J612" s="1" t="s">
        <v>682</v>
      </c>
      <c r="K612" s="1" t="s">
        <v>25</v>
      </c>
      <c r="L612" s="1" t="s">
        <v>26</v>
      </c>
      <c r="M612" s="1" t="s">
        <v>25</v>
      </c>
      <c r="N612" s="1" t="s">
        <v>25</v>
      </c>
      <c r="O612" s="1" t="s">
        <v>25</v>
      </c>
      <c r="P612" s="1" t="s">
        <v>25</v>
      </c>
      <c r="Q612" s="1" t="s">
        <v>25</v>
      </c>
      <c r="R612" s="85" t="str">
        <f t="shared" si="36"/>
        <v>5345910</v>
      </c>
      <c r="S612" t="str">
        <f>VLOOKUP(A612,Data_NV!$A:$C,3,0)</f>
        <v>Bùi Thị Kim Dung</v>
      </c>
      <c r="T612" t="str">
        <f>VLOOKUP(A612,Data_NV!$A:$E,4,0)</f>
        <v>Kinh doanh</v>
      </c>
      <c r="U612" s="82">
        <f>DATEVALUE(Table2[[#This Row],[Ngày]])</f>
        <v>45910</v>
      </c>
      <c r="V612" t="str">
        <f>VLOOKUP(A612,Data_NV!$A:$E,5,0)</f>
        <v>Đang làm việc</v>
      </c>
      <c r="W612" s="10">
        <f>VLOOKUP(A612,Data_NV!$A:$I,8,0)</f>
        <v>0.33333333333333331</v>
      </c>
      <c r="X612" s="10">
        <f>VLOOKUP(A612,Data_NV!$A:$I,9,0)</f>
        <v>0.70833333333333337</v>
      </c>
      <c r="Y612" s="10">
        <f>IFERROR(TIMEVALUE(Table2[[#This Row],[Vào]]),0)</f>
        <v>0.33688657407407407</v>
      </c>
      <c r="Z612" s="10">
        <f>IFERROR(TIMEVALUE(Table2[[#This Row],[Ra]]),0)</f>
        <v>0</v>
      </c>
      <c r="AA612" t="str">
        <f t="shared" si="37"/>
        <v>x</v>
      </c>
      <c r="AB612" s="105">
        <f t="shared" si="38"/>
        <v>5.1166666666666938</v>
      </c>
      <c r="AC612" s="12" t="str">
        <f>IF(VLOOKUP(A612,Data_NV!$A:$I,7,0)="Không","",IF(OR(AND(Y612=0,Z612=0),AND(Y612&lt;&gt;0,Z612&lt;&gt;0)),"","Quên chấm công"))</f>
        <v/>
      </c>
      <c r="AD612" s="12">
        <f>IF(VLOOKUP(A612,Data_NV!$A:$I,7,0)="Không",0,IF(AND(Y612=0,Z612=0),0,IF(X612&lt;=Z612,0,ROUNDDOWN((X612-Z612)*24*60,0))))</f>
        <v>0</v>
      </c>
      <c r="AE612" s="12">
        <f>IF(VLOOKUP(A612,Data_NV!$A:$I,6,0)="Không",0,IF(Z612&lt;=X612,0,ROUNDDOWN((Z612-X612)*24*60,0)))</f>
        <v>0</v>
      </c>
      <c r="AF612" s="26">
        <f t="shared" si="39"/>
        <v>0</v>
      </c>
      <c r="AG612" s="27" t="str">
        <f>IF(AC612="","",IF(COUNTIFS($AC$3:AC612,"Quên chấm công",$S$3:S612,S612)&gt;3,"Không chấm công do vi phạm quá 3 lần",IF(COUNTIFS($AC$3:AC612,"Quên chấm công",$S$3:S612,S612)&gt;2,"Trừ toàn bộ chuyên cần tháng do vi phạm lần 3",IF(COUNTIFS($AC$3:AC612,"Quên chấm công",$S$3:S612,S612)&gt;1,"Trừ 1/2 ngày lương",50000))))</f>
        <v/>
      </c>
      <c r="AH612" s="12" t="str">
        <f>IF(AF612=0,"",IF(COUNTIFS($AF$3:AF612,"&gt;0",$S$3:S612,S612)&gt;3,"Trừ toàn bộ chuyên cần tháng",""))</f>
        <v/>
      </c>
      <c r="AI612" s="12"/>
    </row>
    <row r="613" spans="1:35" x14ac:dyDescent="0.25">
      <c r="A613" s="4" t="s">
        <v>939</v>
      </c>
      <c r="B613" s="1" t="s">
        <v>940</v>
      </c>
      <c r="C613" s="1" t="s">
        <v>20</v>
      </c>
      <c r="D613" s="1" t="s">
        <v>63</v>
      </c>
      <c r="E613" s="1" t="s">
        <v>22</v>
      </c>
      <c r="F613" s="1" t="s">
        <v>23</v>
      </c>
      <c r="G613" s="1" t="s">
        <v>12</v>
      </c>
      <c r="H613" s="1" t="s">
        <v>946</v>
      </c>
      <c r="I613" s="1" t="s">
        <v>24</v>
      </c>
      <c r="J613" s="1" t="s">
        <v>691</v>
      </c>
      <c r="K613" s="1" t="s">
        <v>25</v>
      </c>
      <c r="L613" s="1" t="s">
        <v>26</v>
      </c>
      <c r="M613" s="1" t="s">
        <v>25</v>
      </c>
      <c r="N613" s="1" t="s">
        <v>25</v>
      </c>
      <c r="O613" s="1" t="s">
        <v>25</v>
      </c>
      <c r="P613" s="1" t="s">
        <v>25</v>
      </c>
      <c r="Q613" s="1" t="s">
        <v>25</v>
      </c>
      <c r="R613" s="85" t="str">
        <f t="shared" si="36"/>
        <v>5345911</v>
      </c>
      <c r="S613" t="str">
        <f>VLOOKUP(A613,Data_NV!$A:$C,3,0)</f>
        <v>Bùi Thị Kim Dung</v>
      </c>
      <c r="T613" t="str">
        <f>VLOOKUP(A613,Data_NV!$A:$E,4,0)</f>
        <v>Kinh doanh</v>
      </c>
      <c r="U613" s="82">
        <f>DATEVALUE(Table2[[#This Row],[Ngày]])</f>
        <v>45911</v>
      </c>
      <c r="V613" t="str">
        <f>VLOOKUP(A613,Data_NV!$A:$E,5,0)</f>
        <v>Đang làm việc</v>
      </c>
      <c r="W613" s="10">
        <f>VLOOKUP(A613,Data_NV!$A:$I,8,0)</f>
        <v>0.33333333333333331</v>
      </c>
      <c r="X613" s="10">
        <f>VLOOKUP(A613,Data_NV!$A:$I,9,0)</f>
        <v>0.70833333333333337</v>
      </c>
      <c r="Y613" s="10">
        <f>IFERROR(TIMEVALUE(Table2[[#This Row],[Vào]]),0)</f>
        <v>0.33547453703703706</v>
      </c>
      <c r="Z613" s="10">
        <f>IFERROR(TIMEVALUE(Table2[[#This Row],[Ra]]),0)</f>
        <v>0</v>
      </c>
      <c r="AA613" t="str">
        <f t="shared" si="37"/>
        <v>x</v>
      </c>
      <c r="AB613" s="105">
        <f t="shared" si="38"/>
        <v>3.083333333333389</v>
      </c>
      <c r="AC613" s="12" t="str">
        <f>IF(VLOOKUP(A613,Data_NV!$A:$I,7,0)="Không","",IF(OR(AND(Y613=0,Z613=0),AND(Y613&lt;&gt;0,Z613&lt;&gt;0)),"","Quên chấm công"))</f>
        <v/>
      </c>
      <c r="AD613" s="12">
        <f>IF(VLOOKUP(A613,Data_NV!$A:$I,7,0)="Không",0,IF(AND(Y613=0,Z613=0),0,IF(X613&lt;=Z613,0,ROUNDDOWN((X613-Z613)*24*60,0))))</f>
        <v>0</v>
      </c>
      <c r="AE613" s="12">
        <f>IF(VLOOKUP(A613,Data_NV!$A:$I,6,0)="Không",0,IF(Z613&lt;=X613,0,ROUNDDOWN((Z613-X613)*24*60,0)))</f>
        <v>0</v>
      </c>
      <c r="AF613" s="26">
        <f t="shared" si="39"/>
        <v>0</v>
      </c>
      <c r="AG613" s="27" t="str">
        <f>IF(AC613="","",IF(COUNTIFS($AC$3:AC613,"Quên chấm công",$S$3:S613,S613)&gt;3,"Không chấm công do vi phạm quá 3 lần",IF(COUNTIFS($AC$3:AC613,"Quên chấm công",$S$3:S613,S613)&gt;2,"Trừ toàn bộ chuyên cần tháng do vi phạm lần 3",IF(COUNTIFS($AC$3:AC613,"Quên chấm công",$S$3:S613,S613)&gt;1,"Trừ 1/2 ngày lương",50000))))</f>
        <v/>
      </c>
      <c r="AH613" s="12" t="str">
        <f>IF(AF613=0,"",IF(COUNTIFS($AF$3:AF613,"&gt;0",$S$3:S613,S613)&gt;3,"Trừ toàn bộ chuyên cần tháng",""))</f>
        <v/>
      </c>
      <c r="AI613" s="12"/>
    </row>
    <row r="614" spans="1:35" x14ac:dyDescent="0.25">
      <c r="A614" s="4" t="s">
        <v>939</v>
      </c>
      <c r="B614" s="1" t="s">
        <v>940</v>
      </c>
      <c r="C614" s="1" t="s">
        <v>20</v>
      </c>
      <c r="D614" s="1" t="s">
        <v>67</v>
      </c>
      <c r="E614" s="1" t="s">
        <v>22</v>
      </c>
      <c r="F614" s="1" t="s">
        <v>23</v>
      </c>
      <c r="G614" s="1" t="s">
        <v>12</v>
      </c>
      <c r="H614" s="1" t="s">
        <v>947</v>
      </c>
      <c r="I614" s="1" t="s">
        <v>24</v>
      </c>
      <c r="J614" s="1" t="s">
        <v>25</v>
      </c>
      <c r="K614" s="1" t="s">
        <v>25</v>
      </c>
      <c r="L614" s="1" t="s">
        <v>26</v>
      </c>
      <c r="M614" s="1" t="s">
        <v>25</v>
      </c>
      <c r="N614" s="1" t="s">
        <v>25</v>
      </c>
      <c r="O614" s="1" t="s">
        <v>25</v>
      </c>
      <c r="P614" s="1" t="s">
        <v>25</v>
      </c>
      <c r="Q614" s="1" t="s">
        <v>25</v>
      </c>
      <c r="R614" s="85" t="str">
        <f t="shared" si="36"/>
        <v>5345912</v>
      </c>
      <c r="S614" t="str">
        <f>VLOOKUP(A614,Data_NV!$A:$C,3,0)</f>
        <v>Bùi Thị Kim Dung</v>
      </c>
      <c r="T614" t="str">
        <f>VLOOKUP(A614,Data_NV!$A:$E,4,0)</f>
        <v>Kinh doanh</v>
      </c>
      <c r="U614" s="82">
        <f>DATEVALUE(Table2[[#This Row],[Ngày]])</f>
        <v>45912</v>
      </c>
      <c r="V614" t="str">
        <f>VLOOKUP(A614,Data_NV!$A:$E,5,0)</f>
        <v>Đang làm việc</v>
      </c>
      <c r="W614" s="10">
        <f>VLOOKUP(A614,Data_NV!$A:$I,8,0)</f>
        <v>0.33333333333333331</v>
      </c>
      <c r="X614" s="10">
        <f>VLOOKUP(A614,Data_NV!$A:$I,9,0)</f>
        <v>0.70833333333333337</v>
      </c>
      <c r="Y614" s="10">
        <f>IFERROR(TIMEVALUE(Table2[[#This Row],[Vào]]),0)</f>
        <v>0.33122685185185186</v>
      </c>
      <c r="Z614" s="10">
        <f>IFERROR(TIMEVALUE(Table2[[#This Row],[Ra]]),0)</f>
        <v>0</v>
      </c>
      <c r="AA614" t="str">
        <f t="shared" si="37"/>
        <v>x</v>
      </c>
      <c r="AB614" s="105">
        <f t="shared" si="38"/>
        <v>0</v>
      </c>
      <c r="AC614" s="12" t="str">
        <f>IF(VLOOKUP(A614,Data_NV!$A:$I,7,0)="Không","",IF(OR(AND(Y614=0,Z614=0),AND(Y614&lt;&gt;0,Z614&lt;&gt;0)),"","Quên chấm công"))</f>
        <v/>
      </c>
      <c r="AD614" s="12">
        <f>IF(VLOOKUP(A614,Data_NV!$A:$I,7,0)="Không",0,IF(AND(Y614=0,Z614=0),0,IF(X614&lt;=Z614,0,ROUNDDOWN((X614-Z614)*24*60,0))))</f>
        <v>0</v>
      </c>
      <c r="AE614" s="12">
        <f>IF(VLOOKUP(A614,Data_NV!$A:$I,6,0)="Không",0,IF(Z614&lt;=X614,0,ROUNDDOWN((Z614-X614)*24*60,0)))</f>
        <v>0</v>
      </c>
      <c r="AF614" s="26">
        <f t="shared" si="39"/>
        <v>0</v>
      </c>
      <c r="AG614" s="27" t="str">
        <f>IF(AC614="","",IF(COUNTIFS($AC$3:AC614,"Quên chấm công",$S$3:S614,S614)&gt;3,"Không chấm công do vi phạm quá 3 lần",IF(COUNTIFS($AC$3:AC614,"Quên chấm công",$S$3:S614,S614)&gt;2,"Trừ toàn bộ chuyên cần tháng do vi phạm lần 3",IF(COUNTIFS($AC$3:AC614,"Quên chấm công",$S$3:S614,S614)&gt;1,"Trừ 1/2 ngày lương",50000))))</f>
        <v/>
      </c>
      <c r="AH614" s="12" t="str">
        <f>IF(AF614=0,"",IF(COUNTIFS($AF$3:AF614,"&gt;0",$S$3:S614,S614)&gt;3,"Trừ toàn bộ chuyên cần tháng",""))</f>
        <v/>
      </c>
      <c r="AI614" s="12"/>
    </row>
    <row r="615" spans="1:35" x14ac:dyDescent="0.25">
      <c r="A615" s="4" t="s">
        <v>939</v>
      </c>
      <c r="B615" s="1" t="s">
        <v>940</v>
      </c>
      <c r="C615" s="1" t="s">
        <v>20</v>
      </c>
      <c r="D615" s="1" t="s">
        <v>69</v>
      </c>
      <c r="E615" s="1" t="s">
        <v>22</v>
      </c>
      <c r="F615" s="1" t="s">
        <v>23</v>
      </c>
      <c r="G615" s="1" t="s">
        <v>12</v>
      </c>
      <c r="H615" s="1" t="s">
        <v>948</v>
      </c>
      <c r="I615" s="1" t="s">
        <v>24</v>
      </c>
      <c r="J615" s="1" t="s">
        <v>25</v>
      </c>
      <c r="K615" s="1" t="s">
        <v>25</v>
      </c>
      <c r="L615" s="1" t="s">
        <v>26</v>
      </c>
      <c r="M615" s="1" t="s">
        <v>25</v>
      </c>
      <c r="N615" s="1" t="s">
        <v>25</v>
      </c>
      <c r="O615" s="1" t="s">
        <v>25</v>
      </c>
      <c r="P615" s="1" t="s">
        <v>25</v>
      </c>
      <c r="Q615" s="1" t="s">
        <v>25</v>
      </c>
      <c r="R615" s="85" t="str">
        <f t="shared" si="36"/>
        <v>5345913</v>
      </c>
      <c r="S615" t="str">
        <f>VLOOKUP(A615,Data_NV!$A:$C,3,0)</f>
        <v>Bùi Thị Kim Dung</v>
      </c>
      <c r="T615" t="str">
        <f>VLOOKUP(A615,Data_NV!$A:$E,4,0)</f>
        <v>Kinh doanh</v>
      </c>
      <c r="U615" s="82">
        <f>DATEVALUE(Table2[[#This Row],[Ngày]])</f>
        <v>45913</v>
      </c>
      <c r="V615" t="str">
        <f>VLOOKUP(A615,Data_NV!$A:$E,5,0)</f>
        <v>Đang làm việc</v>
      </c>
      <c r="W615" s="10">
        <f>VLOOKUP(A615,Data_NV!$A:$I,8,0)</f>
        <v>0.33333333333333331</v>
      </c>
      <c r="X615" s="10">
        <f>VLOOKUP(A615,Data_NV!$A:$I,9,0)</f>
        <v>0.70833333333333337</v>
      </c>
      <c r="Y615" s="10">
        <f>IFERROR(TIMEVALUE(Table2[[#This Row],[Vào]]),0)</f>
        <v>0.33159722222222221</v>
      </c>
      <c r="Z615" s="10">
        <f>IFERROR(TIMEVALUE(Table2[[#This Row],[Ra]]),0)</f>
        <v>0</v>
      </c>
      <c r="AA615" t="str">
        <f t="shared" si="37"/>
        <v>x</v>
      </c>
      <c r="AB615" s="105">
        <f t="shared" si="38"/>
        <v>0</v>
      </c>
      <c r="AC615" s="12" t="str">
        <f>IF(VLOOKUP(A615,Data_NV!$A:$I,7,0)="Không","",IF(OR(AND(Y615=0,Z615=0),AND(Y615&lt;&gt;0,Z615&lt;&gt;0)),"","Quên chấm công"))</f>
        <v/>
      </c>
      <c r="AD615" s="12">
        <f>IF(VLOOKUP(A615,Data_NV!$A:$I,7,0)="Không",0,IF(AND(Y615=0,Z615=0),0,IF(X615&lt;=Z615,0,ROUNDDOWN((X615-Z615)*24*60,0))))</f>
        <v>0</v>
      </c>
      <c r="AE615" s="12">
        <f>IF(VLOOKUP(A615,Data_NV!$A:$I,6,0)="Không",0,IF(Z615&lt;=X615,0,ROUNDDOWN((Z615-X615)*24*60,0)))</f>
        <v>0</v>
      </c>
      <c r="AF615" s="26">
        <f t="shared" si="39"/>
        <v>0</v>
      </c>
      <c r="AG615" s="27" t="str">
        <f>IF(AC615="","",IF(COUNTIFS($AC$3:AC615,"Quên chấm công",$S$3:S615,S615)&gt;3,"Không chấm công do vi phạm quá 3 lần",IF(COUNTIFS($AC$3:AC615,"Quên chấm công",$S$3:S615,S615)&gt;2,"Trừ toàn bộ chuyên cần tháng do vi phạm lần 3",IF(COUNTIFS($AC$3:AC615,"Quên chấm công",$S$3:S615,S615)&gt;1,"Trừ 1/2 ngày lương",50000))))</f>
        <v/>
      </c>
      <c r="AH615" s="12" t="str">
        <f>IF(AF615=0,"",IF(COUNTIFS($AF$3:AF615,"&gt;0",$S$3:S615,S615)&gt;3,"Trừ toàn bộ chuyên cần tháng",""))</f>
        <v/>
      </c>
      <c r="AI615" s="12"/>
    </row>
    <row r="616" spans="1:35" x14ac:dyDescent="0.25">
      <c r="A616" s="4" t="s">
        <v>939</v>
      </c>
      <c r="B616" s="1" t="s">
        <v>940</v>
      </c>
      <c r="C616" s="1" t="s">
        <v>20</v>
      </c>
      <c r="D616" s="1" t="s">
        <v>74</v>
      </c>
      <c r="E616" s="1" t="s">
        <v>22</v>
      </c>
      <c r="F616" s="1" t="s">
        <v>23</v>
      </c>
      <c r="G616" s="1" t="s">
        <v>12</v>
      </c>
      <c r="H616" s="1" t="s">
        <v>24</v>
      </c>
      <c r="I616" s="1" t="s">
        <v>24</v>
      </c>
      <c r="J616" s="1" t="s">
        <v>25</v>
      </c>
      <c r="K616" s="1" t="s">
        <v>25</v>
      </c>
      <c r="L616" s="1" t="s">
        <v>26</v>
      </c>
      <c r="M616" s="1" t="s">
        <v>25</v>
      </c>
      <c r="N616" s="1" t="s">
        <v>25</v>
      </c>
      <c r="O616" s="1" t="s">
        <v>25</v>
      </c>
      <c r="P616" s="1" t="s">
        <v>25</v>
      </c>
      <c r="Q616" s="1" t="s">
        <v>25</v>
      </c>
      <c r="R616" s="85" t="str">
        <f t="shared" si="36"/>
        <v>5345914</v>
      </c>
      <c r="S616" t="str">
        <f>VLOOKUP(A616,Data_NV!$A:$C,3,0)</f>
        <v>Bùi Thị Kim Dung</v>
      </c>
      <c r="T616" t="str">
        <f>VLOOKUP(A616,Data_NV!$A:$E,4,0)</f>
        <v>Kinh doanh</v>
      </c>
      <c r="U616" s="82">
        <f>DATEVALUE(Table2[[#This Row],[Ngày]])</f>
        <v>45914</v>
      </c>
      <c r="V616" t="str">
        <f>VLOOKUP(A616,Data_NV!$A:$E,5,0)</f>
        <v>Đang làm việc</v>
      </c>
      <c r="W616" s="10">
        <f>VLOOKUP(A616,Data_NV!$A:$I,8,0)</f>
        <v>0.33333333333333331</v>
      </c>
      <c r="X616" s="10">
        <f>VLOOKUP(A616,Data_NV!$A:$I,9,0)</f>
        <v>0.70833333333333337</v>
      </c>
      <c r="Y616" s="10">
        <f>IFERROR(TIMEVALUE(Table2[[#This Row],[Vào]]),0)</f>
        <v>0</v>
      </c>
      <c r="Z616" s="10">
        <f>IFERROR(TIMEVALUE(Table2[[#This Row],[Ra]]),0)</f>
        <v>0</v>
      </c>
      <c r="AA616" t="str">
        <f t="shared" si="37"/>
        <v>Chủ nhật</v>
      </c>
      <c r="AB616" s="105">
        <f t="shared" si="38"/>
        <v>0</v>
      </c>
      <c r="AC616" s="12" t="str">
        <f>IF(VLOOKUP(A616,Data_NV!$A:$I,7,0)="Không","",IF(OR(AND(Y616=0,Z616=0),AND(Y616&lt;&gt;0,Z616&lt;&gt;0)),"","Quên chấm công"))</f>
        <v/>
      </c>
      <c r="AD616" s="12">
        <f>IF(VLOOKUP(A616,Data_NV!$A:$I,7,0)="Không",0,IF(AND(Y616=0,Z616=0),0,IF(X616&lt;=Z616,0,ROUNDDOWN((X616-Z616)*24*60,0))))</f>
        <v>0</v>
      </c>
      <c r="AE616" s="12">
        <f>IF(VLOOKUP(A616,Data_NV!$A:$I,6,0)="Không",0,IF(Z616&lt;=X616,0,ROUNDDOWN((Z616-X616)*24*60,0)))</f>
        <v>0</v>
      </c>
      <c r="AF616" s="26">
        <f t="shared" si="39"/>
        <v>0</v>
      </c>
      <c r="AG616" s="27" t="str">
        <f>IF(AC616="","",IF(COUNTIFS($AC$3:AC616,"Quên chấm công",$S$3:S616,S616)&gt;3,"Không chấm công do vi phạm quá 3 lần",IF(COUNTIFS($AC$3:AC616,"Quên chấm công",$S$3:S616,S616)&gt;2,"Trừ toàn bộ chuyên cần tháng do vi phạm lần 3",IF(COUNTIFS($AC$3:AC616,"Quên chấm công",$S$3:S616,S616)&gt;1,"Trừ 1/2 ngày lương",50000))))</f>
        <v/>
      </c>
      <c r="AH616" s="12" t="str">
        <f>IF(AF616=0,"",IF(COUNTIFS($AF$3:AF616,"&gt;0",$S$3:S616,S616)&gt;3,"Trừ toàn bộ chuyên cần tháng",""))</f>
        <v/>
      </c>
      <c r="AI616" s="12"/>
    </row>
    <row r="617" spans="1:35" x14ac:dyDescent="0.25">
      <c r="A617" s="4" t="s">
        <v>939</v>
      </c>
      <c r="B617" s="1" t="s">
        <v>940</v>
      </c>
      <c r="C617" s="1" t="s">
        <v>20</v>
      </c>
      <c r="D617" s="1" t="s">
        <v>75</v>
      </c>
      <c r="E617" s="1" t="s">
        <v>22</v>
      </c>
      <c r="F617" s="1" t="s">
        <v>23</v>
      </c>
      <c r="G617" s="1" t="s">
        <v>12</v>
      </c>
      <c r="H617" s="1" t="s">
        <v>821</v>
      </c>
      <c r="I617" s="1" t="s">
        <v>24</v>
      </c>
      <c r="J617" s="1" t="s">
        <v>25</v>
      </c>
      <c r="K617" s="1" t="s">
        <v>25</v>
      </c>
      <c r="L617" s="1" t="s">
        <v>26</v>
      </c>
      <c r="M617" s="1" t="s">
        <v>25</v>
      </c>
      <c r="N617" s="1" t="s">
        <v>25</v>
      </c>
      <c r="O617" s="1" t="s">
        <v>25</v>
      </c>
      <c r="P617" s="1" t="s">
        <v>25</v>
      </c>
      <c r="Q617" s="1" t="s">
        <v>25</v>
      </c>
      <c r="R617" s="85" t="str">
        <f t="shared" si="36"/>
        <v>5345915</v>
      </c>
      <c r="S617" t="str">
        <f>VLOOKUP(A617,Data_NV!$A:$C,3,0)</f>
        <v>Bùi Thị Kim Dung</v>
      </c>
      <c r="T617" t="str">
        <f>VLOOKUP(A617,Data_NV!$A:$E,4,0)</f>
        <v>Kinh doanh</v>
      </c>
      <c r="U617" s="82">
        <f>DATEVALUE(Table2[[#This Row],[Ngày]])</f>
        <v>45915</v>
      </c>
      <c r="V617" t="str">
        <f>VLOOKUP(A617,Data_NV!$A:$E,5,0)</f>
        <v>Đang làm việc</v>
      </c>
      <c r="W617" s="10">
        <f>VLOOKUP(A617,Data_NV!$A:$I,8,0)</f>
        <v>0.33333333333333331</v>
      </c>
      <c r="X617" s="10">
        <f>VLOOKUP(A617,Data_NV!$A:$I,9,0)</f>
        <v>0.70833333333333337</v>
      </c>
      <c r="Y617" s="10">
        <f>IFERROR(TIMEVALUE(Table2[[#This Row],[Vào]]),0)</f>
        <v>0.33150462962962962</v>
      </c>
      <c r="Z617" s="10">
        <f>IFERROR(TIMEVALUE(Table2[[#This Row],[Ra]]),0)</f>
        <v>0</v>
      </c>
      <c r="AA617" t="str">
        <f t="shared" si="37"/>
        <v>x</v>
      </c>
      <c r="AB617" s="105">
        <f t="shared" si="38"/>
        <v>0</v>
      </c>
      <c r="AC617" s="12" t="str">
        <f>IF(VLOOKUP(A617,Data_NV!$A:$I,7,0)="Không","",IF(OR(AND(Y617=0,Z617=0),AND(Y617&lt;&gt;0,Z617&lt;&gt;0)),"","Quên chấm công"))</f>
        <v/>
      </c>
      <c r="AD617" s="12">
        <f>IF(VLOOKUP(A617,Data_NV!$A:$I,7,0)="Không",0,IF(AND(Y617=0,Z617=0),0,IF(X617&lt;=Z617,0,ROUNDDOWN((X617-Z617)*24*60,0))))</f>
        <v>0</v>
      </c>
      <c r="AE617" s="12">
        <f>IF(VLOOKUP(A617,Data_NV!$A:$I,6,0)="Không",0,IF(Z617&lt;=X617,0,ROUNDDOWN((Z617-X617)*24*60,0)))</f>
        <v>0</v>
      </c>
      <c r="AF617" s="26">
        <f t="shared" si="39"/>
        <v>0</v>
      </c>
      <c r="AG617" s="27" t="str">
        <f>IF(AC617="","",IF(COUNTIFS($AC$3:AC617,"Quên chấm công",$S$3:S617,S617)&gt;3,"Không chấm công do vi phạm quá 3 lần",IF(COUNTIFS($AC$3:AC617,"Quên chấm công",$S$3:S617,S617)&gt;2,"Trừ toàn bộ chuyên cần tháng do vi phạm lần 3",IF(COUNTIFS($AC$3:AC617,"Quên chấm công",$S$3:S617,S617)&gt;1,"Trừ 1/2 ngày lương",50000))))</f>
        <v/>
      </c>
      <c r="AH617" s="12" t="str">
        <f>IF(AF617=0,"",IF(COUNTIFS($AF$3:AF617,"&gt;0",$S$3:S617,S617)&gt;3,"Trừ toàn bộ chuyên cần tháng",""))</f>
        <v/>
      </c>
      <c r="AI617" s="12"/>
    </row>
    <row r="618" spans="1:35" x14ac:dyDescent="0.25">
      <c r="A618" s="4" t="s">
        <v>939</v>
      </c>
      <c r="B618" s="1" t="s">
        <v>940</v>
      </c>
      <c r="C618" s="1" t="s">
        <v>20</v>
      </c>
      <c r="D618" s="1" t="s">
        <v>80</v>
      </c>
      <c r="E618" s="1" t="s">
        <v>22</v>
      </c>
      <c r="F618" s="1" t="s">
        <v>23</v>
      </c>
      <c r="G618" s="1" t="s">
        <v>12</v>
      </c>
      <c r="H618" s="1" t="s">
        <v>949</v>
      </c>
      <c r="I618" s="1" t="s">
        <v>24</v>
      </c>
      <c r="J618" s="1" t="s">
        <v>699</v>
      </c>
      <c r="K618" s="1" t="s">
        <v>25</v>
      </c>
      <c r="L618" s="1" t="s">
        <v>26</v>
      </c>
      <c r="M618" s="1" t="s">
        <v>25</v>
      </c>
      <c r="N618" s="1" t="s">
        <v>25</v>
      </c>
      <c r="O618" s="1" t="s">
        <v>25</v>
      </c>
      <c r="P618" s="1" t="s">
        <v>25</v>
      </c>
      <c r="Q618" s="1" t="s">
        <v>25</v>
      </c>
      <c r="R618" s="85" t="str">
        <f t="shared" si="36"/>
        <v>5345916</v>
      </c>
      <c r="S618" t="str">
        <f>VLOOKUP(A618,Data_NV!$A:$C,3,0)</f>
        <v>Bùi Thị Kim Dung</v>
      </c>
      <c r="T618" t="str">
        <f>VLOOKUP(A618,Data_NV!$A:$E,4,0)</f>
        <v>Kinh doanh</v>
      </c>
      <c r="U618" s="82">
        <f>DATEVALUE(Table2[[#This Row],[Ngày]])</f>
        <v>45916</v>
      </c>
      <c r="V618" t="str">
        <f>VLOOKUP(A618,Data_NV!$A:$E,5,0)</f>
        <v>Đang làm việc</v>
      </c>
      <c r="W618" s="10">
        <f>VLOOKUP(A618,Data_NV!$A:$I,8,0)</f>
        <v>0.33333333333333331</v>
      </c>
      <c r="X618" s="10">
        <f>VLOOKUP(A618,Data_NV!$A:$I,9,0)</f>
        <v>0.70833333333333337</v>
      </c>
      <c r="Y618" s="10">
        <f>IFERROR(TIMEVALUE(Table2[[#This Row],[Vào]]),0)</f>
        <v>0.33895833333333331</v>
      </c>
      <c r="Z618" s="10">
        <f>IFERROR(TIMEVALUE(Table2[[#This Row],[Ra]]),0)</f>
        <v>0</v>
      </c>
      <c r="AA618" t="str">
        <f t="shared" si="37"/>
        <v>x</v>
      </c>
      <c r="AB618" s="105">
        <f t="shared" si="38"/>
        <v>8.0999999999999872</v>
      </c>
      <c r="AC618" s="12" t="str">
        <f>IF(VLOOKUP(A618,Data_NV!$A:$I,7,0)="Không","",IF(OR(AND(Y618=0,Z618=0),AND(Y618&lt;&gt;0,Z618&lt;&gt;0)),"","Quên chấm công"))</f>
        <v/>
      </c>
      <c r="AD618" s="12">
        <f>IF(VLOOKUP(A618,Data_NV!$A:$I,7,0)="Không",0,IF(AND(Y618=0,Z618=0),0,IF(X618&lt;=Z618,0,ROUNDDOWN((X618-Z618)*24*60,0))))</f>
        <v>0</v>
      </c>
      <c r="AE618" s="12">
        <f>IF(VLOOKUP(A618,Data_NV!$A:$I,6,0)="Không",0,IF(Z618&lt;=X618,0,ROUNDDOWN((Z618-X618)*24*60,0)))</f>
        <v>0</v>
      </c>
      <c r="AF618" s="26">
        <f t="shared" si="39"/>
        <v>30000</v>
      </c>
      <c r="AG618" s="27" t="str">
        <f>IF(AC618="","",IF(COUNTIFS($AC$3:AC618,"Quên chấm công",$S$3:S618,S618)&gt;3,"Không chấm công do vi phạm quá 3 lần",IF(COUNTIFS($AC$3:AC618,"Quên chấm công",$S$3:S618,S618)&gt;2,"Trừ toàn bộ chuyên cần tháng do vi phạm lần 3",IF(COUNTIFS($AC$3:AC618,"Quên chấm công",$S$3:S618,S618)&gt;1,"Trừ 1/2 ngày lương",50000))))</f>
        <v/>
      </c>
      <c r="AH618" s="12" t="str">
        <f>IF(AF618=0,"",IF(COUNTIFS($AF$3:AF618,"&gt;0",$S$3:S618,S618)&gt;3,"Trừ toàn bộ chuyên cần tháng",""))</f>
        <v/>
      </c>
      <c r="AI618" s="12"/>
    </row>
    <row r="619" spans="1:35" x14ac:dyDescent="0.25">
      <c r="A619" s="4" t="s">
        <v>939</v>
      </c>
      <c r="B619" s="1" t="s">
        <v>940</v>
      </c>
      <c r="C619" s="1" t="s">
        <v>20</v>
      </c>
      <c r="D619" s="1" t="s">
        <v>85</v>
      </c>
      <c r="E619" s="1" t="s">
        <v>22</v>
      </c>
      <c r="F619" s="1" t="s">
        <v>23</v>
      </c>
      <c r="G619" s="1" t="s">
        <v>12</v>
      </c>
      <c r="H619" s="1" t="s">
        <v>950</v>
      </c>
      <c r="I619" s="1" t="s">
        <v>24</v>
      </c>
      <c r="J619" s="1" t="s">
        <v>699</v>
      </c>
      <c r="K619" s="1" t="s">
        <v>25</v>
      </c>
      <c r="L619" s="1" t="s">
        <v>26</v>
      </c>
      <c r="M619" s="1" t="s">
        <v>25</v>
      </c>
      <c r="N619" s="1" t="s">
        <v>25</v>
      </c>
      <c r="O619" s="1" t="s">
        <v>25</v>
      </c>
      <c r="P619" s="1" t="s">
        <v>25</v>
      </c>
      <c r="Q619" s="1" t="s">
        <v>25</v>
      </c>
      <c r="R619" s="85" t="str">
        <f t="shared" si="36"/>
        <v>5345917</v>
      </c>
      <c r="S619" t="str">
        <f>VLOOKUP(A619,Data_NV!$A:$C,3,0)</f>
        <v>Bùi Thị Kim Dung</v>
      </c>
      <c r="T619" t="str">
        <f>VLOOKUP(A619,Data_NV!$A:$E,4,0)</f>
        <v>Kinh doanh</v>
      </c>
      <c r="U619" s="82">
        <f>DATEVALUE(Table2[[#This Row],[Ngày]])</f>
        <v>45917</v>
      </c>
      <c r="V619" t="str">
        <f>VLOOKUP(A619,Data_NV!$A:$E,5,0)</f>
        <v>Đang làm việc</v>
      </c>
      <c r="W619" s="10">
        <f>VLOOKUP(A619,Data_NV!$A:$I,8,0)</f>
        <v>0.33333333333333331</v>
      </c>
      <c r="X619" s="10">
        <f>VLOOKUP(A619,Data_NV!$A:$I,9,0)</f>
        <v>0.70833333333333337</v>
      </c>
      <c r="Y619" s="10">
        <f>IFERROR(TIMEVALUE(Table2[[#This Row],[Vào]]),0)</f>
        <v>0.33907407407407408</v>
      </c>
      <c r="Z619" s="10">
        <f>IFERROR(TIMEVALUE(Table2[[#This Row],[Ra]]),0)</f>
        <v>0</v>
      </c>
      <c r="AA619" t="str">
        <f t="shared" si="37"/>
        <v>x</v>
      </c>
      <c r="AB619" s="105">
        <f t="shared" si="38"/>
        <v>8.2666666666667066</v>
      </c>
      <c r="AC619" s="12" t="str">
        <f>IF(VLOOKUP(A619,Data_NV!$A:$I,7,0)="Không","",IF(OR(AND(Y619=0,Z619=0),AND(Y619&lt;&gt;0,Z619&lt;&gt;0)),"","Quên chấm công"))</f>
        <v/>
      </c>
      <c r="AD619" s="12">
        <f>IF(VLOOKUP(A619,Data_NV!$A:$I,7,0)="Không",0,IF(AND(Y619=0,Z619=0),0,IF(X619&lt;=Z619,0,ROUNDDOWN((X619-Z619)*24*60,0))))</f>
        <v>0</v>
      </c>
      <c r="AE619" s="12">
        <f>IF(VLOOKUP(A619,Data_NV!$A:$I,6,0)="Không",0,IF(Z619&lt;=X619,0,ROUNDDOWN((Z619-X619)*24*60,0)))</f>
        <v>0</v>
      </c>
      <c r="AF619" s="26">
        <f t="shared" si="39"/>
        <v>30000</v>
      </c>
      <c r="AG619" s="27" t="str">
        <f>IF(AC619="","",IF(COUNTIFS($AC$3:AC619,"Quên chấm công",$S$3:S619,S619)&gt;3,"Không chấm công do vi phạm quá 3 lần",IF(COUNTIFS($AC$3:AC619,"Quên chấm công",$S$3:S619,S619)&gt;2,"Trừ toàn bộ chuyên cần tháng do vi phạm lần 3",IF(COUNTIFS($AC$3:AC619,"Quên chấm công",$S$3:S619,S619)&gt;1,"Trừ 1/2 ngày lương",50000))))</f>
        <v/>
      </c>
      <c r="AH619" s="12" t="str">
        <f>IF(AF619=0,"",IF(COUNTIFS($AF$3:AF619,"&gt;0",$S$3:S619,S619)&gt;3,"Trừ toàn bộ chuyên cần tháng",""))</f>
        <v/>
      </c>
      <c r="AI619" s="12"/>
    </row>
    <row r="620" spans="1:35" x14ac:dyDescent="0.25">
      <c r="A620" s="4" t="s">
        <v>939</v>
      </c>
      <c r="B620" s="1" t="s">
        <v>940</v>
      </c>
      <c r="C620" s="1" t="s">
        <v>20</v>
      </c>
      <c r="D620" s="1" t="s">
        <v>90</v>
      </c>
      <c r="E620" s="1" t="s">
        <v>22</v>
      </c>
      <c r="F620" s="1" t="s">
        <v>23</v>
      </c>
      <c r="G620" s="1" t="s">
        <v>12</v>
      </c>
      <c r="H620" s="1" t="s">
        <v>951</v>
      </c>
      <c r="I620" s="1" t="s">
        <v>24</v>
      </c>
      <c r="J620" s="1" t="s">
        <v>25</v>
      </c>
      <c r="K620" s="1" t="s">
        <v>25</v>
      </c>
      <c r="L620" s="1" t="s">
        <v>26</v>
      </c>
      <c r="M620" s="1" t="s">
        <v>25</v>
      </c>
      <c r="N620" s="1" t="s">
        <v>25</v>
      </c>
      <c r="O620" s="1" t="s">
        <v>25</v>
      </c>
      <c r="P620" s="1" t="s">
        <v>25</v>
      </c>
      <c r="Q620" s="1" t="s">
        <v>25</v>
      </c>
      <c r="R620" s="85" t="str">
        <f t="shared" si="36"/>
        <v>5345918</v>
      </c>
      <c r="S620" t="str">
        <f>VLOOKUP(A620,Data_NV!$A:$C,3,0)</f>
        <v>Bùi Thị Kim Dung</v>
      </c>
      <c r="T620" t="str">
        <f>VLOOKUP(A620,Data_NV!$A:$E,4,0)</f>
        <v>Kinh doanh</v>
      </c>
      <c r="U620" s="82">
        <f>DATEVALUE(Table2[[#This Row],[Ngày]])</f>
        <v>45918</v>
      </c>
      <c r="V620" t="str">
        <f>VLOOKUP(A620,Data_NV!$A:$E,5,0)</f>
        <v>Đang làm việc</v>
      </c>
      <c r="W620" s="10">
        <f>VLOOKUP(A620,Data_NV!$A:$I,8,0)</f>
        <v>0.33333333333333331</v>
      </c>
      <c r="X620" s="10">
        <f>VLOOKUP(A620,Data_NV!$A:$I,9,0)</f>
        <v>0.70833333333333337</v>
      </c>
      <c r="Y620" s="10">
        <f>IFERROR(TIMEVALUE(Table2[[#This Row],[Vào]]),0)</f>
        <v>0.33268518518518519</v>
      </c>
      <c r="Z620" s="10">
        <f>IFERROR(TIMEVALUE(Table2[[#This Row],[Ra]]),0)</f>
        <v>0</v>
      </c>
      <c r="AA620" t="str">
        <f t="shared" si="37"/>
        <v>x</v>
      </c>
      <c r="AB620" s="105">
        <f t="shared" si="38"/>
        <v>0</v>
      </c>
      <c r="AC620" s="12" t="str">
        <f>IF(VLOOKUP(A620,Data_NV!$A:$I,7,0)="Không","",IF(OR(AND(Y620=0,Z620=0),AND(Y620&lt;&gt;0,Z620&lt;&gt;0)),"","Quên chấm công"))</f>
        <v/>
      </c>
      <c r="AD620" s="12">
        <f>IF(VLOOKUP(A620,Data_NV!$A:$I,7,0)="Không",0,IF(AND(Y620=0,Z620=0),0,IF(X620&lt;=Z620,0,ROUNDDOWN((X620-Z620)*24*60,0))))</f>
        <v>0</v>
      </c>
      <c r="AE620" s="12">
        <f>IF(VLOOKUP(A620,Data_NV!$A:$I,6,0)="Không",0,IF(Z620&lt;=X620,0,ROUNDDOWN((Z620-X620)*24*60,0)))</f>
        <v>0</v>
      </c>
      <c r="AF620" s="26">
        <f t="shared" si="39"/>
        <v>0</v>
      </c>
      <c r="AG620" s="27" t="str">
        <f>IF(AC620="","",IF(COUNTIFS($AC$3:AC620,"Quên chấm công",$S$3:S620,S620)&gt;3,"Không chấm công do vi phạm quá 3 lần",IF(COUNTIFS($AC$3:AC620,"Quên chấm công",$S$3:S620,S620)&gt;2,"Trừ toàn bộ chuyên cần tháng do vi phạm lần 3",IF(COUNTIFS($AC$3:AC620,"Quên chấm công",$S$3:S620,S620)&gt;1,"Trừ 1/2 ngày lương",50000))))</f>
        <v/>
      </c>
      <c r="AH620" s="12" t="str">
        <f>IF(AF620=0,"",IF(COUNTIFS($AF$3:AF620,"&gt;0",$S$3:S620,S620)&gt;3,"Trừ toàn bộ chuyên cần tháng",""))</f>
        <v/>
      </c>
      <c r="AI620" s="12"/>
    </row>
    <row r="621" spans="1:35" x14ac:dyDescent="0.25">
      <c r="A621" s="4" t="s">
        <v>939</v>
      </c>
      <c r="B621" s="1" t="s">
        <v>940</v>
      </c>
      <c r="C621" s="1" t="s">
        <v>20</v>
      </c>
      <c r="D621" s="1" t="s">
        <v>95</v>
      </c>
      <c r="E621" s="1" t="s">
        <v>22</v>
      </c>
      <c r="F621" s="1" t="s">
        <v>23</v>
      </c>
      <c r="G621" s="1" t="s">
        <v>12</v>
      </c>
      <c r="H621" s="1" t="s">
        <v>24</v>
      </c>
      <c r="I621" s="1" t="s">
        <v>24</v>
      </c>
      <c r="J621" s="1" t="s">
        <v>25</v>
      </c>
      <c r="K621" s="1" t="s">
        <v>25</v>
      </c>
      <c r="L621" s="1" t="s">
        <v>26</v>
      </c>
      <c r="M621" s="1" t="s">
        <v>25</v>
      </c>
      <c r="N621" s="1" t="s">
        <v>25</v>
      </c>
      <c r="O621" s="1" t="s">
        <v>25</v>
      </c>
      <c r="P621" s="1" t="s">
        <v>25</v>
      </c>
      <c r="Q621" s="1" t="s">
        <v>25</v>
      </c>
      <c r="R621" s="85" t="str">
        <f t="shared" si="36"/>
        <v>5345919</v>
      </c>
      <c r="S621" t="str">
        <f>VLOOKUP(A621,Data_NV!$A:$C,3,0)</f>
        <v>Bùi Thị Kim Dung</v>
      </c>
      <c r="T621" t="str">
        <f>VLOOKUP(A621,Data_NV!$A:$E,4,0)</f>
        <v>Kinh doanh</v>
      </c>
      <c r="U621" s="82">
        <f>DATEVALUE(Table2[[#This Row],[Ngày]])</f>
        <v>45919</v>
      </c>
      <c r="V621" t="str">
        <f>VLOOKUP(A621,Data_NV!$A:$E,5,0)</f>
        <v>Đang làm việc</v>
      </c>
      <c r="W621" s="10">
        <f>VLOOKUP(A621,Data_NV!$A:$I,8,0)</f>
        <v>0.33333333333333331</v>
      </c>
      <c r="X621" s="10">
        <f>VLOOKUP(A621,Data_NV!$A:$I,9,0)</f>
        <v>0.70833333333333337</v>
      </c>
      <c r="Y621" s="10">
        <f>IFERROR(TIMEVALUE(Table2[[#This Row],[Vào]]),0)</f>
        <v>0</v>
      </c>
      <c r="Z621" s="10">
        <f>IFERROR(TIMEVALUE(Table2[[#This Row],[Ra]]),0)</f>
        <v>0</v>
      </c>
      <c r="AA621" t="s">
        <v>1341</v>
      </c>
      <c r="AB621" s="105">
        <f t="shared" si="38"/>
        <v>0</v>
      </c>
      <c r="AC621" s="12" t="str">
        <f>IF(VLOOKUP(A621,Data_NV!$A:$I,7,0)="Không","",IF(OR(AND(Y621=0,Z621=0),AND(Y621&lt;&gt;0,Z621&lt;&gt;0)),"","Quên chấm công"))</f>
        <v/>
      </c>
      <c r="AD621" s="12">
        <f>IF(VLOOKUP(A621,Data_NV!$A:$I,7,0)="Không",0,IF(AND(Y621=0,Z621=0),0,IF(X621&lt;=Z621,0,ROUNDDOWN((X621-Z621)*24*60,0))))</f>
        <v>0</v>
      </c>
      <c r="AE621" s="12">
        <f>IF(VLOOKUP(A621,Data_NV!$A:$I,6,0)="Không",0,IF(Z621&lt;=X621,0,ROUNDDOWN((Z621-X621)*24*60,0)))</f>
        <v>0</v>
      </c>
      <c r="AF621" s="26">
        <f t="shared" si="39"/>
        <v>0</v>
      </c>
      <c r="AG621" s="27" t="str">
        <f>IF(AC621="","",IF(COUNTIFS($AC$3:AC621,"Quên chấm công",$S$3:S621,S621)&gt;3,"Không chấm công do vi phạm quá 3 lần",IF(COUNTIFS($AC$3:AC621,"Quên chấm công",$S$3:S621,S621)&gt;2,"Trừ toàn bộ chuyên cần tháng do vi phạm lần 3",IF(COUNTIFS($AC$3:AC621,"Quên chấm công",$S$3:S621,S621)&gt;1,"Trừ 1/2 ngày lương",50000))))</f>
        <v/>
      </c>
      <c r="AH621" s="12" t="str">
        <f>IF(AF621=0,"",IF(COUNTIFS($AF$3:AF621,"&gt;0",$S$3:S621,S621)&gt;3,"Trừ toàn bộ chuyên cần tháng",""))</f>
        <v/>
      </c>
      <c r="AI621" s="12" t="s">
        <v>1381</v>
      </c>
    </row>
    <row r="622" spans="1:35" x14ac:dyDescent="0.25">
      <c r="A622" s="4" t="s">
        <v>939</v>
      </c>
      <c r="B622" s="1" t="s">
        <v>940</v>
      </c>
      <c r="C622" s="1" t="s">
        <v>20</v>
      </c>
      <c r="D622" s="1" t="s">
        <v>100</v>
      </c>
      <c r="E622" s="1" t="s">
        <v>22</v>
      </c>
      <c r="F622" s="1" t="s">
        <v>23</v>
      </c>
      <c r="G622" s="1" t="s">
        <v>12</v>
      </c>
      <c r="H622" s="1" t="s">
        <v>952</v>
      </c>
      <c r="I622" s="1" t="s">
        <v>24</v>
      </c>
      <c r="J622" s="1" t="s">
        <v>25</v>
      </c>
      <c r="K622" s="1" t="s">
        <v>25</v>
      </c>
      <c r="L622" s="1" t="s">
        <v>26</v>
      </c>
      <c r="M622" s="1" t="s">
        <v>25</v>
      </c>
      <c r="N622" s="1" t="s">
        <v>25</v>
      </c>
      <c r="O622" s="1" t="s">
        <v>25</v>
      </c>
      <c r="P622" s="1" t="s">
        <v>25</v>
      </c>
      <c r="Q622" s="1" t="s">
        <v>25</v>
      </c>
      <c r="R622" s="85" t="str">
        <f t="shared" si="36"/>
        <v>5345920</v>
      </c>
      <c r="S622" t="str">
        <f>VLOOKUP(A622,Data_NV!$A:$C,3,0)</f>
        <v>Bùi Thị Kim Dung</v>
      </c>
      <c r="T622" t="str">
        <f>VLOOKUP(A622,Data_NV!$A:$E,4,0)</f>
        <v>Kinh doanh</v>
      </c>
      <c r="U622" s="82">
        <f>DATEVALUE(Table2[[#This Row],[Ngày]])</f>
        <v>45920</v>
      </c>
      <c r="V622" t="str">
        <f>VLOOKUP(A622,Data_NV!$A:$E,5,0)</f>
        <v>Đang làm việc</v>
      </c>
      <c r="W622" s="10">
        <f>VLOOKUP(A622,Data_NV!$A:$I,8,0)</f>
        <v>0.33333333333333331</v>
      </c>
      <c r="X622" s="10">
        <f>VLOOKUP(A622,Data_NV!$A:$I,9,0)</f>
        <v>0.70833333333333337</v>
      </c>
      <c r="Y622" s="10">
        <f>IFERROR(TIMEVALUE(Table2[[#This Row],[Vào]]),0)</f>
        <v>0.33155092592592594</v>
      </c>
      <c r="Z622" s="10">
        <f>IFERROR(TIMEVALUE(Table2[[#This Row],[Ra]]),0)</f>
        <v>0</v>
      </c>
      <c r="AA622" t="str">
        <f t="shared" si="37"/>
        <v>x</v>
      </c>
      <c r="AB622" s="105">
        <f t="shared" si="38"/>
        <v>0</v>
      </c>
      <c r="AC622" s="12" t="str">
        <f>IF(VLOOKUP(A622,Data_NV!$A:$I,7,0)="Không","",IF(OR(AND(Y622=0,Z622=0),AND(Y622&lt;&gt;0,Z622&lt;&gt;0)),"","Quên chấm công"))</f>
        <v/>
      </c>
      <c r="AD622" s="12">
        <f>IF(VLOOKUP(A622,Data_NV!$A:$I,7,0)="Không",0,IF(AND(Y622=0,Z622=0),0,IF(X622&lt;=Z622,0,ROUNDDOWN((X622-Z622)*24*60,0))))</f>
        <v>0</v>
      </c>
      <c r="AE622" s="12">
        <f>IF(VLOOKUP(A622,Data_NV!$A:$I,6,0)="Không",0,IF(Z622&lt;=X622,0,ROUNDDOWN((Z622-X622)*24*60,0)))</f>
        <v>0</v>
      </c>
      <c r="AF622" s="26">
        <f t="shared" si="39"/>
        <v>0</v>
      </c>
      <c r="AG622" s="27" t="str">
        <f>IF(AC622="","",IF(COUNTIFS($AC$3:AC622,"Quên chấm công",$S$3:S622,S622)&gt;3,"Không chấm công do vi phạm quá 3 lần",IF(COUNTIFS($AC$3:AC622,"Quên chấm công",$S$3:S622,S622)&gt;2,"Trừ toàn bộ chuyên cần tháng do vi phạm lần 3",IF(COUNTIFS($AC$3:AC622,"Quên chấm công",$S$3:S622,S622)&gt;1,"Trừ 1/2 ngày lương",50000))))</f>
        <v/>
      </c>
      <c r="AH622" s="12" t="str">
        <f>IF(AF622=0,"",IF(COUNTIFS($AF$3:AF622,"&gt;0",$S$3:S622,S622)&gt;3,"Trừ toàn bộ chuyên cần tháng",""))</f>
        <v/>
      </c>
      <c r="AI622" s="12"/>
    </row>
    <row r="623" spans="1:35" x14ac:dyDescent="0.25">
      <c r="A623" s="4" t="s">
        <v>939</v>
      </c>
      <c r="B623" s="1" t="s">
        <v>940</v>
      </c>
      <c r="C623" s="1" t="s">
        <v>20</v>
      </c>
      <c r="D623" s="1" t="s">
        <v>105</v>
      </c>
      <c r="E623" s="1" t="s">
        <v>22</v>
      </c>
      <c r="F623" s="1" t="s">
        <v>23</v>
      </c>
      <c r="G623" s="1" t="s">
        <v>12</v>
      </c>
      <c r="H623" s="1" t="s">
        <v>24</v>
      </c>
      <c r="I623" s="1" t="s">
        <v>24</v>
      </c>
      <c r="J623" s="1" t="s">
        <v>25</v>
      </c>
      <c r="K623" s="1" t="s">
        <v>25</v>
      </c>
      <c r="L623" s="1" t="s">
        <v>26</v>
      </c>
      <c r="M623" s="1" t="s">
        <v>25</v>
      </c>
      <c r="N623" s="1" t="s">
        <v>25</v>
      </c>
      <c r="O623" s="1" t="s">
        <v>25</v>
      </c>
      <c r="P623" s="1" t="s">
        <v>25</v>
      </c>
      <c r="Q623" s="1" t="s">
        <v>25</v>
      </c>
      <c r="R623" s="85" t="str">
        <f t="shared" si="36"/>
        <v>5345921</v>
      </c>
      <c r="S623" t="str">
        <f>VLOOKUP(A623,Data_NV!$A:$C,3,0)</f>
        <v>Bùi Thị Kim Dung</v>
      </c>
      <c r="T623" t="str">
        <f>VLOOKUP(A623,Data_NV!$A:$E,4,0)</f>
        <v>Kinh doanh</v>
      </c>
      <c r="U623" s="82">
        <f>DATEVALUE(Table2[[#This Row],[Ngày]])</f>
        <v>45921</v>
      </c>
      <c r="V623" t="str">
        <f>VLOOKUP(A623,Data_NV!$A:$E,5,0)</f>
        <v>Đang làm việc</v>
      </c>
      <c r="W623" s="10">
        <f>VLOOKUP(A623,Data_NV!$A:$I,8,0)</f>
        <v>0.33333333333333331</v>
      </c>
      <c r="X623" s="10">
        <f>VLOOKUP(A623,Data_NV!$A:$I,9,0)</f>
        <v>0.70833333333333337</v>
      </c>
      <c r="Y623" s="10">
        <f>IFERROR(TIMEVALUE(Table2[[#This Row],[Vào]]),0)</f>
        <v>0</v>
      </c>
      <c r="Z623" s="10">
        <f>IFERROR(TIMEVALUE(Table2[[#This Row],[Ra]]),0)</f>
        <v>0</v>
      </c>
      <c r="AA623" t="str">
        <f t="shared" si="37"/>
        <v>Chủ nhật</v>
      </c>
      <c r="AB623" s="105">
        <f t="shared" si="38"/>
        <v>0</v>
      </c>
      <c r="AC623" s="12" t="str">
        <f>IF(VLOOKUP(A623,Data_NV!$A:$I,7,0)="Không","",IF(OR(AND(Y623=0,Z623=0),AND(Y623&lt;&gt;0,Z623&lt;&gt;0)),"","Quên chấm công"))</f>
        <v/>
      </c>
      <c r="AD623" s="12">
        <f>IF(VLOOKUP(A623,Data_NV!$A:$I,7,0)="Không",0,IF(AND(Y623=0,Z623=0),0,IF(X623&lt;=Z623,0,ROUNDDOWN((X623-Z623)*24*60,0))))</f>
        <v>0</v>
      </c>
      <c r="AE623" s="12">
        <f>IF(VLOOKUP(A623,Data_NV!$A:$I,6,0)="Không",0,IF(Z623&lt;=X623,0,ROUNDDOWN((Z623-X623)*24*60,0)))</f>
        <v>0</v>
      </c>
      <c r="AF623" s="26">
        <f t="shared" si="39"/>
        <v>0</v>
      </c>
      <c r="AG623" s="27" t="str">
        <f>IF(AC623="","",IF(COUNTIFS($AC$3:AC623,"Quên chấm công",$S$3:S623,S623)&gt;3,"Không chấm công do vi phạm quá 3 lần",IF(COUNTIFS($AC$3:AC623,"Quên chấm công",$S$3:S623,S623)&gt;2,"Trừ toàn bộ chuyên cần tháng do vi phạm lần 3",IF(COUNTIFS($AC$3:AC623,"Quên chấm công",$S$3:S623,S623)&gt;1,"Trừ 1/2 ngày lương",50000))))</f>
        <v/>
      </c>
      <c r="AH623" s="12" t="str">
        <f>IF(AF623=0,"",IF(COUNTIFS($AF$3:AF623,"&gt;0",$S$3:S623,S623)&gt;3,"Trừ toàn bộ chuyên cần tháng",""))</f>
        <v/>
      </c>
      <c r="AI623" s="12"/>
    </row>
    <row r="624" spans="1:35" x14ac:dyDescent="0.25">
      <c r="A624" s="4" t="s">
        <v>939</v>
      </c>
      <c r="B624" s="1" t="s">
        <v>940</v>
      </c>
      <c r="C624" s="1" t="s">
        <v>20</v>
      </c>
      <c r="D624" s="1" t="s">
        <v>106</v>
      </c>
      <c r="E624" s="1" t="s">
        <v>22</v>
      </c>
      <c r="F624" s="1" t="s">
        <v>23</v>
      </c>
      <c r="G624" s="1" t="s">
        <v>12</v>
      </c>
      <c r="H624" s="1" t="s">
        <v>953</v>
      </c>
      <c r="I624" s="1" t="s">
        <v>24</v>
      </c>
      <c r="J624" s="1" t="s">
        <v>887</v>
      </c>
      <c r="K624" s="1" t="s">
        <v>25</v>
      </c>
      <c r="L624" s="1" t="s">
        <v>26</v>
      </c>
      <c r="M624" s="1" t="s">
        <v>25</v>
      </c>
      <c r="N624" s="1" t="s">
        <v>25</v>
      </c>
      <c r="O624" s="1" t="s">
        <v>25</v>
      </c>
      <c r="P624" s="1" t="s">
        <v>25</v>
      </c>
      <c r="Q624" s="1" t="s">
        <v>25</v>
      </c>
      <c r="R624" s="85" t="str">
        <f t="shared" si="36"/>
        <v>5345922</v>
      </c>
      <c r="S624" t="str">
        <f>VLOOKUP(A624,Data_NV!$A:$C,3,0)</f>
        <v>Bùi Thị Kim Dung</v>
      </c>
      <c r="T624" t="str">
        <f>VLOOKUP(A624,Data_NV!$A:$E,4,0)</f>
        <v>Kinh doanh</v>
      </c>
      <c r="U624" s="82">
        <f>DATEVALUE(Table2[[#This Row],[Ngày]])</f>
        <v>45922</v>
      </c>
      <c r="V624" t="str">
        <f>VLOOKUP(A624,Data_NV!$A:$E,5,0)</f>
        <v>Đang làm việc</v>
      </c>
      <c r="W624" s="10">
        <f>VLOOKUP(A624,Data_NV!$A:$I,8,0)</f>
        <v>0.33333333333333331</v>
      </c>
      <c r="X624" s="10">
        <f>VLOOKUP(A624,Data_NV!$A:$I,9,0)</f>
        <v>0.70833333333333337</v>
      </c>
      <c r="Y624" s="10">
        <f>IFERROR(TIMEVALUE(Table2[[#This Row],[Vào]]),0)</f>
        <v>0.34513888888888888</v>
      </c>
      <c r="Z624" s="10">
        <f>IFERROR(TIMEVALUE(Table2[[#This Row],[Ra]]),0)</f>
        <v>0</v>
      </c>
      <c r="AA624" t="str">
        <f t="shared" si="37"/>
        <v>x</v>
      </c>
      <c r="AB624" s="105">
        <f t="shared" si="38"/>
        <v>17.000000000000021</v>
      </c>
      <c r="AC624" s="12" t="str">
        <f>IF(VLOOKUP(A624,Data_NV!$A:$I,7,0)="Không","",IF(OR(AND(Y624=0,Z624=0),AND(Y624&lt;&gt;0,Z624&lt;&gt;0)),"","Quên chấm công"))</f>
        <v/>
      </c>
      <c r="AD624" s="12">
        <f>IF(VLOOKUP(A624,Data_NV!$A:$I,7,0)="Không",0,IF(AND(Y624=0,Z624=0),0,IF(X624&lt;=Z624,0,ROUNDDOWN((X624-Z624)*24*60,0))))</f>
        <v>0</v>
      </c>
      <c r="AE624" s="12">
        <f>IF(VLOOKUP(A624,Data_NV!$A:$I,6,0)="Không",0,IF(Z624&lt;=X624,0,ROUNDDOWN((Z624-X624)*24*60,0)))</f>
        <v>0</v>
      </c>
      <c r="AF624" s="26">
        <f t="shared" si="39"/>
        <v>50000</v>
      </c>
      <c r="AG624" s="27" t="str">
        <f>IF(AC624="","",IF(COUNTIFS($AC$3:AC624,"Quên chấm công",$S$3:S624,S624)&gt;3,"Không chấm công do vi phạm quá 3 lần",IF(COUNTIFS($AC$3:AC624,"Quên chấm công",$S$3:S624,S624)&gt;2,"Trừ toàn bộ chuyên cần tháng do vi phạm lần 3",IF(COUNTIFS($AC$3:AC624,"Quên chấm công",$S$3:S624,S624)&gt;1,"Trừ 1/2 ngày lương",50000))))</f>
        <v/>
      </c>
      <c r="AH624" s="12"/>
      <c r="AI624" s="12"/>
    </row>
    <row r="625" spans="1:35" x14ac:dyDescent="0.25">
      <c r="A625" s="4" t="s">
        <v>939</v>
      </c>
      <c r="B625" s="1" t="s">
        <v>940</v>
      </c>
      <c r="C625" s="1" t="s">
        <v>20</v>
      </c>
      <c r="D625" s="1" t="s">
        <v>111</v>
      </c>
      <c r="E625" s="1" t="s">
        <v>22</v>
      </c>
      <c r="F625" s="1" t="s">
        <v>23</v>
      </c>
      <c r="G625" s="1" t="s">
        <v>12</v>
      </c>
      <c r="H625" s="1" t="s">
        <v>954</v>
      </c>
      <c r="I625" s="1" t="s">
        <v>24</v>
      </c>
      <c r="J625" s="1" t="s">
        <v>177</v>
      </c>
      <c r="K625" s="1" t="s">
        <v>25</v>
      </c>
      <c r="L625" s="1" t="s">
        <v>26</v>
      </c>
      <c r="M625" s="1" t="s">
        <v>25</v>
      </c>
      <c r="N625" s="1" t="s">
        <v>25</v>
      </c>
      <c r="O625" s="1" t="s">
        <v>25</v>
      </c>
      <c r="P625" s="1" t="s">
        <v>25</v>
      </c>
      <c r="Q625" s="1" t="s">
        <v>25</v>
      </c>
      <c r="R625" s="85" t="str">
        <f t="shared" si="36"/>
        <v>5345923</v>
      </c>
      <c r="S625" t="str">
        <f>VLOOKUP(A625,Data_NV!$A:$C,3,0)</f>
        <v>Bùi Thị Kim Dung</v>
      </c>
      <c r="T625" t="str">
        <f>VLOOKUP(A625,Data_NV!$A:$E,4,0)</f>
        <v>Kinh doanh</v>
      </c>
      <c r="U625" s="82">
        <f>DATEVALUE(Table2[[#This Row],[Ngày]])</f>
        <v>45923</v>
      </c>
      <c r="V625" t="str">
        <f>VLOOKUP(A625,Data_NV!$A:$E,5,0)</f>
        <v>Đang làm việc</v>
      </c>
      <c r="W625" s="10">
        <f>VLOOKUP(A625,Data_NV!$A:$I,8,0)</f>
        <v>0.33333333333333331</v>
      </c>
      <c r="X625" s="10">
        <f>VLOOKUP(A625,Data_NV!$A:$I,9,0)</f>
        <v>0.70833333333333337</v>
      </c>
      <c r="Y625" s="10">
        <f>IFERROR(TIMEVALUE(Table2[[#This Row],[Vào]]),0)</f>
        <v>0.33783564814814815</v>
      </c>
      <c r="Z625" s="10">
        <f>IFERROR(TIMEVALUE(Table2[[#This Row],[Ra]]),0)</f>
        <v>0</v>
      </c>
      <c r="AA625" t="str">
        <f t="shared" si="37"/>
        <v>x</v>
      </c>
      <c r="AB625" s="105">
        <f t="shared" si="38"/>
        <v>6.4833333333333609</v>
      </c>
      <c r="AC625" s="12" t="str">
        <f>IF(VLOOKUP(A625,Data_NV!$A:$I,7,0)="Không","",IF(OR(AND(Y625=0,Z625=0),AND(Y625&lt;&gt;0,Z625&lt;&gt;0)),"","Quên chấm công"))</f>
        <v/>
      </c>
      <c r="AD625" s="12">
        <f>IF(VLOOKUP(A625,Data_NV!$A:$I,7,0)="Không",0,IF(AND(Y625=0,Z625=0),0,IF(X625&lt;=Z625,0,ROUNDDOWN((X625-Z625)*24*60,0))))</f>
        <v>0</v>
      </c>
      <c r="AE625" s="12">
        <f>IF(VLOOKUP(A625,Data_NV!$A:$I,6,0)="Không",0,IF(Z625&lt;=X625,0,ROUNDDOWN((Z625-X625)*24*60,0)))</f>
        <v>0</v>
      </c>
      <c r="AF625" s="26">
        <f t="shared" si="39"/>
        <v>30000</v>
      </c>
      <c r="AG625" s="27" t="str">
        <f>IF(AC625="","",IF(COUNTIFS($AC$3:AC625,"Quên chấm công",$S$3:S625,S625)&gt;3,"Không chấm công do vi phạm quá 3 lần",IF(COUNTIFS($AC$3:AC625,"Quên chấm công",$S$3:S625,S625)&gt;2,"Trừ toàn bộ chuyên cần tháng do vi phạm lần 3",IF(COUNTIFS($AC$3:AC625,"Quên chấm công",$S$3:S625,S625)&gt;1,"Trừ 1/2 ngày lương",50000))))</f>
        <v/>
      </c>
      <c r="AH625" s="12" t="str">
        <f>IF(AF625=0,"",IF(COUNTIFS($AF$3:AF625,"&gt;0",$S$3:S625,S625)&gt;3,"Trừ toàn bộ chuyên cần tháng",""))</f>
        <v>Trừ toàn bộ chuyên cần tháng</v>
      </c>
      <c r="AI625" s="12"/>
    </row>
    <row r="626" spans="1:35" x14ac:dyDescent="0.25">
      <c r="A626" s="4" t="s">
        <v>939</v>
      </c>
      <c r="B626" s="1" t="s">
        <v>940</v>
      </c>
      <c r="C626" s="1" t="s">
        <v>20</v>
      </c>
      <c r="D626" s="1" t="s">
        <v>116</v>
      </c>
      <c r="E626" s="1" t="s">
        <v>22</v>
      </c>
      <c r="F626" s="1" t="s">
        <v>23</v>
      </c>
      <c r="G626" s="1" t="s">
        <v>12</v>
      </c>
      <c r="H626" s="1" t="s">
        <v>955</v>
      </c>
      <c r="I626" s="1" t="s">
        <v>24</v>
      </c>
      <c r="J626" s="1" t="s">
        <v>25</v>
      </c>
      <c r="K626" s="1" t="s">
        <v>25</v>
      </c>
      <c r="L626" s="1" t="s">
        <v>26</v>
      </c>
      <c r="M626" s="1" t="s">
        <v>25</v>
      </c>
      <c r="N626" s="1" t="s">
        <v>25</v>
      </c>
      <c r="O626" s="1" t="s">
        <v>25</v>
      </c>
      <c r="P626" s="1" t="s">
        <v>25</v>
      </c>
      <c r="Q626" s="1" t="s">
        <v>25</v>
      </c>
      <c r="R626" s="85" t="str">
        <f t="shared" si="36"/>
        <v>5345924</v>
      </c>
      <c r="S626" t="str">
        <f>VLOOKUP(A626,Data_NV!$A:$C,3,0)</f>
        <v>Bùi Thị Kim Dung</v>
      </c>
      <c r="T626" t="str">
        <f>VLOOKUP(A626,Data_NV!$A:$E,4,0)</f>
        <v>Kinh doanh</v>
      </c>
      <c r="U626" s="82">
        <f>DATEVALUE(Table2[[#This Row],[Ngày]])</f>
        <v>45924</v>
      </c>
      <c r="V626" t="str">
        <f>VLOOKUP(A626,Data_NV!$A:$E,5,0)</f>
        <v>Đang làm việc</v>
      </c>
      <c r="W626" s="10">
        <f>VLOOKUP(A626,Data_NV!$A:$I,8,0)</f>
        <v>0.33333333333333331</v>
      </c>
      <c r="X626" s="10">
        <f>VLOOKUP(A626,Data_NV!$A:$I,9,0)</f>
        <v>0.70833333333333337</v>
      </c>
      <c r="Y626" s="10">
        <f>IFERROR(TIMEVALUE(Table2[[#This Row],[Vào]]),0)</f>
        <v>0.33362268518518517</v>
      </c>
      <c r="Z626" s="10">
        <f>IFERROR(TIMEVALUE(Table2[[#This Row],[Ra]]),0)</f>
        <v>0</v>
      </c>
      <c r="AA626" t="str">
        <f t="shared" si="37"/>
        <v>x</v>
      </c>
      <c r="AB626" s="105">
        <f t="shared" si="38"/>
        <v>0.41666666666667851</v>
      </c>
      <c r="AC626" s="12" t="str">
        <f>IF(VLOOKUP(A626,Data_NV!$A:$I,7,0)="Không","",IF(OR(AND(Y626=0,Z626=0),AND(Y626&lt;&gt;0,Z626&lt;&gt;0)),"","Quên chấm công"))</f>
        <v/>
      </c>
      <c r="AD626" s="12">
        <f>IF(VLOOKUP(A626,Data_NV!$A:$I,7,0)="Không",0,IF(AND(Y626=0,Z626=0),0,IF(X626&lt;=Z626,0,ROUNDDOWN((X626-Z626)*24*60,0))))</f>
        <v>0</v>
      </c>
      <c r="AE626" s="12">
        <f>IF(VLOOKUP(A626,Data_NV!$A:$I,6,0)="Không",0,IF(Z626&lt;=X626,0,ROUNDDOWN((Z626-X626)*24*60,0)))</f>
        <v>0</v>
      </c>
      <c r="AF626" s="26">
        <f t="shared" si="39"/>
        <v>0</v>
      </c>
      <c r="AG626" s="27" t="str">
        <f>IF(AC626="","",IF(COUNTIFS($AC$3:AC626,"Quên chấm công",$S$3:S626,S626)&gt;3,"Không chấm công do vi phạm quá 3 lần",IF(COUNTIFS($AC$3:AC626,"Quên chấm công",$S$3:S626,S626)&gt;2,"Trừ toàn bộ chuyên cần tháng do vi phạm lần 3",IF(COUNTIFS($AC$3:AC626,"Quên chấm công",$S$3:S626,S626)&gt;1,"Trừ 1/2 ngày lương",50000))))</f>
        <v/>
      </c>
      <c r="AH626" s="12" t="str">
        <f>IF(AF626=0,"",IF(COUNTIFS($AF$3:AF626,"&gt;0",$S$3:S626,S626)&gt;3,"Trừ toàn bộ chuyên cần tháng",""))</f>
        <v/>
      </c>
      <c r="AI626" s="12"/>
    </row>
    <row r="627" spans="1:35" x14ac:dyDescent="0.25">
      <c r="A627" s="4" t="s">
        <v>939</v>
      </c>
      <c r="B627" s="1" t="s">
        <v>940</v>
      </c>
      <c r="C627" s="1" t="s">
        <v>20</v>
      </c>
      <c r="D627" s="1" t="s">
        <v>121</v>
      </c>
      <c r="E627" s="1" t="s">
        <v>22</v>
      </c>
      <c r="F627" s="1" t="s">
        <v>23</v>
      </c>
      <c r="G627" s="1" t="s">
        <v>12</v>
      </c>
      <c r="H627" s="1" t="s">
        <v>266</v>
      </c>
      <c r="I627" s="1" t="s">
        <v>24</v>
      </c>
      <c r="J627" s="1" t="s">
        <v>25</v>
      </c>
      <c r="K627" s="1" t="s">
        <v>25</v>
      </c>
      <c r="L627" s="1" t="s">
        <v>26</v>
      </c>
      <c r="M627" s="1" t="s">
        <v>25</v>
      </c>
      <c r="N627" s="1" t="s">
        <v>25</v>
      </c>
      <c r="O627" s="1" t="s">
        <v>25</v>
      </c>
      <c r="P627" s="1" t="s">
        <v>25</v>
      </c>
      <c r="Q627" s="1" t="s">
        <v>25</v>
      </c>
      <c r="R627" s="85" t="str">
        <f t="shared" si="36"/>
        <v>5345925</v>
      </c>
      <c r="S627" t="str">
        <f>VLOOKUP(A627,Data_NV!$A:$C,3,0)</f>
        <v>Bùi Thị Kim Dung</v>
      </c>
      <c r="T627" t="str">
        <f>VLOOKUP(A627,Data_NV!$A:$E,4,0)</f>
        <v>Kinh doanh</v>
      </c>
      <c r="U627" s="82">
        <f>DATEVALUE(Table2[[#This Row],[Ngày]])</f>
        <v>45925</v>
      </c>
      <c r="V627" t="str">
        <f>VLOOKUP(A627,Data_NV!$A:$E,5,0)</f>
        <v>Đang làm việc</v>
      </c>
      <c r="W627" s="10">
        <f>VLOOKUP(A627,Data_NV!$A:$I,8,0)</f>
        <v>0.33333333333333331</v>
      </c>
      <c r="X627" s="10">
        <f>VLOOKUP(A627,Data_NV!$A:$I,9,0)</f>
        <v>0.70833333333333337</v>
      </c>
      <c r="Y627" s="10">
        <f>IFERROR(TIMEVALUE(Table2[[#This Row],[Vào]]),0)</f>
        <v>0.32844907407407409</v>
      </c>
      <c r="Z627" s="10">
        <f>IFERROR(TIMEVALUE(Table2[[#This Row],[Ra]]),0)</f>
        <v>0</v>
      </c>
      <c r="AA627" t="str">
        <f t="shared" si="37"/>
        <v>x</v>
      </c>
      <c r="AB627" s="105">
        <f t="shared" si="38"/>
        <v>0</v>
      </c>
      <c r="AC627" s="12" t="str">
        <f>IF(VLOOKUP(A627,Data_NV!$A:$I,7,0)="Không","",IF(OR(AND(Y627=0,Z627=0),AND(Y627&lt;&gt;0,Z627&lt;&gt;0)),"","Quên chấm công"))</f>
        <v/>
      </c>
      <c r="AD627" s="12">
        <f>IF(VLOOKUP(A627,Data_NV!$A:$I,7,0)="Không",0,IF(AND(Y627=0,Z627=0),0,IF(X627&lt;=Z627,0,ROUNDDOWN((X627-Z627)*24*60,0))))</f>
        <v>0</v>
      </c>
      <c r="AE627" s="12">
        <f>IF(VLOOKUP(A627,Data_NV!$A:$I,6,0)="Không",0,IF(Z627&lt;=X627,0,ROUNDDOWN((Z627-X627)*24*60,0)))</f>
        <v>0</v>
      </c>
      <c r="AF627" s="26">
        <f t="shared" si="39"/>
        <v>0</v>
      </c>
      <c r="AG627" s="27" t="str">
        <f>IF(AC627="","",IF(COUNTIFS($AC$3:AC627,"Quên chấm công",$S$3:S627,S627)&gt;3,"Không chấm công do vi phạm quá 3 lần",IF(COUNTIFS($AC$3:AC627,"Quên chấm công",$S$3:S627,S627)&gt;2,"Trừ toàn bộ chuyên cần tháng do vi phạm lần 3",IF(COUNTIFS($AC$3:AC627,"Quên chấm công",$S$3:S627,S627)&gt;1,"Trừ 1/2 ngày lương",50000))))</f>
        <v/>
      </c>
      <c r="AH627" s="12" t="str">
        <f>IF(AF627=0,"",IF(COUNTIFS($AF$3:AF627,"&gt;0",$S$3:S627,S627)&gt;3,"Trừ toàn bộ chuyên cần tháng",""))</f>
        <v/>
      </c>
      <c r="AI627" s="12"/>
    </row>
    <row r="628" spans="1:35" x14ac:dyDescent="0.25">
      <c r="A628" s="4" t="s">
        <v>939</v>
      </c>
      <c r="B628" s="1" t="s">
        <v>940</v>
      </c>
      <c r="C628" s="1" t="s">
        <v>20</v>
      </c>
      <c r="D628" s="1" t="s">
        <v>123</v>
      </c>
      <c r="E628" s="1" t="s">
        <v>22</v>
      </c>
      <c r="F628" s="1" t="s">
        <v>23</v>
      </c>
      <c r="G628" s="1" t="s">
        <v>12</v>
      </c>
      <c r="H628" s="1" t="s">
        <v>956</v>
      </c>
      <c r="I628" s="1" t="s">
        <v>24</v>
      </c>
      <c r="J628" s="1" t="s">
        <v>25</v>
      </c>
      <c r="K628" s="1" t="s">
        <v>25</v>
      </c>
      <c r="L628" s="1" t="s">
        <v>26</v>
      </c>
      <c r="M628" s="1" t="s">
        <v>25</v>
      </c>
      <c r="N628" s="1" t="s">
        <v>25</v>
      </c>
      <c r="O628" s="1" t="s">
        <v>25</v>
      </c>
      <c r="P628" s="1" t="s">
        <v>25</v>
      </c>
      <c r="Q628" s="1" t="s">
        <v>25</v>
      </c>
      <c r="R628" s="85" t="str">
        <f t="shared" si="36"/>
        <v>5345926</v>
      </c>
      <c r="S628" t="str">
        <f>VLOOKUP(A628,Data_NV!$A:$C,3,0)</f>
        <v>Bùi Thị Kim Dung</v>
      </c>
      <c r="T628" t="str">
        <f>VLOOKUP(A628,Data_NV!$A:$E,4,0)</f>
        <v>Kinh doanh</v>
      </c>
      <c r="U628" s="82">
        <f>DATEVALUE(Table2[[#This Row],[Ngày]])</f>
        <v>45926</v>
      </c>
      <c r="V628" t="str">
        <f>VLOOKUP(A628,Data_NV!$A:$E,5,0)</f>
        <v>Đang làm việc</v>
      </c>
      <c r="W628" s="10">
        <f>VLOOKUP(A628,Data_NV!$A:$I,8,0)</f>
        <v>0.33333333333333331</v>
      </c>
      <c r="X628" s="10">
        <f>VLOOKUP(A628,Data_NV!$A:$I,9,0)</f>
        <v>0.70833333333333337</v>
      </c>
      <c r="Y628" s="10">
        <f>IFERROR(TIMEVALUE(Table2[[#This Row],[Vào]]),0)</f>
        <v>0.32976851851851852</v>
      </c>
      <c r="Z628" s="10">
        <f>IFERROR(TIMEVALUE(Table2[[#This Row],[Ra]]),0)</f>
        <v>0</v>
      </c>
      <c r="AA628" t="str">
        <f t="shared" si="37"/>
        <v>x</v>
      </c>
      <c r="AB628" s="105">
        <f t="shared" si="38"/>
        <v>0</v>
      </c>
      <c r="AC628" s="12" t="str">
        <f>IF(VLOOKUP(A628,Data_NV!$A:$I,7,0)="Không","",IF(OR(AND(Y628=0,Z628=0),AND(Y628&lt;&gt;0,Z628&lt;&gt;0)),"","Quên chấm công"))</f>
        <v/>
      </c>
      <c r="AD628" s="12">
        <f>IF(VLOOKUP(A628,Data_NV!$A:$I,7,0)="Không",0,IF(AND(Y628=0,Z628=0),0,IF(X628&lt;=Z628,0,ROUNDDOWN((X628-Z628)*24*60,0))))</f>
        <v>0</v>
      </c>
      <c r="AE628" s="12">
        <f>IF(VLOOKUP(A628,Data_NV!$A:$I,6,0)="Không",0,IF(Z628&lt;=X628,0,ROUNDDOWN((Z628-X628)*24*60,0)))</f>
        <v>0</v>
      </c>
      <c r="AF628" s="26">
        <f t="shared" si="39"/>
        <v>0</v>
      </c>
      <c r="AG628" s="27" t="str">
        <f>IF(AC628="","",IF(COUNTIFS($AC$3:AC628,"Quên chấm công",$S$3:S628,S628)&gt;3,"Không chấm công do vi phạm quá 3 lần",IF(COUNTIFS($AC$3:AC628,"Quên chấm công",$S$3:S628,S628)&gt;2,"Trừ toàn bộ chuyên cần tháng do vi phạm lần 3",IF(COUNTIFS($AC$3:AC628,"Quên chấm công",$S$3:S628,S628)&gt;1,"Trừ 1/2 ngày lương",50000))))</f>
        <v/>
      </c>
      <c r="AH628" s="12" t="str">
        <f>IF(AF628=0,"",IF(COUNTIFS($AF$3:AF628,"&gt;0",$S$3:S628,S628)&gt;3,"Trừ toàn bộ chuyên cần tháng",""))</f>
        <v/>
      </c>
      <c r="AI628" s="12"/>
    </row>
    <row r="629" spans="1:35" x14ac:dyDescent="0.25">
      <c r="A629" s="4" t="s">
        <v>939</v>
      </c>
      <c r="B629" s="1" t="s">
        <v>940</v>
      </c>
      <c r="C629" s="1" t="s">
        <v>20</v>
      </c>
      <c r="D629" s="1" t="s">
        <v>125</v>
      </c>
      <c r="E629" s="1" t="s">
        <v>22</v>
      </c>
      <c r="F629" s="1" t="s">
        <v>23</v>
      </c>
      <c r="G629" s="1" t="s">
        <v>12</v>
      </c>
      <c r="H629" s="1" t="s">
        <v>957</v>
      </c>
      <c r="I629" s="1" t="s">
        <v>24</v>
      </c>
      <c r="J629" s="1" t="s">
        <v>25</v>
      </c>
      <c r="K629" s="1" t="s">
        <v>25</v>
      </c>
      <c r="L629" s="1" t="s">
        <v>26</v>
      </c>
      <c r="M629" s="1" t="s">
        <v>25</v>
      </c>
      <c r="N629" s="1" t="s">
        <v>25</v>
      </c>
      <c r="O629" s="1" t="s">
        <v>25</v>
      </c>
      <c r="P629" s="1" t="s">
        <v>25</v>
      </c>
      <c r="Q629" s="1" t="s">
        <v>25</v>
      </c>
      <c r="R629" s="85" t="str">
        <f t="shared" si="36"/>
        <v>5345927</v>
      </c>
      <c r="S629" t="str">
        <f>VLOOKUP(A629,Data_NV!$A:$C,3,0)</f>
        <v>Bùi Thị Kim Dung</v>
      </c>
      <c r="T629" t="str">
        <f>VLOOKUP(A629,Data_NV!$A:$E,4,0)</f>
        <v>Kinh doanh</v>
      </c>
      <c r="U629" s="82">
        <f>DATEVALUE(Table2[[#This Row],[Ngày]])</f>
        <v>45927</v>
      </c>
      <c r="V629" t="str">
        <f>VLOOKUP(A629,Data_NV!$A:$E,5,0)</f>
        <v>Đang làm việc</v>
      </c>
      <c r="W629" s="10">
        <f>VLOOKUP(A629,Data_NV!$A:$I,8,0)</f>
        <v>0.33333333333333331</v>
      </c>
      <c r="X629" s="10">
        <f>VLOOKUP(A629,Data_NV!$A:$I,9,0)</f>
        <v>0.70833333333333337</v>
      </c>
      <c r="Y629" s="10">
        <f>IFERROR(TIMEVALUE(Table2[[#This Row],[Vào]]),0)</f>
        <v>0.33165509259259257</v>
      </c>
      <c r="Z629" s="10">
        <f>IFERROR(TIMEVALUE(Table2[[#This Row],[Ra]]),0)</f>
        <v>0</v>
      </c>
      <c r="AA629" t="str">
        <f t="shared" si="37"/>
        <v>x</v>
      </c>
      <c r="AB629" s="105">
        <f t="shared" si="38"/>
        <v>0</v>
      </c>
      <c r="AC629" s="12" t="str">
        <f>IF(VLOOKUP(A629,Data_NV!$A:$I,7,0)="Không","",IF(OR(AND(Y629=0,Z629=0),AND(Y629&lt;&gt;0,Z629&lt;&gt;0)),"","Quên chấm công"))</f>
        <v/>
      </c>
      <c r="AD629" s="12">
        <f>IF(VLOOKUP(A629,Data_NV!$A:$I,7,0)="Không",0,IF(AND(Y629=0,Z629=0),0,IF(X629&lt;=Z629,0,ROUNDDOWN((X629-Z629)*24*60,0))))</f>
        <v>0</v>
      </c>
      <c r="AE629" s="12">
        <f>IF(VLOOKUP(A629,Data_NV!$A:$I,6,0)="Không",0,IF(Z629&lt;=X629,0,ROUNDDOWN((Z629-X629)*24*60,0)))</f>
        <v>0</v>
      </c>
      <c r="AF629" s="26">
        <f t="shared" si="39"/>
        <v>0</v>
      </c>
      <c r="AG629" s="27" t="str">
        <f>IF(AC629="","",IF(COUNTIFS($AC$3:AC629,"Quên chấm công",$S$3:S629,S629)&gt;3,"Không chấm công do vi phạm quá 3 lần",IF(COUNTIFS($AC$3:AC629,"Quên chấm công",$S$3:S629,S629)&gt;2,"Trừ toàn bộ chuyên cần tháng do vi phạm lần 3",IF(COUNTIFS($AC$3:AC629,"Quên chấm công",$S$3:S629,S629)&gt;1,"Trừ 1/2 ngày lương",50000))))</f>
        <v/>
      </c>
      <c r="AH629" s="12" t="str">
        <f>IF(AF629=0,"",IF(COUNTIFS($AF$3:AF629,"&gt;0",$S$3:S629,S629)&gt;3,"Trừ toàn bộ chuyên cần tháng",""))</f>
        <v/>
      </c>
      <c r="AI629" s="12"/>
    </row>
    <row r="630" spans="1:35" x14ac:dyDescent="0.25">
      <c r="A630" s="4" t="s">
        <v>939</v>
      </c>
      <c r="B630" s="1" t="s">
        <v>940</v>
      </c>
      <c r="C630" s="1" t="s">
        <v>20</v>
      </c>
      <c r="D630" s="1" t="s">
        <v>130</v>
      </c>
      <c r="E630" s="1" t="s">
        <v>22</v>
      </c>
      <c r="F630" s="1" t="s">
        <v>23</v>
      </c>
      <c r="G630" s="1" t="s">
        <v>12</v>
      </c>
      <c r="H630" s="1" t="s">
        <v>24</v>
      </c>
      <c r="I630" s="1" t="s">
        <v>24</v>
      </c>
      <c r="J630" s="1" t="s">
        <v>25</v>
      </c>
      <c r="K630" s="1" t="s">
        <v>25</v>
      </c>
      <c r="L630" s="1" t="s">
        <v>26</v>
      </c>
      <c r="M630" s="1" t="s">
        <v>25</v>
      </c>
      <c r="N630" s="1" t="s">
        <v>25</v>
      </c>
      <c r="O630" s="1" t="s">
        <v>25</v>
      </c>
      <c r="P630" s="1" t="s">
        <v>25</v>
      </c>
      <c r="Q630" s="1" t="s">
        <v>25</v>
      </c>
      <c r="R630" s="85" t="str">
        <f t="shared" si="36"/>
        <v>5345928</v>
      </c>
      <c r="S630" t="str">
        <f>VLOOKUP(A630,Data_NV!$A:$C,3,0)</f>
        <v>Bùi Thị Kim Dung</v>
      </c>
      <c r="T630" t="str">
        <f>VLOOKUP(A630,Data_NV!$A:$E,4,0)</f>
        <v>Kinh doanh</v>
      </c>
      <c r="U630" s="82">
        <f>DATEVALUE(Table2[[#This Row],[Ngày]])</f>
        <v>45928</v>
      </c>
      <c r="V630" t="str">
        <f>VLOOKUP(A630,Data_NV!$A:$E,5,0)</f>
        <v>Đang làm việc</v>
      </c>
      <c r="W630" s="10">
        <f>VLOOKUP(A630,Data_NV!$A:$I,8,0)</f>
        <v>0.33333333333333331</v>
      </c>
      <c r="X630" s="10">
        <f>VLOOKUP(A630,Data_NV!$A:$I,9,0)</f>
        <v>0.70833333333333337</v>
      </c>
      <c r="Y630" s="10">
        <f>IFERROR(TIMEVALUE(Table2[[#This Row],[Vào]]),0)</f>
        <v>0</v>
      </c>
      <c r="Z630" s="10">
        <f>IFERROR(TIMEVALUE(Table2[[#This Row],[Ra]]),0)</f>
        <v>0</v>
      </c>
      <c r="AA630" t="str">
        <f t="shared" si="37"/>
        <v>Chủ nhật</v>
      </c>
      <c r="AB630" s="105">
        <f t="shared" si="38"/>
        <v>0</v>
      </c>
      <c r="AC630" s="12" t="str">
        <f>IF(VLOOKUP(A630,Data_NV!$A:$I,7,0)="Không","",IF(OR(AND(Y630=0,Z630=0),AND(Y630&lt;&gt;0,Z630&lt;&gt;0)),"","Quên chấm công"))</f>
        <v/>
      </c>
      <c r="AD630" s="12">
        <f>IF(VLOOKUP(A630,Data_NV!$A:$I,7,0)="Không",0,IF(AND(Y630=0,Z630=0),0,IF(X630&lt;=Z630,0,ROUNDDOWN((X630-Z630)*24*60,0))))</f>
        <v>0</v>
      </c>
      <c r="AE630" s="12">
        <f>IF(VLOOKUP(A630,Data_NV!$A:$I,6,0)="Không",0,IF(Z630&lt;=X630,0,ROUNDDOWN((Z630-X630)*24*60,0)))</f>
        <v>0</v>
      </c>
      <c r="AF630" s="26">
        <f t="shared" si="39"/>
        <v>0</v>
      </c>
      <c r="AG630" s="27" t="str">
        <f>IF(AC630="","",IF(COUNTIFS($AC$3:AC630,"Quên chấm công",$S$3:S630,S630)&gt;3,"Không chấm công do vi phạm quá 3 lần",IF(COUNTIFS($AC$3:AC630,"Quên chấm công",$S$3:S630,S630)&gt;2,"Trừ toàn bộ chuyên cần tháng do vi phạm lần 3",IF(COUNTIFS($AC$3:AC630,"Quên chấm công",$S$3:S630,S630)&gt;1,"Trừ 1/2 ngày lương",50000))))</f>
        <v/>
      </c>
      <c r="AH630" s="12" t="str">
        <f>IF(AF630=0,"",IF(COUNTIFS($AF$3:AF630,"&gt;0",$S$3:S630,S630)&gt;3,"Trừ toàn bộ chuyên cần tháng",""))</f>
        <v/>
      </c>
      <c r="AI630" s="12"/>
    </row>
    <row r="631" spans="1:35" x14ac:dyDescent="0.25">
      <c r="A631" s="4" t="s">
        <v>939</v>
      </c>
      <c r="B631" s="1" t="s">
        <v>940</v>
      </c>
      <c r="C631" s="1" t="s">
        <v>20</v>
      </c>
      <c r="D631" s="1" t="s">
        <v>131</v>
      </c>
      <c r="E631" s="1" t="s">
        <v>22</v>
      </c>
      <c r="F631" s="1" t="s">
        <v>23</v>
      </c>
      <c r="G631" s="1" t="s">
        <v>12</v>
      </c>
      <c r="H631" s="1" t="s">
        <v>958</v>
      </c>
      <c r="I631" s="1" t="s">
        <v>24</v>
      </c>
      <c r="J631" s="1" t="s">
        <v>25</v>
      </c>
      <c r="K631" s="1" t="s">
        <v>25</v>
      </c>
      <c r="L631" s="1" t="s">
        <v>26</v>
      </c>
      <c r="M631" s="1" t="s">
        <v>25</v>
      </c>
      <c r="N631" s="1" t="s">
        <v>25</v>
      </c>
      <c r="O631" s="1" t="s">
        <v>25</v>
      </c>
      <c r="P631" s="1" t="s">
        <v>25</v>
      </c>
      <c r="Q631" s="1" t="s">
        <v>25</v>
      </c>
      <c r="R631" s="85" t="str">
        <f t="shared" si="36"/>
        <v>5345929</v>
      </c>
      <c r="S631" t="str">
        <f>VLOOKUP(A631,Data_NV!$A:$C,3,0)</f>
        <v>Bùi Thị Kim Dung</v>
      </c>
      <c r="T631" t="str">
        <f>VLOOKUP(A631,Data_NV!$A:$E,4,0)</f>
        <v>Kinh doanh</v>
      </c>
      <c r="U631" s="82">
        <f>DATEVALUE(Table2[[#This Row],[Ngày]])</f>
        <v>45929</v>
      </c>
      <c r="V631" t="str">
        <f>VLOOKUP(A631,Data_NV!$A:$E,5,0)</f>
        <v>Đang làm việc</v>
      </c>
      <c r="W631" s="10">
        <f>VLOOKUP(A631,Data_NV!$A:$I,8,0)</f>
        <v>0.33333333333333331</v>
      </c>
      <c r="X631" s="10">
        <f>VLOOKUP(A631,Data_NV!$A:$I,9,0)</f>
        <v>0.70833333333333337</v>
      </c>
      <c r="Y631" s="10">
        <f>IFERROR(TIMEVALUE(Table2[[#This Row],[Vào]]),0)</f>
        <v>0.33091435185185186</v>
      </c>
      <c r="Z631" s="10">
        <f>IFERROR(TIMEVALUE(Table2[[#This Row],[Ra]]),0)</f>
        <v>0</v>
      </c>
      <c r="AA631" t="str">
        <f t="shared" si="37"/>
        <v>x</v>
      </c>
      <c r="AB631" s="105">
        <f t="shared" si="38"/>
        <v>0</v>
      </c>
      <c r="AC631" s="12" t="str">
        <f>IF(VLOOKUP(A631,Data_NV!$A:$I,7,0)="Không","",IF(OR(AND(Y631=0,Z631=0),AND(Y631&lt;&gt;0,Z631&lt;&gt;0)),"","Quên chấm công"))</f>
        <v/>
      </c>
      <c r="AD631" s="12">
        <f>IF(VLOOKUP(A631,Data_NV!$A:$I,7,0)="Không",0,IF(AND(Y631=0,Z631=0),0,IF(X631&lt;=Z631,0,ROUNDDOWN((X631-Z631)*24*60,0))))</f>
        <v>0</v>
      </c>
      <c r="AE631" s="12">
        <f>IF(VLOOKUP(A631,Data_NV!$A:$I,6,0)="Không",0,IF(Z631&lt;=X631,0,ROUNDDOWN((Z631-X631)*24*60,0)))</f>
        <v>0</v>
      </c>
      <c r="AF631" s="26">
        <f t="shared" si="39"/>
        <v>0</v>
      </c>
      <c r="AG631" s="27" t="str">
        <f>IF(AC631="","",IF(COUNTIFS($AC$3:AC631,"Quên chấm công",$S$3:S631,S631)&gt;3,"Không chấm công do vi phạm quá 3 lần",IF(COUNTIFS($AC$3:AC631,"Quên chấm công",$S$3:S631,S631)&gt;2,"Trừ toàn bộ chuyên cần tháng do vi phạm lần 3",IF(COUNTIFS($AC$3:AC631,"Quên chấm công",$S$3:S631,S631)&gt;1,"Trừ 1/2 ngày lương",50000))))</f>
        <v/>
      </c>
      <c r="AH631" s="12" t="str">
        <f>IF(AF631=0,"",IF(COUNTIFS($AF$3:AF631,"&gt;0",$S$3:S631,S631)&gt;3,"Trừ toàn bộ chuyên cần tháng",""))</f>
        <v/>
      </c>
      <c r="AI631" s="12"/>
    </row>
    <row r="632" spans="1:35" x14ac:dyDescent="0.25">
      <c r="A632" s="4" t="s">
        <v>939</v>
      </c>
      <c r="B632" s="1" t="s">
        <v>940</v>
      </c>
      <c r="C632" s="1" t="s">
        <v>20</v>
      </c>
      <c r="D632" s="1" t="s">
        <v>136</v>
      </c>
      <c r="E632" s="1" t="s">
        <v>22</v>
      </c>
      <c r="F632" s="1" t="s">
        <v>23</v>
      </c>
      <c r="G632" s="1" t="s">
        <v>12</v>
      </c>
      <c r="H632" s="1" t="s">
        <v>788</v>
      </c>
      <c r="I632" s="1" t="s">
        <v>24</v>
      </c>
      <c r="J632" s="1" t="s">
        <v>682</v>
      </c>
      <c r="K632" s="1" t="s">
        <v>25</v>
      </c>
      <c r="L632" s="1" t="s">
        <v>26</v>
      </c>
      <c r="M632" s="1" t="s">
        <v>25</v>
      </c>
      <c r="N632" s="1" t="s">
        <v>25</v>
      </c>
      <c r="O632" s="1" t="s">
        <v>25</v>
      </c>
      <c r="P632" s="1" t="s">
        <v>25</v>
      </c>
      <c r="Q632" s="1" t="s">
        <v>25</v>
      </c>
      <c r="R632" s="85" t="str">
        <f t="shared" si="36"/>
        <v>5345930</v>
      </c>
      <c r="S632" t="str">
        <f>VLOOKUP(A632,Data_NV!$A:$C,3,0)</f>
        <v>Bùi Thị Kim Dung</v>
      </c>
      <c r="T632" t="str">
        <f>VLOOKUP(A632,Data_NV!$A:$E,4,0)</f>
        <v>Kinh doanh</v>
      </c>
      <c r="U632" s="82">
        <f>DATEVALUE(Table2[[#This Row],[Ngày]])</f>
        <v>45930</v>
      </c>
      <c r="V632" t="str">
        <f>VLOOKUP(A632,Data_NV!$A:$E,5,0)</f>
        <v>Đang làm việc</v>
      </c>
      <c r="W632" s="10">
        <f>VLOOKUP(A632,Data_NV!$A:$I,8,0)</f>
        <v>0.33333333333333331</v>
      </c>
      <c r="X632" s="10">
        <f>VLOOKUP(A632,Data_NV!$A:$I,9,0)</f>
        <v>0.70833333333333337</v>
      </c>
      <c r="Y632" s="10">
        <f>IFERROR(TIMEVALUE(Table2[[#This Row],[Vào]]),0)</f>
        <v>0.33657407407407408</v>
      </c>
      <c r="Z632" s="10">
        <f>IFERROR(TIMEVALUE(Table2[[#This Row],[Ra]]),0)</f>
        <v>0</v>
      </c>
      <c r="AA632" t="str">
        <f t="shared" si="37"/>
        <v>x</v>
      </c>
      <c r="AB632" s="105">
        <f t="shared" si="38"/>
        <v>4.6666666666667034</v>
      </c>
      <c r="AC632" s="12" t="str">
        <f>IF(VLOOKUP(A632,Data_NV!$A:$I,7,0)="Không","",IF(OR(AND(Y632=0,Z632=0),AND(Y632&lt;&gt;0,Z632&lt;&gt;0)),"","Quên chấm công"))</f>
        <v/>
      </c>
      <c r="AD632" s="12">
        <f>IF(VLOOKUP(A632,Data_NV!$A:$I,7,0)="Không",0,IF(AND(Y632=0,Z632=0),0,IF(X632&lt;=Z632,0,ROUNDDOWN((X632-Z632)*24*60,0))))</f>
        <v>0</v>
      </c>
      <c r="AE632" s="12">
        <f>IF(VLOOKUP(A632,Data_NV!$A:$I,6,0)="Không",0,IF(Z632&lt;=X632,0,ROUNDDOWN((Z632-X632)*24*60,0)))</f>
        <v>0</v>
      </c>
      <c r="AF632" s="26">
        <f t="shared" si="39"/>
        <v>0</v>
      </c>
      <c r="AG632" s="27" t="str">
        <f>IF(AC632="","",IF(COUNTIFS($AC$3:AC632,"Quên chấm công",$S$3:S632,S632)&gt;3,"Không chấm công do vi phạm quá 3 lần",IF(COUNTIFS($AC$3:AC632,"Quên chấm công",$S$3:S632,S632)&gt;2,"Trừ toàn bộ chuyên cần tháng do vi phạm lần 3",IF(COUNTIFS($AC$3:AC632,"Quên chấm công",$S$3:S632,S632)&gt;1,"Trừ 1/2 ngày lương",50000))))</f>
        <v/>
      </c>
      <c r="AH632" s="12" t="str">
        <f>IF(AF632=0,"",IF(COUNTIFS($AF$3:AF632,"&gt;0",$S$3:S632,S632)&gt;3,"Trừ toàn bộ chuyên cần tháng",""))</f>
        <v/>
      </c>
      <c r="AI632" s="12"/>
    </row>
    <row r="633" spans="1:35" x14ac:dyDescent="0.25">
      <c r="A633" s="4" t="s">
        <v>963</v>
      </c>
      <c r="B633" s="1" t="s">
        <v>964</v>
      </c>
      <c r="C633" s="1" t="s">
        <v>20</v>
      </c>
      <c r="D633" s="1" t="s">
        <v>21</v>
      </c>
      <c r="E633" s="1" t="s">
        <v>22</v>
      </c>
      <c r="F633" s="1" t="s">
        <v>23</v>
      </c>
      <c r="G633" s="1" t="s">
        <v>12</v>
      </c>
      <c r="H633" s="1" t="s">
        <v>24</v>
      </c>
      <c r="I633" s="1" t="s">
        <v>24</v>
      </c>
      <c r="J633" s="1" t="s">
        <v>25</v>
      </c>
      <c r="K633" s="1" t="s">
        <v>25</v>
      </c>
      <c r="L633" s="1" t="s">
        <v>26</v>
      </c>
      <c r="M633" s="1" t="s">
        <v>25</v>
      </c>
      <c r="N633" s="1" t="s">
        <v>25</v>
      </c>
      <c r="O633" s="1" t="s">
        <v>25</v>
      </c>
      <c r="P633" s="1" t="s">
        <v>25</v>
      </c>
      <c r="Q633" s="1" t="s">
        <v>25</v>
      </c>
      <c r="R633" s="85" t="str">
        <f t="shared" si="36"/>
        <v>5645901</v>
      </c>
      <c r="S633" t="str">
        <f>VLOOKUP(A633,Data_NV!$A:$C,3,0)</f>
        <v>Nguyễn Thị Lan Sy</v>
      </c>
      <c r="T633" t="str">
        <f>VLOOKUP(A633,Data_NV!$A:$E,4,0)</f>
        <v>Kế toán - Văn phòng</v>
      </c>
      <c r="U633" s="82">
        <f>DATEVALUE(Table2[[#This Row],[Ngày]])</f>
        <v>45901</v>
      </c>
      <c r="V633" t="str">
        <f>VLOOKUP(A633,Data_NV!$A:$E,5,0)</f>
        <v>Đang làm việc</v>
      </c>
      <c r="W633" s="10">
        <f>VLOOKUP(A633,Data_NV!$A:$I,8,0)</f>
        <v>0.33333333333333331</v>
      </c>
      <c r="X633" s="10">
        <f>VLOOKUP(A633,Data_NV!$A:$I,9,0)</f>
        <v>0.70833333333333337</v>
      </c>
      <c r="Y633" s="10">
        <f>IFERROR(TIMEVALUE(Table2[[#This Row],[Vào]]),0)</f>
        <v>0</v>
      </c>
      <c r="Z633" s="10">
        <f>IFERROR(TIMEVALUE(Table2[[#This Row],[Ra]]),0)</f>
        <v>0</v>
      </c>
      <c r="AA633" s="97" t="s">
        <v>1349</v>
      </c>
      <c r="AB633" s="105">
        <f t="shared" si="38"/>
        <v>0</v>
      </c>
      <c r="AC633" s="12" t="str">
        <f>IF(VLOOKUP(A633,Data_NV!$A:$I,7,0)="Không","",IF(OR(AND(Y633=0,Z633=0),AND(Y633&lt;&gt;0,Z633&lt;&gt;0)),"","Quên chấm công"))</f>
        <v/>
      </c>
      <c r="AD633" s="12">
        <f>IF(VLOOKUP(A633,Data_NV!$A:$I,7,0)="Không",0,IF(AND(Y633=0,Z633=0),0,IF(X633&lt;=Z633,0,ROUNDDOWN((X633-Z633)*24*60,0))))</f>
        <v>0</v>
      </c>
      <c r="AE633" s="12">
        <f>IF(VLOOKUP(A633,Data_NV!$A:$I,6,0)="Không",0,IF(Z633&lt;=X633,0,ROUNDDOWN((Z633-X633)*24*60,0)))</f>
        <v>0</v>
      </c>
      <c r="AF633" s="26">
        <f t="shared" si="39"/>
        <v>0</v>
      </c>
      <c r="AG633" s="27" t="str">
        <f>IF(AC633="","",IF(COUNTIFS($AC$3:AC633,"Quên chấm công",$S$3:S633,S633)&gt;3,"Không chấm công do vi phạm quá 3 lần",IF(COUNTIFS($AC$3:AC633,"Quên chấm công",$S$3:S633,S633)&gt;2,"Trừ toàn bộ chuyên cần tháng do vi phạm lần 3",IF(COUNTIFS($AC$3:AC633,"Quên chấm công",$S$3:S633,S633)&gt;1,"Trừ 1/2 ngày lương",50000))))</f>
        <v/>
      </c>
      <c r="AH633" s="12" t="str">
        <f>IF(AF633=0,"",IF(COUNTIFS($AF$3:AF633,"&gt;0",$S$3:S633,S633)&gt;3,"Trừ toàn bộ chuyên cần tháng",""))</f>
        <v/>
      </c>
      <c r="AI633" s="98" t="s">
        <v>1369</v>
      </c>
    </row>
    <row r="634" spans="1:35" x14ac:dyDescent="0.25">
      <c r="A634" s="4" t="s">
        <v>963</v>
      </c>
      <c r="B634" s="1" t="s">
        <v>964</v>
      </c>
      <c r="C634" s="1" t="s">
        <v>20</v>
      </c>
      <c r="D634" s="1" t="s">
        <v>27</v>
      </c>
      <c r="E634" s="1" t="s">
        <v>22</v>
      </c>
      <c r="F634" s="1" t="s">
        <v>23</v>
      </c>
      <c r="G634" s="1" t="s">
        <v>12</v>
      </c>
      <c r="H634" s="1" t="s">
        <v>24</v>
      </c>
      <c r="I634" s="1" t="s">
        <v>24</v>
      </c>
      <c r="J634" s="1" t="s">
        <v>25</v>
      </c>
      <c r="K634" s="1" t="s">
        <v>25</v>
      </c>
      <c r="L634" s="1" t="s">
        <v>26</v>
      </c>
      <c r="M634" s="1" t="s">
        <v>25</v>
      </c>
      <c r="N634" s="1" t="s">
        <v>25</v>
      </c>
      <c r="O634" s="1" t="s">
        <v>25</v>
      </c>
      <c r="P634" s="1" t="s">
        <v>25</v>
      </c>
      <c r="Q634" s="1" t="s">
        <v>25</v>
      </c>
      <c r="R634" s="85" t="str">
        <f t="shared" si="36"/>
        <v>5645902</v>
      </c>
      <c r="S634" t="str">
        <f>VLOOKUP(A634,Data_NV!$A:$C,3,0)</f>
        <v>Nguyễn Thị Lan Sy</v>
      </c>
      <c r="T634" t="str">
        <f>VLOOKUP(A634,Data_NV!$A:$E,4,0)</f>
        <v>Kế toán - Văn phòng</v>
      </c>
      <c r="U634" s="82">
        <f>DATEVALUE(Table2[[#This Row],[Ngày]])</f>
        <v>45902</v>
      </c>
      <c r="V634" t="str">
        <f>VLOOKUP(A634,Data_NV!$A:$E,5,0)</f>
        <v>Đang làm việc</v>
      </c>
      <c r="W634" s="10">
        <f>VLOOKUP(A634,Data_NV!$A:$I,8,0)</f>
        <v>0.33333333333333331</v>
      </c>
      <c r="X634" s="10">
        <f>VLOOKUP(A634,Data_NV!$A:$I,9,0)</f>
        <v>0.70833333333333337</v>
      </c>
      <c r="Y634" s="10">
        <f>IFERROR(TIMEVALUE(Table2[[#This Row],[Vào]]),0)</f>
        <v>0</v>
      </c>
      <c r="Z634" s="10">
        <f>IFERROR(TIMEVALUE(Table2[[#This Row],[Ra]]),0)</f>
        <v>0</v>
      </c>
      <c r="AA634" s="97" t="s">
        <v>1349</v>
      </c>
      <c r="AB634" s="105">
        <f t="shared" si="38"/>
        <v>0</v>
      </c>
      <c r="AC634" s="12" t="str">
        <f>IF(VLOOKUP(A634,Data_NV!$A:$I,7,0)="Không","",IF(OR(AND(Y634=0,Z634=0),AND(Y634&lt;&gt;0,Z634&lt;&gt;0)),"","Quên chấm công"))</f>
        <v/>
      </c>
      <c r="AD634" s="12">
        <f>IF(VLOOKUP(A634,Data_NV!$A:$I,7,0)="Không",0,IF(AND(Y634=0,Z634=0),0,IF(X634&lt;=Z634,0,ROUNDDOWN((X634-Z634)*24*60,0))))</f>
        <v>0</v>
      </c>
      <c r="AE634" s="12">
        <f>IF(VLOOKUP(A634,Data_NV!$A:$I,6,0)="Không",0,IF(Z634&lt;=X634,0,ROUNDDOWN((Z634-X634)*24*60,0)))</f>
        <v>0</v>
      </c>
      <c r="AF634" s="26">
        <f t="shared" si="39"/>
        <v>0</v>
      </c>
      <c r="AG634" s="27" t="str">
        <f>IF(AC634="","",IF(COUNTIFS($AC$3:AC634,"Quên chấm công",$S$3:S634,S634)&gt;3,"Không chấm công do vi phạm quá 3 lần",IF(COUNTIFS($AC$3:AC634,"Quên chấm công",$S$3:S634,S634)&gt;2,"Trừ toàn bộ chuyên cần tháng do vi phạm lần 3",IF(COUNTIFS($AC$3:AC634,"Quên chấm công",$S$3:S634,S634)&gt;1,"Trừ 1/2 ngày lương",50000))))</f>
        <v/>
      </c>
      <c r="AH634" s="12" t="str">
        <f>IF(AF634=0,"",IF(COUNTIFS($AF$3:AF634,"&gt;0",$S$3:S634,S634)&gt;3,"Trừ toàn bộ chuyên cần tháng",""))</f>
        <v/>
      </c>
      <c r="AI634" s="98" t="s">
        <v>1369</v>
      </c>
    </row>
    <row r="635" spans="1:35" x14ac:dyDescent="0.25">
      <c r="A635" s="4" t="s">
        <v>963</v>
      </c>
      <c r="B635" s="1" t="s">
        <v>964</v>
      </c>
      <c r="C635" s="1" t="s">
        <v>20</v>
      </c>
      <c r="D635" s="1" t="s">
        <v>28</v>
      </c>
      <c r="E635" s="1" t="s">
        <v>22</v>
      </c>
      <c r="F635" s="1" t="s">
        <v>23</v>
      </c>
      <c r="G635" s="1" t="s">
        <v>29</v>
      </c>
      <c r="H635" s="1" t="s">
        <v>965</v>
      </c>
      <c r="I635" s="1" t="s">
        <v>966</v>
      </c>
      <c r="J635" s="1" t="s">
        <v>25</v>
      </c>
      <c r="K635" s="1" t="s">
        <v>477</v>
      </c>
      <c r="L635" s="1" t="s">
        <v>25</v>
      </c>
      <c r="M635" s="1" t="s">
        <v>26</v>
      </c>
      <c r="N635" s="1" t="s">
        <v>25</v>
      </c>
      <c r="O635" s="1" t="s">
        <v>478</v>
      </c>
      <c r="P635" s="1" t="s">
        <v>25</v>
      </c>
      <c r="Q635" s="1" t="s">
        <v>25</v>
      </c>
      <c r="R635" s="85" t="str">
        <f t="shared" si="36"/>
        <v>5645903</v>
      </c>
      <c r="S635" t="str">
        <f>VLOOKUP(A635,Data_NV!$A:$C,3,0)</f>
        <v>Nguyễn Thị Lan Sy</v>
      </c>
      <c r="T635" t="str">
        <f>VLOOKUP(A635,Data_NV!$A:$E,4,0)</f>
        <v>Kế toán - Văn phòng</v>
      </c>
      <c r="U635" s="82">
        <f>DATEVALUE(Table2[[#This Row],[Ngày]])</f>
        <v>45903</v>
      </c>
      <c r="V635" t="str">
        <f>VLOOKUP(A635,Data_NV!$A:$E,5,0)</f>
        <v>Đang làm việc</v>
      </c>
      <c r="W635" s="10">
        <f>VLOOKUP(A635,Data_NV!$A:$I,8,0)</f>
        <v>0.33333333333333331</v>
      </c>
      <c r="X635" s="10">
        <f>VLOOKUP(A635,Data_NV!$A:$I,9,0)</f>
        <v>0.70833333333333337</v>
      </c>
      <c r="Y635" s="10">
        <f>IFERROR(TIMEVALUE(Table2[[#This Row],[Vào]]),0)</f>
        <v>0.32879629629629631</v>
      </c>
      <c r="Z635" s="10">
        <f>IFERROR(TIMEVALUE(Table2[[#This Row],[Ra]]),0)</f>
        <v>0.73895833333333338</v>
      </c>
      <c r="AA635" t="str">
        <f t="shared" si="37"/>
        <v>x</v>
      </c>
      <c r="AB635" s="105">
        <f t="shared" si="38"/>
        <v>0</v>
      </c>
      <c r="AC635" s="12" t="str">
        <f>IF(VLOOKUP(A635,Data_NV!$A:$I,7,0)="Không","",IF(OR(AND(Y635=0,Z635=0),AND(Y635&lt;&gt;0,Z635&lt;&gt;0)),"","Quên chấm công"))</f>
        <v/>
      </c>
      <c r="AD635" s="12">
        <f>IF(VLOOKUP(A635,Data_NV!$A:$I,7,0)="Không",0,IF(AND(Y635=0,Z635=0),0,IF(X635&lt;=Z635,0,ROUNDDOWN((X635-Z635)*24*60,0))))</f>
        <v>0</v>
      </c>
      <c r="AE635" s="12">
        <f>IF(VLOOKUP(A635,Data_NV!$A:$I,6,0)="Không",0,IF(Z635&lt;=X635,0,ROUNDDOWN((Z635-X635)*24*60,0)))</f>
        <v>44</v>
      </c>
      <c r="AF635" s="26">
        <f t="shared" si="39"/>
        <v>0</v>
      </c>
      <c r="AG635" s="27" t="str">
        <f>IF(AC635="","",IF(COUNTIFS($AC$3:AC635,"Quên chấm công",$S$3:S635,S635)&gt;3,"Không chấm công do vi phạm quá 3 lần",IF(COUNTIFS($AC$3:AC635,"Quên chấm công",$S$3:S635,S635)&gt;2,"Trừ toàn bộ chuyên cần tháng do vi phạm lần 3",IF(COUNTIFS($AC$3:AC635,"Quên chấm công",$S$3:S635,S635)&gt;1,"Trừ 1/2 ngày lương",50000))))</f>
        <v/>
      </c>
      <c r="AH635" s="12" t="str">
        <f>IF(AF635=0,"",IF(COUNTIFS($AF$3:AF635,"&gt;0",$S$3:S635,S635)&gt;3,"Trừ toàn bộ chuyên cần tháng",""))</f>
        <v/>
      </c>
      <c r="AI635" s="12"/>
    </row>
    <row r="636" spans="1:35" x14ac:dyDescent="0.25">
      <c r="A636" s="4" t="s">
        <v>963</v>
      </c>
      <c r="B636" s="1" t="s">
        <v>964</v>
      </c>
      <c r="C636" s="1" t="s">
        <v>20</v>
      </c>
      <c r="D636" s="1" t="s">
        <v>35</v>
      </c>
      <c r="E636" s="1" t="s">
        <v>22</v>
      </c>
      <c r="F636" s="1" t="s">
        <v>23</v>
      </c>
      <c r="G636" s="1" t="s">
        <v>29</v>
      </c>
      <c r="H636" s="1" t="s">
        <v>967</v>
      </c>
      <c r="I636" s="1" t="s">
        <v>968</v>
      </c>
      <c r="J636" s="1" t="s">
        <v>25</v>
      </c>
      <c r="K636" s="1" t="s">
        <v>969</v>
      </c>
      <c r="L636" s="1" t="s">
        <v>25</v>
      </c>
      <c r="M636" s="1" t="s">
        <v>26</v>
      </c>
      <c r="N636" s="1" t="s">
        <v>25</v>
      </c>
      <c r="O636" s="1" t="s">
        <v>345</v>
      </c>
      <c r="P636" s="1" t="s">
        <v>25</v>
      </c>
      <c r="Q636" s="1" t="s">
        <v>25</v>
      </c>
      <c r="R636" s="85" t="str">
        <f t="shared" si="36"/>
        <v>5645904</v>
      </c>
      <c r="S636" t="str">
        <f>VLOOKUP(A636,Data_NV!$A:$C,3,0)</f>
        <v>Nguyễn Thị Lan Sy</v>
      </c>
      <c r="T636" t="str">
        <f>VLOOKUP(A636,Data_NV!$A:$E,4,0)</f>
        <v>Kế toán - Văn phòng</v>
      </c>
      <c r="U636" s="82">
        <f>DATEVALUE(Table2[[#This Row],[Ngày]])</f>
        <v>45904</v>
      </c>
      <c r="V636" t="str">
        <f>VLOOKUP(A636,Data_NV!$A:$E,5,0)</f>
        <v>Đang làm việc</v>
      </c>
      <c r="W636" s="10">
        <f>VLOOKUP(A636,Data_NV!$A:$I,8,0)</f>
        <v>0.33333333333333331</v>
      </c>
      <c r="X636" s="10">
        <f>VLOOKUP(A636,Data_NV!$A:$I,9,0)</f>
        <v>0.70833333333333337</v>
      </c>
      <c r="Y636" s="10">
        <f>IFERROR(TIMEVALUE(Table2[[#This Row],[Vào]]),0)</f>
        <v>0.32773148148148146</v>
      </c>
      <c r="Z636" s="10">
        <f>IFERROR(TIMEVALUE(Table2[[#This Row],[Ra]]),0)</f>
        <v>0.7211805555555556</v>
      </c>
      <c r="AA636" t="str">
        <f t="shared" si="37"/>
        <v>x</v>
      </c>
      <c r="AB636" s="105">
        <f t="shared" si="38"/>
        <v>0</v>
      </c>
      <c r="AC636" s="12" t="str">
        <f>IF(VLOOKUP(A636,Data_NV!$A:$I,7,0)="Không","",IF(OR(AND(Y636=0,Z636=0),AND(Y636&lt;&gt;0,Z636&lt;&gt;0)),"","Quên chấm công"))</f>
        <v/>
      </c>
      <c r="AD636" s="12">
        <f>IF(VLOOKUP(A636,Data_NV!$A:$I,7,0)="Không",0,IF(AND(Y636=0,Z636=0),0,IF(X636&lt;=Z636,0,ROUNDDOWN((X636-Z636)*24*60,0))))</f>
        <v>0</v>
      </c>
      <c r="AE636" s="12">
        <f>IF(VLOOKUP(A636,Data_NV!$A:$I,6,0)="Không",0,IF(Z636&lt;=X636,0,ROUNDDOWN((Z636-X636)*24*60,0)))</f>
        <v>18</v>
      </c>
      <c r="AF636" s="26">
        <f t="shared" si="39"/>
        <v>0</v>
      </c>
      <c r="AG636" s="27" t="str">
        <f>IF(AC636="","",IF(COUNTIFS($AC$3:AC636,"Quên chấm công",$S$3:S636,S636)&gt;3,"Không chấm công do vi phạm quá 3 lần",IF(COUNTIFS($AC$3:AC636,"Quên chấm công",$S$3:S636,S636)&gt;2,"Trừ toàn bộ chuyên cần tháng do vi phạm lần 3",IF(COUNTIFS($AC$3:AC636,"Quên chấm công",$S$3:S636,S636)&gt;1,"Trừ 1/2 ngày lương",50000))))</f>
        <v/>
      </c>
      <c r="AH636" s="12" t="str">
        <f>IF(AF636=0,"",IF(COUNTIFS($AF$3:AF636,"&gt;0",$S$3:S636,S636)&gt;3,"Trừ toàn bộ chuyên cần tháng",""))</f>
        <v/>
      </c>
      <c r="AI636" s="12"/>
    </row>
    <row r="637" spans="1:35" x14ac:dyDescent="0.25">
      <c r="A637" s="4" t="s">
        <v>963</v>
      </c>
      <c r="B637" s="1" t="s">
        <v>964</v>
      </c>
      <c r="C637" s="1" t="s">
        <v>20</v>
      </c>
      <c r="D637" s="1" t="s">
        <v>37</v>
      </c>
      <c r="E637" s="1" t="s">
        <v>22</v>
      </c>
      <c r="F637" s="1" t="s">
        <v>23</v>
      </c>
      <c r="G637" s="1" t="s">
        <v>29</v>
      </c>
      <c r="H637" s="1" t="s">
        <v>970</v>
      </c>
      <c r="I637" s="1" t="s">
        <v>971</v>
      </c>
      <c r="J637" s="1" t="s">
        <v>25</v>
      </c>
      <c r="K637" s="1" t="s">
        <v>268</v>
      </c>
      <c r="L637" s="1" t="s">
        <v>25</v>
      </c>
      <c r="M637" s="1" t="s">
        <v>26</v>
      </c>
      <c r="N637" s="1" t="s">
        <v>25</v>
      </c>
      <c r="O637" s="1" t="s">
        <v>241</v>
      </c>
      <c r="P637" s="1" t="s">
        <v>25</v>
      </c>
      <c r="Q637" s="1" t="s">
        <v>25</v>
      </c>
      <c r="R637" s="85" t="str">
        <f t="shared" si="36"/>
        <v>5645905</v>
      </c>
      <c r="S637" t="str">
        <f>VLOOKUP(A637,Data_NV!$A:$C,3,0)</f>
        <v>Nguyễn Thị Lan Sy</v>
      </c>
      <c r="T637" t="str">
        <f>VLOOKUP(A637,Data_NV!$A:$E,4,0)</f>
        <v>Kế toán - Văn phòng</v>
      </c>
      <c r="U637" s="82">
        <f>DATEVALUE(Table2[[#This Row],[Ngày]])</f>
        <v>45905</v>
      </c>
      <c r="V637" t="str">
        <f>VLOOKUP(A637,Data_NV!$A:$E,5,0)</f>
        <v>Đang làm việc</v>
      </c>
      <c r="W637" s="10">
        <f>VLOOKUP(A637,Data_NV!$A:$I,8,0)</f>
        <v>0.33333333333333331</v>
      </c>
      <c r="X637" s="10">
        <f>VLOOKUP(A637,Data_NV!$A:$I,9,0)</f>
        <v>0.70833333333333337</v>
      </c>
      <c r="Y637" s="10">
        <f>IFERROR(TIMEVALUE(Table2[[#This Row],[Vào]]),0)</f>
        <v>0.32855324074074072</v>
      </c>
      <c r="Z637" s="10">
        <f>IFERROR(TIMEVALUE(Table2[[#This Row],[Ra]]),0)</f>
        <v>0.7161805555555556</v>
      </c>
      <c r="AA637" t="str">
        <f t="shared" si="37"/>
        <v>x</v>
      </c>
      <c r="AB637" s="105">
        <f t="shared" si="38"/>
        <v>0</v>
      </c>
      <c r="AC637" s="12" t="str">
        <f>IF(VLOOKUP(A637,Data_NV!$A:$I,7,0)="Không","",IF(OR(AND(Y637=0,Z637=0),AND(Y637&lt;&gt;0,Z637&lt;&gt;0)),"","Quên chấm công"))</f>
        <v/>
      </c>
      <c r="AD637" s="12">
        <f>IF(VLOOKUP(A637,Data_NV!$A:$I,7,0)="Không",0,IF(AND(Y637=0,Z637=0),0,IF(X637&lt;=Z637,0,ROUNDDOWN((X637-Z637)*24*60,0))))</f>
        <v>0</v>
      </c>
      <c r="AE637" s="12">
        <f>IF(VLOOKUP(A637,Data_NV!$A:$I,6,0)="Không",0,IF(Z637&lt;=X637,0,ROUNDDOWN((Z637-X637)*24*60,0)))</f>
        <v>11</v>
      </c>
      <c r="AF637" s="26">
        <f t="shared" si="39"/>
        <v>0</v>
      </c>
      <c r="AG637" s="27" t="str">
        <f>IF(AC637="","",IF(COUNTIFS($AC$3:AC637,"Quên chấm công",$S$3:S637,S637)&gt;3,"Không chấm công do vi phạm quá 3 lần",IF(COUNTIFS($AC$3:AC637,"Quên chấm công",$S$3:S637,S637)&gt;2,"Trừ toàn bộ chuyên cần tháng do vi phạm lần 3",IF(COUNTIFS($AC$3:AC637,"Quên chấm công",$S$3:S637,S637)&gt;1,"Trừ 1/2 ngày lương",50000))))</f>
        <v/>
      </c>
      <c r="AH637" s="12" t="str">
        <f>IF(AF637=0,"",IF(COUNTIFS($AF$3:AF637,"&gt;0",$S$3:S637,S637)&gt;3,"Trừ toàn bộ chuyên cần tháng",""))</f>
        <v/>
      </c>
      <c r="AI637" s="12"/>
    </row>
    <row r="638" spans="1:35" x14ac:dyDescent="0.25">
      <c r="A638" s="4" t="s">
        <v>963</v>
      </c>
      <c r="B638" s="1" t="s">
        <v>964</v>
      </c>
      <c r="C638" s="1" t="s">
        <v>20</v>
      </c>
      <c r="D638" s="1" t="s">
        <v>42</v>
      </c>
      <c r="E638" s="1" t="s">
        <v>22</v>
      </c>
      <c r="F638" s="1" t="s">
        <v>23</v>
      </c>
      <c r="G638" s="1" t="s">
        <v>29</v>
      </c>
      <c r="H638" s="1" t="s">
        <v>302</v>
      </c>
      <c r="I638" s="1" t="s">
        <v>972</v>
      </c>
      <c r="J638" s="1" t="s">
        <v>25</v>
      </c>
      <c r="K638" s="1" t="s">
        <v>268</v>
      </c>
      <c r="L638" s="1" t="s">
        <v>25</v>
      </c>
      <c r="M638" s="1" t="s">
        <v>26</v>
      </c>
      <c r="N638" s="1" t="s">
        <v>25</v>
      </c>
      <c r="O638" s="1" t="s">
        <v>241</v>
      </c>
      <c r="P638" s="1" t="s">
        <v>25</v>
      </c>
      <c r="Q638" s="1" t="s">
        <v>25</v>
      </c>
      <c r="R638" s="85" t="str">
        <f t="shared" si="36"/>
        <v>5645906</v>
      </c>
      <c r="S638" t="str">
        <f>VLOOKUP(A638,Data_NV!$A:$C,3,0)</f>
        <v>Nguyễn Thị Lan Sy</v>
      </c>
      <c r="T638" t="str">
        <f>VLOOKUP(A638,Data_NV!$A:$E,4,0)</f>
        <v>Kế toán - Văn phòng</v>
      </c>
      <c r="U638" s="82">
        <f>DATEVALUE(Table2[[#This Row],[Ngày]])</f>
        <v>45906</v>
      </c>
      <c r="V638" t="str">
        <f>VLOOKUP(A638,Data_NV!$A:$E,5,0)</f>
        <v>Đang làm việc</v>
      </c>
      <c r="W638" s="10">
        <f>VLOOKUP(A638,Data_NV!$A:$I,8,0)</f>
        <v>0.33333333333333331</v>
      </c>
      <c r="X638" s="10">
        <f>VLOOKUP(A638,Data_NV!$A:$I,9,0)</f>
        <v>0.70833333333333337</v>
      </c>
      <c r="Y638" s="10">
        <f>IFERROR(TIMEVALUE(Table2[[#This Row],[Vào]]),0)</f>
        <v>0.32854166666666668</v>
      </c>
      <c r="Z638" s="10">
        <f>IFERROR(TIMEVALUE(Table2[[#This Row],[Ra]]),0)</f>
        <v>0.71563657407407411</v>
      </c>
      <c r="AA638" t="str">
        <f t="shared" si="37"/>
        <v>x</v>
      </c>
      <c r="AB638" s="105">
        <f t="shared" si="38"/>
        <v>0</v>
      </c>
      <c r="AC638" s="12" t="str">
        <f>IF(VLOOKUP(A638,Data_NV!$A:$I,7,0)="Không","",IF(OR(AND(Y638=0,Z638=0),AND(Y638&lt;&gt;0,Z638&lt;&gt;0)),"","Quên chấm công"))</f>
        <v/>
      </c>
      <c r="AD638" s="12">
        <f>IF(VLOOKUP(A638,Data_NV!$A:$I,7,0)="Không",0,IF(AND(Y638=0,Z638=0),0,IF(X638&lt;=Z638,0,ROUNDDOWN((X638-Z638)*24*60,0))))</f>
        <v>0</v>
      </c>
      <c r="AE638" s="12">
        <f>IF(VLOOKUP(A638,Data_NV!$A:$I,6,0)="Không",0,IF(Z638&lt;=X638,0,ROUNDDOWN((Z638-X638)*24*60,0)))</f>
        <v>10</v>
      </c>
      <c r="AF638" s="26">
        <f t="shared" si="39"/>
        <v>0</v>
      </c>
      <c r="AG638" s="27" t="str">
        <f>IF(AC638="","",IF(COUNTIFS($AC$3:AC638,"Quên chấm công",$S$3:S638,S638)&gt;3,"Không chấm công do vi phạm quá 3 lần",IF(COUNTIFS($AC$3:AC638,"Quên chấm công",$S$3:S638,S638)&gt;2,"Trừ toàn bộ chuyên cần tháng do vi phạm lần 3",IF(COUNTIFS($AC$3:AC638,"Quên chấm công",$S$3:S638,S638)&gt;1,"Trừ 1/2 ngày lương",50000))))</f>
        <v/>
      </c>
      <c r="AH638" s="12" t="str">
        <f>IF(AF638=0,"",IF(COUNTIFS($AF$3:AF638,"&gt;0",$S$3:S638,S638)&gt;3,"Trừ toàn bộ chuyên cần tháng",""))</f>
        <v/>
      </c>
      <c r="AI638" s="12"/>
    </row>
    <row r="639" spans="1:35" x14ac:dyDescent="0.25">
      <c r="A639" s="4" t="s">
        <v>963</v>
      </c>
      <c r="B639" s="1" t="s">
        <v>964</v>
      </c>
      <c r="C639" s="1" t="s">
        <v>20</v>
      </c>
      <c r="D639" s="1" t="s">
        <v>47</v>
      </c>
      <c r="E639" s="1" t="s">
        <v>22</v>
      </c>
      <c r="F639" s="1" t="s">
        <v>23</v>
      </c>
      <c r="G639" s="1" t="s">
        <v>12</v>
      </c>
      <c r="H639" s="1" t="s">
        <v>24</v>
      </c>
      <c r="I639" s="1" t="s">
        <v>24</v>
      </c>
      <c r="J639" s="1" t="s">
        <v>25</v>
      </c>
      <c r="K639" s="1" t="s">
        <v>25</v>
      </c>
      <c r="L639" s="1" t="s">
        <v>26</v>
      </c>
      <c r="M639" s="1" t="s">
        <v>25</v>
      </c>
      <c r="N639" s="1" t="s">
        <v>25</v>
      </c>
      <c r="O639" s="1" t="s">
        <v>25</v>
      </c>
      <c r="P639" s="1" t="s">
        <v>25</v>
      </c>
      <c r="Q639" s="1" t="s">
        <v>25</v>
      </c>
      <c r="R639" s="85" t="str">
        <f t="shared" si="36"/>
        <v>5645907</v>
      </c>
      <c r="S639" t="str">
        <f>VLOOKUP(A639,Data_NV!$A:$C,3,0)</f>
        <v>Nguyễn Thị Lan Sy</v>
      </c>
      <c r="T639" t="str">
        <f>VLOOKUP(A639,Data_NV!$A:$E,4,0)</f>
        <v>Kế toán - Văn phòng</v>
      </c>
      <c r="U639" s="82">
        <f>DATEVALUE(Table2[[#This Row],[Ngày]])</f>
        <v>45907</v>
      </c>
      <c r="V639" t="str">
        <f>VLOOKUP(A639,Data_NV!$A:$E,5,0)</f>
        <v>Đang làm việc</v>
      </c>
      <c r="W639" s="10">
        <f>VLOOKUP(A639,Data_NV!$A:$I,8,0)</f>
        <v>0.33333333333333331</v>
      </c>
      <c r="X639" s="10">
        <f>VLOOKUP(A639,Data_NV!$A:$I,9,0)</f>
        <v>0.70833333333333337</v>
      </c>
      <c r="Y639" s="10">
        <f>IFERROR(TIMEVALUE(Table2[[#This Row],[Vào]]),0)</f>
        <v>0</v>
      </c>
      <c r="Z639" s="10">
        <f>IFERROR(TIMEVALUE(Table2[[#This Row],[Ra]]),0)</f>
        <v>0</v>
      </c>
      <c r="AA639" t="str">
        <f t="shared" si="37"/>
        <v>Chủ nhật</v>
      </c>
      <c r="AB639" s="105">
        <f t="shared" si="38"/>
        <v>0</v>
      </c>
      <c r="AC639" s="12" t="str">
        <f>IF(VLOOKUP(A639,Data_NV!$A:$I,7,0)="Không","",IF(OR(AND(Y639=0,Z639=0),AND(Y639&lt;&gt;0,Z639&lt;&gt;0)),"","Quên chấm công"))</f>
        <v/>
      </c>
      <c r="AD639" s="12">
        <f>IF(VLOOKUP(A639,Data_NV!$A:$I,7,0)="Không",0,IF(AND(Y639=0,Z639=0),0,IF(X639&lt;=Z639,0,ROUNDDOWN((X639-Z639)*24*60,0))))</f>
        <v>0</v>
      </c>
      <c r="AE639" s="12">
        <f>IF(VLOOKUP(A639,Data_NV!$A:$I,6,0)="Không",0,IF(Z639&lt;=X639,0,ROUNDDOWN((Z639-X639)*24*60,0)))</f>
        <v>0</v>
      </c>
      <c r="AF639" s="26">
        <f t="shared" si="39"/>
        <v>0</v>
      </c>
      <c r="AG639" s="27" t="str">
        <f>IF(AC639="","",IF(COUNTIFS($AC$3:AC639,"Quên chấm công",$S$3:S639,S639)&gt;3,"Không chấm công do vi phạm quá 3 lần",IF(COUNTIFS($AC$3:AC639,"Quên chấm công",$S$3:S639,S639)&gt;2,"Trừ toàn bộ chuyên cần tháng do vi phạm lần 3",IF(COUNTIFS($AC$3:AC639,"Quên chấm công",$S$3:S639,S639)&gt;1,"Trừ 1/2 ngày lương",50000))))</f>
        <v/>
      </c>
      <c r="AH639" s="12" t="str">
        <f>IF(AF639=0,"",IF(COUNTIFS($AF$3:AF639,"&gt;0",$S$3:S639,S639)&gt;3,"Trừ toàn bộ chuyên cần tháng",""))</f>
        <v/>
      </c>
      <c r="AI639" s="12"/>
    </row>
    <row r="640" spans="1:35" x14ac:dyDescent="0.25">
      <c r="A640" s="4" t="s">
        <v>963</v>
      </c>
      <c r="B640" s="1" t="s">
        <v>964</v>
      </c>
      <c r="C640" s="1" t="s">
        <v>20</v>
      </c>
      <c r="D640" s="1" t="s">
        <v>48</v>
      </c>
      <c r="E640" s="1" t="s">
        <v>22</v>
      </c>
      <c r="F640" s="1" t="s">
        <v>23</v>
      </c>
      <c r="G640" s="1" t="s">
        <v>12</v>
      </c>
      <c r="H640" s="1" t="s">
        <v>1221</v>
      </c>
      <c r="I640" s="1" t="s">
        <v>1365</v>
      </c>
      <c r="J640" s="1" t="s">
        <v>25</v>
      </c>
      <c r="K640" s="1" t="s">
        <v>25</v>
      </c>
      <c r="L640" s="1" t="s">
        <v>26</v>
      </c>
      <c r="M640" s="1" t="s">
        <v>25</v>
      </c>
      <c r="N640" s="1" t="s">
        <v>25</v>
      </c>
      <c r="O640" s="1" t="s">
        <v>25</v>
      </c>
      <c r="P640" s="1" t="s">
        <v>25</v>
      </c>
      <c r="Q640" s="1" t="s">
        <v>25</v>
      </c>
      <c r="R640" s="85" t="str">
        <f t="shared" si="36"/>
        <v>5645908</v>
      </c>
      <c r="S640" t="str">
        <f>VLOOKUP(A640,Data_NV!$A:$C,3,0)</f>
        <v>Nguyễn Thị Lan Sy</v>
      </c>
      <c r="T640" t="str">
        <f>VLOOKUP(A640,Data_NV!$A:$E,4,0)</f>
        <v>Kế toán - Văn phòng</v>
      </c>
      <c r="U640" s="82">
        <f>DATEVALUE(Table2[[#This Row],[Ngày]])</f>
        <v>45908</v>
      </c>
      <c r="V640" t="str">
        <f>VLOOKUP(A640,Data_NV!$A:$E,5,0)</f>
        <v>Đang làm việc</v>
      </c>
      <c r="W640" s="10">
        <f>VLOOKUP(A640,Data_NV!$A:$I,8,0)</f>
        <v>0.33333333333333331</v>
      </c>
      <c r="X640" s="10">
        <f>VLOOKUP(A640,Data_NV!$A:$I,9,0)</f>
        <v>0.70833333333333337</v>
      </c>
      <c r="Y640" s="10">
        <f>IFERROR(TIMEVALUE(Table2[[#This Row],[Vào]]),0)</f>
        <v>0.33333333333333331</v>
      </c>
      <c r="Z640" s="10">
        <f>IFERROR(TIMEVALUE(Table2[[#This Row],[Ra]]),0)</f>
        <v>0.70833333333333337</v>
      </c>
      <c r="AA640" t="str">
        <f t="shared" si="37"/>
        <v>x</v>
      </c>
      <c r="AB640" s="105">
        <f t="shared" si="38"/>
        <v>0</v>
      </c>
      <c r="AC640" s="12" t="str">
        <f>IF(VLOOKUP(A640,Data_NV!$A:$I,7,0)="Không","",IF(OR(AND(Y640=0,Z640=0),AND(Y640&lt;&gt;0,Z640&lt;&gt;0)),"","Quên chấm công"))</f>
        <v/>
      </c>
      <c r="AD640" s="12">
        <f>IF(VLOOKUP(A640,Data_NV!$A:$I,7,0)="Không",0,IF(AND(Y640=0,Z640=0),0,IF(X640&lt;=Z640,0,ROUNDDOWN((X640-Z640)*24*60,0))))</f>
        <v>0</v>
      </c>
      <c r="AE640" s="12">
        <f>IF(VLOOKUP(A640,Data_NV!$A:$I,6,0)="Không",0,IF(Z640&lt;=X640,0,ROUNDDOWN((Z640-X640)*24*60,0)))</f>
        <v>0</v>
      </c>
      <c r="AF640" s="26">
        <f t="shared" si="39"/>
        <v>0</v>
      </c>
      <c r="AG640" s="27" t="str">
        <f>IF(AC640="","",IF(COUNTIFS($AC$3:AC640,"Quên chấm công",$S$3:S640,S640)&gt;3,"Không chấm công do vi phạm quá 3 lần",IF(COUNTIFS($AC$3:AC640,"Quên chấm công",$S$3:S640,S640)&gt;2,"Trừ toàn bộ chuyên cần tháng do vi phạm lần 3",IF(COUNTIFS($AC$3:AC640,"Quên chấm công",$S$3:S640,S640)&gt;1,"Trừ 1/2 ngày lương",50000))))</f>
        <v/>
      </c>
      <c r="AH640" s="12" t="str">
        <f>IF(AF640=0,"",IF(COUNTIFS($AF$3:AF640,"&gt;0",$S$3:S640,S640)&gt;3,"Trừ toàn bộ chuyên cần tháng",""))</f>
        <v/>
      </c>
      <c r="AI640" s="12" t="s">
        <v>1370</v>
      </c>
    </row>
    <row r="641" spans="1:35" x14ac:dyDescent="0.25">
      <c r="A641" s="4" t="s">
        <v>963</v>
      </c>
      <c r="B641" s="1" t="s">
        <v>964</v>
      </c>
      <c r="C641" s="1" t="s">
        <v>20</v>
      </c>
      <c r="D641" s="1" t="s">
        <v>53</v>
      </c>
      <c r="E641" s="1" t="s">
        <v>22</v>
      </c>
      <c r="F641" s="1" t="s">
        <v>23</v>
      </c>
      <c r="G641" s="1" t="s">
        <v>12</v>
      </c>
      <c r="H641" s="1" t="s">
        <v>24</v>
      </c>
      <c r="I641" s="1" t="s">
        <v>24</v>
      </c>
      <c r="J641" s="1" t="s">
        <v>25</v>
      </c>
      <c r="K641" s="1" t="s">
        <v>25</v>
      </c>
      <c r="L641" s="1" t="s">
        <v>26</v>
      </c>
      <c r="M641" s="1" t="s">
        <v>25</v>
      </c>
      <c r="N641" s="1" t="s">
        <v>25</v>
      </c>
      <c r="O641" s="1" t="s">
        <v>25</v>
      </c>
      <c r="P641" s="1" t="s">
        <v>25</v>
      </c>
      <c r="Q641" s="1" t="s">
        <v>25</v>
      </c>
      <c r="R641" s="85" t="str">
        <f t="shared" si="36"/>
        <v>5645909</v>
      </c>
      <c r="S641" t="str">
        <f>VLOOKUP(A641,Data_NV!$A:$C,3,0)</f>
        <v>Nguyễn Thị Lan Sy</v>
      </c>
      <c r="T641" t="str">
        <f>VLOOKUP(A641,Data_NV!$A:$E,4,0)</f>
        <v>Kế toán - Văn phòng</v>
      </c>
      <c r="U641" s="82">
        <f>DATEVALUE(Table2[[#This Row],[Ngày]])</f>
        <v>45909</v>
      </c>
      <c r="V641" t="str">
        <f>VLOOKUP(A641,Data_NV!$A:$E,5,0)</f>
        <v>Đang làm việc</v>
      </c>
      <c r="W641" s="10">
        <f>VLOOKUP(A641,Data_NV!$A:$I,8,0)</f>
        <v>0.33333333333333331</v>
      </c>
      <c r="X641" s="10">
        <f>VLOOKUP(A641,Data_NV!$A:$I,9,0)</f>
        <v>0.70833333333333337</v>
      </c>
      <c r="Y641" s="10">
        <f>IFERROR(TIMEVALUE(Table2[[#This Row],[Vào]]),0)</f>
        <v>0</v>
      </c>
      <c r="Z641" s="10">
        <f>IFERROR(TIMEVALUE(Table2[[#This Row],[Ra]]),0)</f>
        <v>0</v>
      </c>
      <c r="AA641" t="s">
        <v>1341</v>
      </c>
      <c r="AB641" s="105">
        <f t="shared" si="38"/>
        <v>0</v>
      </c>
      <c r="AC641" s="12" t="str">
        <f>IF(VLOOKUP(A641,Data_NV!$A:$I,7,0)="Không","",IF(OR(AND(Y641=0,Z641=0),AND(Y641&lt;&gt;0,Z641&lt;&gt;0)),"","Quên chấm công"))</f>
        <v/>
      </c>
      <c r="AD641" s="12">
        <f>IF(VLOOKUP(A641,Data_NV!$A:$I,7,0)="Không",0,IF(AND(Y641=0,Z641=0),0,IF(X641&lt;=Z641,0,ROUNDDOWN((X641-Z641)*24*60,0))))</f>
        <v>0</v>
      </c>
      <c r="AE641" s="12">
        <f>IF(VLOOKUP(A641,Data_NV!$A:$I,6,0)="Không",0,IF(Z641&lt;=X641,0,ROUNDDOWN((Z641-X641)*24*60,0)))</f>
        <v>0</v>
      </c>
      <c r="AF641" s="26">
        <f t="shared" si="39"/>
        <v>0</v>
      </c>
      <c r="AG641" s="27" t="str">
        <f>IF(AC641="","",IF(COUNTIFS($AC$3:AC641,"Quên chấm công",$S$3:S641,S641)&gt;3,"Không chấm công do vi phạm quá 3 lần",IF(COUNTIFS($AC$3:AC641,"Quên chấm công",$S$3:S641,S641)&gt;2,"Trừ toàn bộ chuyên cần tháng do vi phạm lần 3",IF(COUNTIFS($AC$3:AC641,"Quên chấm công",$S$3:S641,S641)&gt;1,"Trừ 1/2 ngày lương",50000))))</f>
        <v/>
      </c>
      <c r="AH641" s="12" t="str">
        <f>IF(AF641=0,"",IF(COUNTIFS($AF$3:AF641,"&gt;0",$S$3:S641,S641)&gt;3,"Trừ toàn bộ chuyên cần tháng",""))</f>
        <v/>
      </c>
      <c r="AI641" s="12" t="s">
        <v>1412</v>
      </c>
    </row>
    <row r="642" spans="1:35" x14ac:dyDescent="0.25">
      <c r="A642" s="4" t="s">
        <v>963</v>
      </c>
      <c r="B642" s="1" t="s">
        <v>964</v>
      </c>
      <c r="C642" s="1" t="s">
        <v>20</v>
      </c>
      <c r="D642" s="1" t="s">
        <v>58</v>
      </c>
      <c r="E642" s="1" t="s">
        <v>22</v>
      </c>
      <c r="F642" s="1" t="s">
        <v>23</v>
      </c>
      <c r="G642" s="1" t="s">
        <v>12</v>
      </c>
      <c r="H642" s="1" t="s">
        <v>24</v>
      </c>
      <c r="I642" s="1" t="s">
        <v>24</v>
      </c>
      <c r="J642" s="1" t="s">
        <v>25</v>
      </c>
      <c r="K642" s="1" t="s">
        <v>25</v>
      </c>
      <c r="L642" s="1" t="s">
        <v>26</v>
      </c>
      <c r="M642" s="1" t="s">
        <v>25</v>
      </c>
      <c r="N642" s="1" t="s">
        <v>25</v>
      </c>
      <c r="O642" s="1" t="s">
        <v>25</v>
      </c>
      <c r="P642" s="1" t="s">
        <v>25</v>
      </c>
      <c r="Q642" s="1" t="s">
        <v>25</v>
      </c>
      <c r="R642" s="85" t="str">
        <f t="shared" si="36"/>
        <v>5645910</v>
      </c>
      <c r="S642" t="str">
        <f>VLOOKUP(A642,Data_NV!$A:$C,3,0)</f>
        <v>Nguyễn Thị Lan Sy</v>
      </c>
      <c r="T642" t="str">
        <f>VLOOKUP(A642,Data_NV!$A:$E,4,0)</f>
        <v>Kế toán - Văn phòng</v>
      </c>
      <c r="U642" s="82">
        <f>DATEVALUE(Table2[[#This Row],[Ngày]])</f>
        <v>45910</v>
      </c>
      <c r="V642" t="str">
        <f>VLOOKUP(A642,Data_NV!$A:$E,5,0)</f>
        <v>Đang làm việc</v>
      </c>
      <c r="W642" s="10">
        <f>VLOOKUP(A642,Data_NV!$A:$I,8,0)</f>
        <v>0.33333333333333331</v>
      </c>
      <c r="X642" s="10">
        <f>VLOOKUP(A642,Data_NV!$A:$I,9,0)</f>
        <v>0.70833333333333337</v>
      </c>
      <c r="Y642" s="10">
        <f>IFERROR(TIMEVALUE(Table2[[#This Row],[Vào]]),0)</f>
        <v>0</v>
      </c>
      <c r="Z642" s="10">
        <f>IFERROR(TIMEVALUE(Table2[[#This Row],[Ra]]),0)</f>
        <v>0</v>
      </c>
      <c r="AA642" t="s">
        <v>1341</v>
      </c>
      <c r="AB642" s="105">
        <f t="shared" si="38"/>
        <v>0</v>
      </c>
      <c r="AC642" s="12" t="str">
        <f>IF(VLOOKUP(A642,Data_NV!$A:$I,7,0)="Không","",IF(OR(AND(Y642=0,Z642=0),AND(Y642&lt;&gt;0,Z642&lt;&gt;0)),"","Quên chấm công"))</f>
        <v/>
      </c>
      <c r="AD642" s="12">
        <f>IF(VLOOKUP(A642,Data_NV!$A:$I,7,0)="Không",0,IF(AND(Y642=0,Z642=0),0,IF(X642&lt;=Z642,0,ROUNDDOWN((X642-Z642)*24*60,0))))</f>
        <v>0</v>
      </c>
      <c r="AE642" s="12">
        <f>IF(VLOOKUP(A642,Data_NV!$A:$I,6,0)="Không",0,IF(Z642&lt;=X642,0,ROUNDDOWN((Z642-X642)*24*60,0)))</f>
        <v>0</v>
      </c>
      <c r="AF642" s="26">
        <f t="shared" si="39"/>
        <v>0</v>
      </c>
      <c r="AG642" s="27" t="str">
        <f>IF(AC642="","",IF(COUNTIFS($AC$3:AC642,"Quên chấm công",$S$3:S642,S642)&gt;3,"Không chấm công do vi phạm quá 3 lần",IF(COUNTIFS($AC$3:AC642,"Quên chấm công",$S$3:S642,S642)&gt;2,"Trừ toàn bộ chuyên cần tháng do vi phạm lần 3",IF(COUNTIFS($AC$3:AC642,"Quên chấm công",$S$3:S642,S642)&gt;1,"Trừ 1/2 ngày lương",50000))))</f>
        <v/>
      </c>
      <c r="AH642" s="12" t="str">
        <f>IF(AF642=0,"",IF(COUNTIFS($AF$3:AF642,"&gt;0",$S$3:S642,S642)&gt;3,"Trừ toàn bộ chuyên cần tháng",""))</f>
        <v/>
      </c>
      <c r="AI642" s="12" t="s">
        <v>1412</v>
      </c>
    </row>
    <row r="643" spans="1:35" x14ac:dyDescent="0.25">
      <c r="A643" s="4" t="s">
        <v>963</v>
      </c>
      <c r="B643" s="1" t="s">
        <v>964</v>
      </c>
      <c r="C643" s="1" t="s">
        <v>20</v>
      </c>
      <c r="D643" s="1" t="s">
        <v>63</v>
      </c>
      <c r="E643" s="1" t="s">
        <v>22</v>
      </c>
      <c r="F643" s="1" t="s">
        <v>23</v>
      </c>
      <c r="G643" s="1" t="s">
        <v>29</v>
      </c>
      <c r="H643" s="1" t="s">
        <v>973</v>
      </c>
      <c r="I643" s="1" t="s">
        <v>974</v>
      </c>
      <c r="J643" s="1" t="s">
        <v>25</v>
      </c>
      <c r="K643" s="1" t="s">
        <v>559</v>
      </c>
      <c r="L643" s="1" t="s">
        <v>25</v>
      </c>
      <c r="M643" s="1" t="s">
        <v>26</v>
      </c>
      <c r="N643" s="1" t="s">
        <v>25</v>
      </c>
      <c r="O643" s="1" t="s">
        <v>560</v>
      </c>
      <c r="P643" s="1" t="s">
        <v>25</v>
      </c>
      <c r="Q643" s="1" t="s">
        <v>25</v>
      </c>
      <c r="R643" s="85" t="str">
        <f t="shared" ref="R643:R706" si="40">A643&amp;U643</f>
        <v>5645911</v>
      </c>
      <c r="S643" t="str">
        <f>VLOOKUP(A643,Data_NV!$A:$C,3,0)</f>
        <v>Nguyễn Thị Lan Sy</v>
      </c>
      <c r="T643" t="str">
        <f>VLOOKUP(A643,Data_NV!$A:$E,4,0)</f>
        <v>Kế toán - Văn phòng</v>
      </c>
      <c r="U643" s="82">
        <f>DATEVALUE(Table2[[#This Row],[Ngày]])</f>
        <v>45911</v>
      </c>
      <c r="V643" t="str">
        <f>VLOOKUP(A643,Data_NV!$A:$E,5,0)</f>
        <v>Đang làm việc</v>
      </c>
      <c r="W643" s="10">
        <f>VLOOKUP(A643,Data_NV!$A:$I,8,0)</f>
        <v>0.33333333333333331</v>
      </c>
      <c r="X643" s="10">
        <f>VLOOKUP(A643,Data_NV!$A:$I,9,0)</f>
        <v>0.70833333333333337</v>
      </c>
      <c r="Y643" s="10">
        <f>IFERROR(TIMEVALUE(Table2[[#This Row],[Vào]]),0)</f>
        <v>0.32525462962962964</v>
      </c>
      <c r="Z643" s="10">
        <f>IFERROR(TIMEVALUE(Table2[[#This Row],[Ra]]),0)</f>
        <v>0.73527777777777781</v>
      </c>
      <c r="AA643" t="str">
        <f t="shared" ref="AA643:AA706" si="41">IF(TEXT($U643,"ddd")="CN","Chủ nhật",IF(OR(AND(Y643=0,Z643=0),AG643="Không chấm công do vi phạm quá 3 lần"),"",IF(OR(AG643="Trừ 1/2 ngày lương",AF643="Trừ 1/2 ngày lương",AB643&gt;=60),"1/2","x")))</f>
        <v>x</v>
      </c>
      <c r="AB643" s="105">
        <f t="shared" ref="AB643:AB706" si="42">IF(Y643&lt;=W643,0,(Y643-W643)*24*60)</f>
        <v>0</v>
      </c>
      <c r="AC643" s="12" t="str">
        <f>IF(VLOOKUP(A643,Data_NV!$A:$I,7,0)="Không","",IF(OR(AND(Y643=0,Z643=0),AND(Y643&lt;&gt;0,Z643&lt;&gt;0)),"","Quên chấm công"))</f>
        <v/>
      </c>
      <c r="AD643" s="12">
        <f>IF(VLOOKUP(A643,Data_NV!$A:$I,7,0)="Không",0,IF(AND(Y643=0,Z643=0),0,IF(X643&lt;=Z643,0,ROUNDDOWN((X643-Z643)*24*60,0))))</f>
        <v>0</v>
      </c>
      <c r="AE643" s="12">
        <f>IF(VLOOKUP(A643,Data_NV!$A:$I,6,0)="Không",0,IF(Z643&lt;=X643,0,ROUNDDOWN((Z643-X643)*24*60,0)))</f>
        <v>38</v>
      </c>
      <c r="AF643" s="26">
        <f t="shared" ref="AF643:AF706" si="43">IF(AB643&gt;60,"Trừ 1/2 ngày lương",IF(AB643&gt;15,50000,IF(AB643&gt;6,30000,0)))</f>
        <v>0</v>
      </c>
      <c r="AG643" s="27" t="str">
        <f>IF(AC643="","",IF(COUNTIFS($AC$3:AC643,"Quên chấm công",$S$3:S643,S643)&gt;3,"Không chấm công do vi phạm quá 3 lần",IF(COUNTIFS($AC$3:AC643,"Quên chấm công",$S$3:S643,S643)&gt;2,"Trừ toàn bộ chuyên cần tháng do vi phạm lần 3",IF(COUNTIFS($AC$3:AC643,"Quên chấm công",$S$3:S643,S643)&gt;1,"Trừ 1/2 ngày lương",50000))))</f>
        <v/>
      </c>
      <c r="AH643" s="12" t="str">
        <f>IF(AF643=0,"",IF(COUNTIFS($AF$3:AF643,"&gt;0",$S$3:S643,S643)&gt;3,"Trừ toàn bộ chuyên cần tháng",""))</f>
        <v/>
      </c>
      <c r="AI643" s="12"/>
    </row>
    <row r="644" spans="1:35" x14ac:dyDescent="0.25">
      <c r="A644" s="4" t="s">
        <v>963</v>
      </c>
      <c r="B644" s="1" t="s">
        <v>964</v>
      </c>
      <c r="C644" s="1" t="s">
        <v>20</v>
      </c>
      <c r="D644" s="1" t="s">
        <v>67</v>
      </c>
      <c r="E644" s="1" t="s">
        <v>22</v>
      </c>
      <c r="F644" s="1" t="s">
        <v>23</v>
      </c>
      <c r="G644" s="1" t="s">
        <v>29</v>
      </c>
      <c r="H644" s="1" t="s">
        <v>975</v>
      </c>
      <c r="I644" s="1" t="s">
        <v>976</v>
      </c>
      <c r="J644" s="1" t="s">
        <v>25</v>
      </c>
      <c r="K644" s="1" t="s">
        <v>977</v>
      </c>
      <c r="L644" s="1" t="s">
        <v>25</v>
      </c>
      <c r="M644" s="1" t="s">
        <v>26</v>
      </c>
      <c r="N644" s="1" t="s">
        <v>25</v>
      </c>
      <c r="O644" s="1" t="s">
        <v>549</v>
      </c>
      <c r="P644" s="1" t="s">
        <v>25</v>
      </c>
      <c r="Q644" s="1" t="s">
        <v>25</v>
      </c>
      <c r="R644" s="85" t="str">
        <f t="shared" si="40"/>
        <v>5645912</v>
      </c>
      <c r="S644" t="str">
        <f>VLOOKUP(A644,Data_NV!$A:$C,3,0)</f>
        <v>Nguyễn Thị Lan Sy</v>
      </c>
      <c r="T644" t="str">
        <f>VLOOKUP(A644,Data_NV!$A:$E,4,0)</f>
        <v>Kế toán - Văn phòng</v>
      </c>
      <c r="U644" s="82">
        <f>DATEVALUE(Table2[[#This Row],[Ngày]])</f>
        <v>45912</v>
      </c>
      <c r="V644" t="str">
        <f>VLOOKUP(A644,Data_NV!$A:$E,5,0)</f>
        <v>Đang làm việc</v>
      </c>
      <c r="W644" s="10">
        <f>VLOOKUP(A644,Data_NV!$A:$I,8,0)</f>
        <v>0.33333333333333331</v>
      </c>
      <c r="X644" s="10">
        <f>VLOOKUP(A644,Data_NV!$A:$I,9,0)</f>
        <v>0.70833333333333337</v>
      </c>
      <c r="Y644" s="10">
        <f>IFERROR(TIMEVALUE(Table2[[#This Row],[Vào]]),0)</f>
        <v>0.33141203703703703</v>
      </c>
      <c r="Z644" s="10">
        <f>IFERROR(TIMEVALUE(Table2[[#This Row],[Ra]]),0)</f>
        <v>0.75817129629629632</v>
      </c>
      <c r="AA644" t="str">
        <f t="shared" si="41"/>
        <v>x</v>
      </c>
      <c r="AB644" s="105">
        <f t="shared" si="42"/>
        <v>0</v>
      </c>
      <c r="AC644" s="12" t="str">
        <f>IF(VLOOKUP(A644,Data_NV!$A:$I,7,0)="Không","",IF(OR(AND(Y644=0,Z644=0),AND(Y644&lt;&gt;0,Z644&lt;&gt;0)),"","Quên chấm công"))</f>
        <v/>
      </c>
      <c r="AD644" s="12">
        <f>IF(VLOOKUP(A644,Data_NV!$A:$I,7,0)="Không",0,IF(AND(Y644=0,Z644=0),0,IF(X644&lt;=Z644,0,ROUNDDOWN((X644-Z644)*24*60,0))))</f>
        <v>0</v>
      </c>
      <c r="AE644" s="12">
        <f>IF(VLOOKUP(A644,Data_NV!$A:$I,6,0)="Không",0,IF(Z644&lt;=X644,0,ROUNDDOWN((Z644-X644)*24*60,0)))</f>
        <v>71</v>
      </c>
      <c r="AF644" s="26">
        <f t="shared" si="43"/>
        <v>0</v>
      </c>
      <c r="AG644" s="27" t="str">
        <f>IF(AC644="","",IF(COUNTIFS($AC$3:AC644,"Quên chấm công",$S$3:S644,S644)&gt;3,"Không chấm công do vi phạm quá 3 lần",IF(COUNTIFS($AC$3:AC644,"Quên chấm công",$S$3:S644,S644)&gt;2,"Trừ toàn bộ chuyên cần tháng do vi phạm lần 3",IF(COUNTIFS($AC$3:AC644,"Quên chấm công",$S$3:S644,S644)&gt;1,"Trừ 1/2 ngày lương",50000))))</f>
        <v/>
      </c>
      <c r="AH644" s="12" t="str">
        <f>IF(AF644=0,"",IF(COUNTIFS($AF$3:AF644,"&gt;0",$S$3:S644,S644)&gt;3,"Trừ toàn bộ chuyên cần tháng",""))</f>
        <v/>
      </c>
      <c r="AI644" s="12"/>
    </row>
    <row r="645" spans="1:35" x14ac:dyDescent="0.25">
      <c r="A645" s="4" t="s">
        <v>963</v>
      </c>
      <c r="B645" s="1" t="s">
        <v>964</v>
      </c>
      <c r="C645" s="1" t="s">
        <v>20</v>
      </c>
      <c r="D645" s="1" t="s">
        <v>69</v>
      </c>
      <c r="E645" s="1" t="s">
        <v>22</v>
      </c>
      <c r="F645" s="1" t="s">
        <v>23</v>
      </c>
      <c r="G645" s="1" t="s">
        <v>29</v>
      </c>
      <c r="H645" s="1" t="s">
        <v>978</v>
      </c>
      <c r="I645" s="1" t="s">
        <v>979</v>
      </c>
      <c r="J645" s="1" t="s">
        <v>25</v>
      </c>
      <c r="K645" s="1" t="s">
        <v>980</v>
      </c>
      <c r="L645" s="1" t="s">
        <v>25</v>
      </c>
      <c r="M645" s="1" t="s">
        <v>26</v>
      </c>
      <c r="N645" s="1" t="s">
        <v>25</v>
      </c>
      <c r="O645" s="1" t="s">
        <v>981</v>
      </c>
      <c r="P645" s="1" t="s">
        <v>25</v>
      </c>
      <c r="Q645" s="1" t="s">
        <v>25</v>
      </c>
      <c r="R645" s="85" t="str">
        <f t="shared" si="40"/>
        <v>5645913</v>
      </c>
      <c r="S645" t="str">
        <f>VLOOKUP(A645,Data_NV!$A:$C,3,0)</f>
        <v>Nguyễn Thị Lan Sy</v>
      </c>
      <c r="T645" t="str">
        <f>VLOOKUP(A645,Data_NV!$A:$E,4,0)</f>
        <v>Kế toán - Văn phòng</v>
      </c>
      <c r="U645" s="82">
        <f>DATEVALUE(Table2[[#This Row],[Ngày]])</f>
        <v>45913</v>
      </c>
      <c r="V645" t="str">
        <f>VLOOKUP(A645,Data_NV!$A:$E,5,0)</f>
        <v>Đang làm việc</v>
      </c>
      <c r="W645" s="10">
        <f>VLOOKUP(A645,Data_NV!$A:$I,8,0)</f>
        <v>0.33333333333333331</v>
      </c>
      <c r="X645" s="10">
        <f>VLOOKUP(A645,Data_NV!$A:$I,9,0)</f>
        <v>0.70833333333333337</v>
      </c>
      <c r="Y645" s="10">
        <f>IFERROR(TIMEVALUE(Table2[[#This Row],[Vào]]),0)</f>
        <v>0.32605324074074077</v>
      </c>
      <c r="Z645" s="10">
        <f>IFERROR(TIMEVALUE(Table2[[#This Row],[Ra]]),0)</f>
        <v>0.71957175925925931</v>
      </c>
      <c r="AA645" t="str">
        <f t="shared" si="41"/>
        <v>x</v>
      </c>
      <c r="AB645" s="105">
        <f t="shared" si="42"/>
        <v>0</v>
      </c>
      <c r="AC645" s="12" t="str">
        <f>IF(VLOOKUP(A645,Data_NV!$A:$I,7,0)="Không","",IF(OR(AND(Y645=0,Z645=0),AND(Y645&lt;&gt;0,Z645&lt;&gt;0)),"","Quên chấm công"))</f>
        <v/>
      </c>
      <c r="AD645" s="12">
        <f>IF(VLOOKUP(A645,Data_NV!$A:$I,7,0)="Không",0,IF(AND(Y645=0,Z645=0),0,IF(X645&lt;=Z645,0,ROUNDDOWN((X645-Z645)*24*60,0))))</f>
        <v>0</v>
      </c>
      <c r="AE645" s="12">
        <f>IF(VLOOKUP(A645,Data_NV!$A:$I,6,0)="Không",0,IF(Z645&lt;=X645,0,ROUNDDOWN((Z645-X645)*24*60,0)))</f>
        <v>16</v>
      </c>
      <c r="AF645" s="26">
        <f t="shared" si="43"/>
        <v>0</v>
      </c>
      <c r="AG645" s="27" t="str">
        <f>IF(AC645="","",IF(COUNTIFS($AC$3:AC645,"Quên chấm công",$S$3:S645,S645)&gt;3,"Không chấm công do vi phạm quá 3 lần",IF(COUNTIFS($AC$3:AC645,"Quên chấm công",$S$3:S645,S645)&gt;2,"Trừ toàn bộ chuyên cần tháng do vi phạm lần 3",IF(COUNTIFS($AC$3:AC645,"Quên chấm công",$S$3:S645,S645)&gt;1,"Trừ 1/2 ngày lương",50000))))</f>
        <v/>
      </c>
      <c r="AH645" s="12" t="str">
        <f>IF(AF645=0,"",IF(COUNTIFS($AF$3:AF645,"&gt;0",$S$3:S645,S645)&gt;3,"Trừ toàn bộ chuyên cần tháng",""))</f>
        <v/>
      </c>
      <c r="AI645" s="12"/>
    </row>
    <row r="646" spans="1:35" x14ac:dyDescent="0.25">
      <c r="A646" s="4" t="s">
        <v>963</v>
      </c>
      <c r="B646" s="1" t="s">
        <v>964</v>
      </c>
      <c r="C646" s="1" t="s">
        <v>20</v>
      </c>
      <c r="D646" s="1" t="s">
        <v>74</v>
      </c>
      <c r="E646" s="1" t="s">
        <v>22</v>
      </c>
      <c r="F646" s="1" t="s">
        <v>23</v>
      </c>
      <c r="G646" s="1" t="s">
        <v>12</v>
      </c>
      <c r="H646" s="1" t="s">
        <v>24</v>
      </c>
      <c r="I646" s="1" t="s">
        <v>24</v>
      </c>
      <c r="J646" s="1" t="s">
        <v>25</v>
      </c>
      <c r="K646" s="1" t="s">
        <v>25</v>
      </c>
      <c r="L646" s="1" t="s">
        <v>26</v>
      </c>
      <c r="M646" s="1" t="s">
        <v>25</v>
      </c>
      <c r="N646" s="1" t="s">
        <v>25</v>
      </c>
      <c r="O646" s="1" t="s">
        <v>25</v>
      </c>
      <c r="P646" s="1" t="s">
        <v>25</v>
      </c>
      <c r="Q646" s="1" t="s">
        <v>25</v>
      </c>
      <c r="R646" s="85" t="str">
        <f t="shared" si="40"/>
        <v>5645914</v>
      </c>
      <c r="S646" t="str">
        <f>VLOOKUP(A646,Data_NV!$A:$C,3,0)</f>
        <v>Nguyễn Thị Lan Sy</v>
      </c>
      <c r="T646" t="str">
        <f>VLOOKUP(A646,Data_NV!$A:$E,4,0)</f>
        <v>Kế toán - Văn phòng</v>
      </c>
      <c r="U646" s="82">
        <f>DATEVALUE(Table2[[#This Row],[Ngày]])</f>
        <v>45914</v>
      </c>
      <c r="V646" t="str">
        <f>VLOOKUP(A646,Data_NV!$A:$E,5,0)</f>
        <v>Đang làm việc</v>
      </c>
      <c r="W646" s="10">
        <f>VLOOKUP(A646,Data_NV!$A:$I,8,0)</f>
        <v>0.33333333333333331</v>
      </c>
      <c r="X646" s="10">
        <f>VLOOKUP(A646,Data_NV!$A:$I,9,0)</f>
        <v>0.70833333333333337</v>
      </c>
      <c r="Y646" s="10">
        <f>IFERROR(TIMEVALUE(Table2[[#This Row],[Vào]]),0)</f>
        <v>0</v>
      </c>
      <c r="Z646" s="10">
        <f>IFERROR(TIMEVALUE(Table2[[#This Row],[Ra]]),0)</f>
        <v>0</v>
      </c>
      <c r="AA646" t="str">
        <f t="shared" si="41"/>
        <v>Chủ nhật</v>
      </c>
      <c r="AB646" s="105">
        <f t="shared" si="42"/>
        <v>0</v>
      </c>
      <c r="AC646" s="12" t="str">
        <f>IF(VLOOKUP(A646,Data_NV!$A:$I,7,0)="Không","",IF(OR(AND(Y646=0,Z646=0),AND(Y646&lt;&gt;0,Z646&lt;&gt;0)),"","Quên chấm công"))</f>
        <v/>
      </c>
      <c r="AD646" s="12">
        <f>IF(VLOOKUP(A646,Data_NV!$A:$I,7,0)="Không",0,IF(AND(Y646=0,Z646=0),0,IF(X646&lt;=Z646,0,ROUNDDOWN((X646-Z646)*24*60,0))))</f>
        <v>0</v>
      </c>
      <c r="AE646" s="12">
        <f>IF(VLOOKUP(A646,Data_NV!$A:$I,6,0)="Không",0,IF(Z646&lt;=X646,0,ROUNDDOWN((Z646-X646)*24*60,0)))</f>
        <v>0</v>
      </c>
      <c r="AF646" s="26">
        <f t="shared" si="43"/>
        <v>0</v>
      </c>
      <c r="AG646" s="27" t="str">
        <f>IF(AC646="","",IF(COUNTIFS($AC$3:AC646,"Quên chấm công",$S$3:S646,S646)&gt;3,"Không chấm công do vi phạm quá 3 lần",IF(COUNTIFS($AC$3:AC646,"Quên chấm công",$S$3:S646,S646)&gt;2,"Trừ toàn bộ chuyên cần tháng do vi phạm lần 3",IF(COUNTIFS($AC$3:AC646,"Quên chấm công",$S$3:S646,S646)&gt;1,"Trừ 1/2 ngày lương",50000))))</f>
        <v/>
      </c>
      <c r="AH646" s="12" t="str">
        <f>IF(AF646=0,"",IF(COUNTIFS($AF$3:AF646,"&gt;0",$S$3:S646,S646)&gt;3,"Trừ toàn bộ chuyên cần tháng",""))</f>
        <v/>
      </c>
      <c r="AI646" s="12"/>
    </row>
    <row r="647" spans="1:35" x14ac:dyDescent="0.25">
      <c r="A647" s="4" t="s">
        <v>963</v>
      </c>
      <c r="B647" s="1" t="s">
        <v>964</v>
      </c>
      <c r="C647" s="1" t="s">
        <v>20</v>
      </c>
      <c r="D647" s="1" t="s">
        <v>75</v>
      </c>
      <c r="E647" s="1" t="s">
        <v>22</v>
      </c>
      <c r="F647" s="1" t="s">
        <v>23</v>
      </c>
      <c r="G647" s="1" t="s">
        <v>29</v>
      </c>
      <c r="H647" s="1" t="s">
        <v>982</v>
      </c>
      <c r="I647" s="1" t="s">
        <v>983</v>
      </c>
      <c r="J647" s="1" t="s">
        <v>25</v>
      </c>
      <c r="K647" s="1" t="s">
        <v>72</v>
      </c>
      <c r="L647" s="1" t="s">
        <v>25</v>
      </c>
      <c r="M647" s="1" t="s">
        <v>26</v>
      </c>
      <c r="N647" s="1" t="s">
        <v>25</v>
      </c>
      <c r="O647" s="1" t="s">
        <v>73</v>
      </c>
      <c r="P647" s="1" t="s">
        <v>25</v>
      </c>
      <c r="Q647" s="1" t="s">
        <v>25</v>
      </c>
      <c r="R647" s="85" t="str">
        <f t="shared" si="40"/>
        <v>5645915</v>
      </c>
      <c r="S647" t="str">
        <f>VLOOKUP(A647,Data_NV!$A:$C,3,0)</f>
        <v>Nguyễn Thị Lan Sy</v>
      </c>
      <c r="T647" t="str">
        <f>VLOOKUP(A647,Data_NV!$A:$E,4,0)</f>
        <v>Kế toán - Văn phòng</v>
      </c>
      <c r="U647" s="82">
        <f>DATEVALUE(Table2[[#This Row],[Ngày]])</f>
        <v>45915</v>
      </c>
      <c r="V647" t="str">
        <f>VLOOKUP(A647,Data_NV!$A:$E,5,0)</f>
        <v>Đang làm việc</v>
      </c>
      <c r="W647" s="10">
        <f>VLOOKUP(A647,Data_NV!$A:$I,8,0)</f>
        <v>0.33333333333333331</v>
      </c>
      <c r="X647" s="10">
        <f>VLOOKUP(A647,Data_NV!$A:$I,9,0)</f>
        <v>0.70833333333333337</v>
      </c>
      <c r="Y647" s="10">
        <f>IFERROR(TIMEVALUE(Table2[[#This Row],[Vào]]),0)</f>
        <v>0.33086805555555554</v>
      </c>
      <c r="Z647" s="10">
        <f>IFERROR(TIMEVALUE(Table2[[#This Row],[Ra]]),0)</f>
        <v>0.74685185185185188</v>
      </c>
      <c r="AA647" t="str">
        <f t="shared" si="41"/>
        <v>x</v>
      </c>
      <c r="AB647" s="105">
        <f t="shared" si="42"/>
        <v>0</v>
      </c>
      <c r="AC647" s="12" t="str">
        <f>IF(VLOOKUP(A647,Data_NV!$A:$I,7,0)="Không","",IF(OR(AND(Y647=0,Z647=0),AND(Y647&lt;&gt;0,Z647&lt;&gt;0)),"","Quên chấm công"))</f>
        <v/>
      </c>
      <c r="AD647" s="12">
        <f>IF(VLOOKUP(A647,Data_NV!$A:$I,7,0)="Không",0,IF(AND(Y647=0,Z647=0),0,IF(X647&lt;=Z647,0,ROUNDDOWN((X647-Z647)*24*60,0))))</f>
        <v>0</v>
      </c>
      <c r="AE647" s="12">
        <f>IF(VLOOKUP(A647,Data_NV!$A:$I,6,0)="Không",0,IF(Z647&lt;=X647,0,ROUNDDOWN((Z647-X647)*24*60,0)))</f>
        <v>55</v>
      </c>
      <c r="AF647" s="26">
        <f t="shared" si="43"/>
        <v>0</v>
      </c>
      <c r="AG647" s="27" t="str">
        <f>IF(AC647="","",IF(COUNTIFS($AC$3:AC647,"Quên chấm công",$S$3:S647,S647)&gt;3,"Không chấm công do vi phạm quá 3 lần",IF(COUNTIFS($AC$3:AC647,"Quên chấm công",$S$3:S647,S647)&gt;2,"Trừ toàn bộ chuyên cần tháng do vi phạm lần 3",IF(COUNTIFS($AC$3:AC647,"Quên chấm công",$S$3:S647,S647)&gt;1,"Trừ 1/2 ngày lương",50000))))</f>
        <v/>
      </c>
      <c r="AH647" s="12" t="str">
        <f>IF(AF647=0,"",IF(COUNTIFS($AF$3:AF647,"&gt;0",$S$3:S647,S647)&gt;3,"Trừ toàn bộ chuyên cần tháng",""))</f>
        <v/>
      </c>
      <c r="AI647" s="12"/>
    </row>
    <row r="648" spans="1:35" x14ac:dyDescent="0.25">
      <c r="A648" s="4" t="s">
        <v>963</v>
      </c>
      <c r="B648" s="1" t="s">
        <v>964</v>
      </c>
      <c r="C648" s="1" t="s">
        <v>20</v>
      </c>
      <c r="D648" s="1" t="s">
        <v>80</v>
      </c>
      <c r="E648" s="1" t="s">
        <v>22</v>
      </c>
      <c r="F648" s="1" t="s">
        <v>23</v>
      </c>
      <c r="G648" s="1" t="s">
        <v>12</v>
      </c>
      <c r="H648" s="1" t="s">
        <v>1221</v>
      </c>
      <c r="I648" s="1" t="s">
        <v>1365</v>
      </c>
      <c r="J648" s="1" t="s">
        <v>25</v>
      </c>
      <c r="K648" s="1" t="s">
        <v>25</v>
      </c>
      <c r="L648" s="1" t="s">
        <v>26</v>
      </c>
      <c r="M648" s="1" t="s">
        <v>25</v>
      </c>
      <c r="N648" s="1" t="s">
        <v>25</v>
      </c>
      <c r="O648" s="1" t="s">
        <v>25</v>
      </c>
      <c r="P648" s="1" t="s">
        <v>25</v>
      </c>
      <c r="Q648" s="1" t="s">
        <v>25</v>
      </c>
      <c r="R648" s="85" t="str">
        <f t="shared" si="40"/>
        <v>5645916</v>
      </c>
      <c r="S648" t="str">
        <f>VLOOKUP(A648,Data_NV!$A:$C,3,0)</f>
        <v>Nguyễn Thị Lan Sy</v>
      </c>
      <c r="T648" t="str">
        <f>VLOOKUP(A648,Data_NV!$A:$E,4,0)</f>
        <v>Kế toán - Văn phòng</v>
      </c>
      <c r="U648" s="82">
        <f>DATEVALUE(Table2[[#This Row],[Ngày]])</f>
        <v>45916</v>
      </c>
      <c r="V648" t="str">
        <f>VLOOKUP(A648,Data_NV!$A:$E,5,0)</f>
        <v>Đang làm việc</v>
      </c>
      <c r="W648" s="10">
        <f>VLOOKUP(A648,Data_NV!$A:$I,8,0)</f>
        <v>0.33333333333333331</v>
      </c>
      <c r="X648" s="10">
        <f>VLOOKUP(A648,Data_NV!$A:$I,9,0)</f>
        <v>0.70833333333333337</v>
      </c>
      <c r="Y648" s="10">
        <f>IFERROR(TIMEVALUE(Table2[[#This Row],[Vào]]),0)</f>
        <v>0.33333333333333331</v>
      </c>
      <c r="Z648" s="10">
        <f>IFERROR(TIMEVALUE(Table2[[#This Row],[Ra]]),0)</f>
        <v>0.70833333333333337</v>
      </c>
      <c r="AA648" t="str">
        <f t="shared" si="41"/>
        <v>x</v>
      </c>
      <c r="AB648" s="105">
        <f t="shared" si="42"/>
        <v>0</v>
      </c>
      <c r="AC648" s="12" t="str">
        <f>IF(VLOOKUP(A648,Data_NV!$A:$I,7,0)="Không","",IF(OR(AND(Y648=0,Z648=0),AND(Y648&lt;&gt;0,Z648&lt;&gt;0)),"","Quên chấm công"))</f>
        <v/>
      </c>
      <c r="AD648" s="12">
        <f>IF(VLOOKUP(A648,Data_NV!$A:$I,7,0)="Không",0,IF(AND(Y648=0,Z648=0),0,IF(X648&lt;=Z648,0,ROUNDDOWN((X648-Z648)*24*60,0))))</f>
        <v>0</v>
      </c>
      <c r="AE648" s="12">
        <f>IF(VLOOKUP(A648,Data_NV!$A:$I,6,0)="Không",0,IF(Z648&lt;=X648,0,ROUNDDOWN((Z648-X648)*24*60,0)))</f>
        <v>0</v>
      </c>
      <c r="AF648" s="26">
        <f t="shared" si="43"/>
        <v>0</v>
      </c>
      <c r="AG648" s="27" t="str">
        <f>IF(AC648="","",IF(COUNTIFS($AC$3:AC648,"Quên chấm công",$S$3:S648,S648)&gt;3,"Không chấm công do vi phạm quá 3 lần",IF(COUNTIFS($AC$3:AC648,"Quên chấm công",$S$3:S648,S648)&gt;2,"Trừ toàn bộ chuyên cần tháng do vi phạm lần 3",IF(COUNTIFS($AC$3:AC648,"Quên chấm công",$S$3:S648,S648)&gt;1,"Trừ 1/2 ngày lương",50000))))</f>
        <v/>
      </c>
      <c r="AH648" s="12" t="str">
        <f>IF(AF648=0,"",IF(COUNTIFS($AF$3:AF648,"&gt;0",$S$3:S648,S648)&gt;3,"Trừ toàn bộ chuyên cần tháng",""))</f>
        <v/>
      </c>
      <c r="AI648" s="12" t="s">
        <v>1370</v>
      </c>
    </row>
    <row r="649" spans="1:35" x14ac:dyDescent="0.25">
      <c r="A649" s="4" t="s">
        <v>963</v>
      </c>
      <c r="B649" s="1" t="s">
        <v>964</v>
      </c>
      <c r="C649" s="1" t="s">
        <v>20</v>
      </c>
      <c r="D649" s="1" t="s">
        <v>85</v>
      </c>
      <c r="E649" s="1" t="s">
        <v>22</v>
      </c>
      <c r="F649" s="1" t="s">
        <v>23</v>
      </c>
      <c r="G649" s="1" t="s">
        <v>12</v>
      </c>
      <c r="H649" s="1" t="s">
        <v>1221</v>
      </c>
      <c r="I649" s="1" t="s">
        <v>1365</v>
      </c>
      <c r="J649" s="1" t="s">
        <v>25</v>
      </c>
      <c r="K649" s="1" t="s">
        <v>25</v>
      </c>
      <c r="L649" s="1" t="s">
        <v>26</v>
      </c>
      <c r="M649" s="1" t="s">
        <v>25</v>
      </c>
      <c r="N649" s="1" t="s">
        <v>25</v>
      </c>
      <c r="O649" s="1" t="s">
        <v>25</v>
      </c>
      <c r="P649" s="1" t="s">
        <v>25</v>
      </c>
      <c r="Q649" s="1" t="s">
        <v>25</v>
      </c>
      <c r="R649" s="85" t="str">
        <f t="shared" si="40"/>
        <v>5645917</v>
      </c>
      <c r="S649" t="str">
        <f>VLOOKUP(A649,Data_NV!$A:$C,3,0)</f>
        <v>Nguyễn Thị Lan Sy</v>
      </c>
      <c r="T649" t="str">
        <f>VLOOKUP(A649,Data_NV!$A:$E,4,0)</f>
        <v>Kế toán - Văn phòng</v>
      </c>
      <c r="U649" s="82">
        <f>DATEVALUE(Table2[[#This Row],[Ngày]])</f>
        <v>45917</v>
      </c>
      <c r="V649" t="str">
        <f>VLOOKUP(A649,Data_NV!$A:$E,5,0)</f>
        <v>Đang làm việc</v>
      </c>
      <c r="W649" s="10">
        <f>VLOOKUP(A649,Data_NV!$A:$I,8,0)</f>
        <v>0.33333333333333331</v>
      </c>
      <c r="X649" s="10">
        <f>VLOOKUP(A649,Data_NV!$A:$I,9,0)</f>
        <v>0.70833333333333337</v>
      </c>
      <c r="Y649" s="10">
        <f>IFERROR(TIMEVALUE(Table2[[#This Row],[Vào]]),0)</f>
        <v>0.33333333333333331</v>
      </c>
      <c r="Z649" s="10">
        <f>IFERROR(TIMEVALUE(Table2[[#This Row],[Ra]]),0)</f>
        <v>0.70833333333333337</v>
      </c>
      <c r="AA649" t="str">
        <f t="shared" si="41"/>
        <v>x</v>
      </c>
      <c r="AB649" s="105">
        <f t="shared" si="42"/>
        <v>0</v>
      </c>
      <c r="AC649" s="12" t="str">
        <f>IF(VLOOKUP(A649,Data_NV!$A:$I,7,0)="Không","",IF(OR(AND(Y649=0,Z649=0),AND(Y649&lt;&gt;0,Z649&lt;&gt;0)),"","Quên chấm công"))</f>
        <v/>
      </c>
      <c r="AD649" s="12">
        <f>IF(VLOOKUP(A649,Data_NV!$A:$I,7,0)="Không",0,IF(AND(Y649=0,Z649=0),0,IF(X649&lt;=Z649,0,ROUNDDOWN((X649-Z649)*24*60,0))))</f>
        <v>0</v>
      </c>
      <c r="AE649" s="12">
        <f>IF(VLOOKUP(A649,Data_NV!$A:$I,6,0)="Không",0,IF(Z649&lt;=X649,0,ROUNDDOWN((Z649-X649)*24*60,0)))</f>
        <v>0</v>
      </c>
      <c r="AF649" s="26">
        <f t="shared" si="43"/>
        <v>0</v>
      </c>
      <c r="AG649" s="27" t="str">
        <f>IF(AC649="","",IF(COUNTIFS($AC$3:AC649,"Quên chấm công",$S$3:S649,S649)&gt;3,"Không chấm công do vi phạm quá 3 lần",IF(COUNTIFS($AC$3:AC649,"Quên chấm công",$S$3:S649,S649)&gt;2,"Trừ toàn bộ chuyên cần tháng do vi phạm lần 3",IF(COUNTIFS($AC$3:AC649,"Quên chấm công",$S$3:S649,S649)&gt;1,"Trừ 1/2 ngày lương",50000))))</f>
        <v/>
      </c>
      <c r="AH649" s="12" t="str">
        <f>IF(AF649=0,"",IF(COUNTIFS($AF$3:AF649,"&gt;0",$S$3:S649,S649)&gt;3,"Trừ toàn bộ chuyên cần tháng",""))</f>
        <v/>
      </c>
      <c r="AI649" s="12" t="s">
        <v>1370</v>
      </c>
    </row>
    <row r="650" spans="1:35" x14ac:dyDescent="0.25">
      <c r="A650" s="4" t="s">
        <v>963</v>
      </c>
      <c r="B650" s="1" t="s">
        <v>964</v>
      </c>
      <c r="C650" s="1" t="s">
        <v>20</v>
      </c>
      <c r="D650" s="1" t="s">
        <v>90</v>
      </c>
      <c r="E650" s="1" t="s">
        <v>22</v>
      </c>
      <c r="F650" s="1" t="s">
        <v>23</v>
      </c>
      <c r="G650" s="1" t="s">
        <v>12</v>
      </c>
      <c r="H650" s="1" t="s">
        <v>1221</v>
      </c>
      <c r="I650" s="1" t="s">
        <v>1365</v>
      </c>
      <c r="J650" s="1" t="s">
        <v>25</v>
      </c>
      <c r="K650" s="1" t="s">
        <v>25</v>
      </c>
      <c r="L650" s="1" t="s">
        <v>26</v>
      </c>
      <c r="M650" s="1" t="s">
        <v>25</v>
      </c>
      <c r="N650" s="1" t="s">
        <v>25</v>
      </c>
      <c r="O650" s="1" t="s">
        <v>25</v>
      </c>
      <c r="P650" s="1" t="s">
        <v>25</v>
      </c>
      <c r="Q650" s="1" t="s">
        <v>25</v>
      </c>
      <c r="R650" s="85" t="str">
        <f t="shared" si="40"/>
        <v>5645918</v>
      </c>
      <c r="S650" t="str">
        <f>VLOOKUP(A650,Data_NV!$A:$C,3,0)</f>
        <v>Nguyễn Thị Lan Sy</v>
      </c>
      <c r="T650" t="str">
        <f>VLOOKUP(A650,Data_NV!$A:$E,4,0)</f>
        <v>Kế toán - Văn phòng</v>
      </c>
      <c r="U650" s="82">
        <f>DATEVALUE(Table2[[#This Row],[Ngày]])</f>
        <v>45918</v>
      </c>
      <c r="V650" t="str">
        <f>VLOOKUP(A650,Data_NV!$A:$E,5,0)</f>
        <v>Đang làm việc</v>
      </c>
      <c r="W650" s="10">
        <f>VLOOKUP(A650,Data_NV!$A:$I,8,0)</f>
        <v>0.33333333333333331</v>
      </c>
      <c r="X650" s="10">
        <f>VLOOKUP(A650,Data_NV!$A:$I,9,0)</f>
        <v>0.70833333333333337</v>
      </c>
      <c r="Y650" s="10">
        <f>IFERROR(TIMEVALUE(Table2[[#This Row],[Vào]]),0)</f>
        <v>0.33333333333333331</v>
      </c>
      <c r="Z650" s="10">
        <f>IFERROR(TIMEVALUE(Table2[[#This Row],[Ra]]),0)</f>
        <v>0.70833333333333337</v>
      </c>
      <c r="AA650" t="str">
        <f t="shared" si="41"/>
        <v>x</v>
      </c>
      <c r="AB650" s="105">
        <f t="shared" si="42"/>
        <v>0</v>
      </c>
      <c r="AC650" s="12" t="str">
        <f>IF(VLOOKUP(A650,Data_NV!$A:$I,7,0)="Không","",IF(OR(AND(Y650=0,Z650=0),AND(Y650&lt;&gt;0,Z650&lt;&gt;0)),"","Quên chấm công"))</f>
        <v/>
      </c>
      <c r="AD650" s="12">
        <f>IF(VLOOKUP(A650,Data_NV!$A:$I,7,0)="Không",0,IF(AND(Y650=0,Z650=0),0,IF(X650&lt;=Z650,0,ROUNDDOWN((X650-Z650)*24*60,0))))</f>
        <v>0</v>
      </c>
      <c r="AE650" s="12">
        <f>IF(VLOOKUP(A650,Data_NV!$A:$I,6,0)="Không",0,IF(Z650&lt;=X650,0,ROUNDDOWN((Z650-X650)*24*60,0)))</f>
        <v>0</v>
      </c>
      <c r="AF650" s="26">
        <f t="shared" si="43"/>
        <v>0</v>
      </c>
      <c r="AG650" s="27" t="str">
        <f>IF(AC650="","",IF(COUNTIFS($AC$3:AC650,"Quên chấm công",$S$3:S650,S650)&gt;3,"Không chấm công do vi phạm quá 3 lần",IF(COUNTIFS($AC$3:AC650,"Quên chấm công",$S$3:S650,S650)&gt;2,"Trừ toàn bộ chuyên cần tháng do vi phạm lần 3",IF(COUNTIFS($AC$3:AC650,"Quên chấm công",$S$3:S650,S650)&gt;1,"Trừ 1/2 ngày lương",50000))))</f>
        <v/>
      </c>
      <c r="AH650" s="12" t="str">
        <f>IF(AF650=0,"",IF(COUNTIFS($AF$3:AF650,"&gt;0",$S$3:S650,S650)&gt;3,"Trừ toàn bộ chuyên cần tháng",""))</f>
        <v/>
      </c>
      <c r="AI650" s="12" t="s">
        <v>1370</v>
      </c>
    </row>
    <row r="651" spans="1:35" x14ac:dyDescent="0.25">
      <c r="A651" s="4" t="s">
        <v>963</v>
      </c>
      <c r="B651" s="1" t="s">
        <v>964</v>
      </c>
      <c r="C651" s="1" t="s">
        <v>20</v>
      </c>
      <c r="D651" s="1" t="s">
        <v>95</v>
      </c>
      <c r="E651" s="1" t="s">
        <v>22</v>
      </c>
      <c r="F651" s="1" t="s">
        <v>23</v>
      </c>
      <c r="G651" s="1" t="s">
        <v>29</v>
      </c>
      <c r="H651" s="1" t="s">
        <v>984</v>
      </c>
      <c r="I651" s="1" t="s">
        <v>985</v>
      </c>
      <c r="J651" s="1" t="s">
        <v>25</v>
      </c>
      <c r="K651" s="1" t="s">
        <v>264</v>
      </c>
      <c r="L651" s="1" t="s">
        <v>25</v>
      </c>
      <c r="M651" s="1" t="s">
        <v>26</v>
      </c>
      <c r="N651" s="1" t="s">
        <v>25</v>
      </c>
      <c r="O651" s="1" t="s">
        <v>265</v>
      </c>
      <c r="P651" s="1" t="s">
        <v>25</v>
      </c>
      <c r="Q651" s="1" t="s">
        <v>25</v>
      </c>
      <c r="R651" s="85" t="str">
        <f t="shared" si="40"/>
        <v>5645919</v>
      </c>
      <c r="S651" t="str">
        <f>VLOOKUP(A651,Data_NV!$A:$C,3,0)</f>
        <v>Nguyễn Thị Lan Sy</v>
      </c>
      <c r="T651" t="str">
        <f>VLOOKUP(A651,Data_NV!$A:$E,4,0)</f>
        <v>Kế toán - Văn phòng</v>
      </c>
      <c r="U651" s="82">
        <f>DATEVALUE(Table2[[#This Row],[Ngày]])</f>
        <v>45919</v>
      </c>
      <c r="V651" t="str">
        <f>VLOOKUP(A651,Data_NV!$A:$E,5,0)</f>
        <v>Đang làm việc</v>
      </c>
      <c r="W651" s="10">
        <f>VLOOKUP(A651,Data_NV!$A:$I,8,0)</f>
        <v>0.33333333333333331</v>
      </c>
      <c r="X651" s="10">
        <f>VLOOKUP(A651,Data_NV!$A:$I,9,0)</f>
        <v>0.70833333333333337</v>
      </c>
      <c r="Y651" s="10">
        <f>IFERROR(TIMEVALUE(Table2[[#This Row],[Vào]]),0)</f>
        <v>0.32592592592592595</v>
      </c>
      <c r="Z651" s="10">
        <f>IFERROR(TIMEVALUE(Table2[[#This Row],[Ra]]),0)</f>
        <v>0.73487268518518523</v>
      </c>
      <c r="AA651" t="str">
        <f t="shared" si="41"/>
        <v>x</v>
      </c>
      <c r="AB651" s="105">
        <f t="shared" si="42"/>
        <v>0</v>
      </c>
      <c r="AC651" s="12" t="str">
        <f>IF(VLOOKUP(A651,Data_NV!$A:$I,7,0)="Không","",IF(OR(AND(Y651=0,Z651=0),AND(Y651&lt;&gt;0,Z651&lt;&gt;0)),"","Quên chấm công"))</f>
        <v/>
      </c>
      <c r="AD651" s="12">
        <f>IF(VLOOKUP(A651,Data_NV!$A:$I,7,0)="Không",0,IF(AND(Y651=0,Z651=0),0,IF(X651&lt;=Z651,0,ROUNDDOWN((X651-Z651)*24*60,0))))</f>
        <v>0</v>
      </c>
      <c r="AE651" s="12">
        <f>IF(VLOOKUP(A651,Data_NV!$A:$I,6,0)="Không",0,IF(Z651&lt;=X651,0,ROUNDDOWN((Z651-X651)*24*60,0)))</f>
        <v>38</v>
      </c>
      <c r="AF651" s="26">
        <f t="shared" si="43"/>
        <v>0</v>
      </c>
      <c r="AG651" s="27" t="str">
        <f>IF(AC651="","",IF(COUNTIFS($AC$3:AC651,"Quên chấm công",$S$3:S651,S651)&gt;3,"Không chấm công do vi phạm quá 3 lần",IF(COUNTIFS($AC$3:AC651,"Quên chấm công",$S$3:S651,S651)&gt;2,"Trừ toàn bộ chuyên cần tháng do vi phạm lần 3",IF(COUNTIFS($AC$3:AC651,"Quên chấm công",$S$3:S651,S651)&gt;1,"Trừ 1/2 ngày lương",50000))))</f>
        <v/>
      </c>
      <c r="AH651" s="12" t="str">
        <f>IF(AF651=0,"",IF(COUNTIFS($AF$3:AF651,"&gt;0",$S$3:S651,S651)&gt;3,"Trừ toàn bộ chuyên cần tháng",""))</f>
        <v/>
      </c>
      <c r="AI651" s="12"/>
    </row>
    <row r="652" spans="1:35" x14ac:dyDescent="0.25">
      <c r="A652" s="4" t="s">
        <v>963</v>
      </c>
      <c r="B652" s="1" t="s">
        <v>964</v>
      </c>
      <c r="C652" s="1" t="s">
        <v>20</v>
      </c>
      <c r="D652" s="1" t="s">
        <v>100</v>
      </c>
      <c r="E652" s="1" t="s">
        <v>22</v>
      </c>
      <c r="F652" s="1" t="s">
        <v>23</v>
      </c>
      <c r="G652" s="1" t="s">
        <v>29</v>
      </c>
      <c r="H652" s="1" t="s">
        <v>986</v>
      </c>
      <c r="I652" s="1" t="s">
        <v>987</v>
      </c>
      <c r="J652" s="1" t="s">
        <v>25</v>
      </c>
      <c r="K652" s="1" t="s">
        <v>128</v>
      </c>
      <c r="L652" s="1" t="s">
        <v>25</v>
      </c>
      <c r="M652" s="1" t="s">
        <v>26</v>
      </c>
      <c r="N652" s="1" t="s">
        <v>25</v>
      </c>
      <c r="O652" s="1" t="s">
        <v>129</v>
      </c>
      <c r="P652" s="1" t="s">
        <v>25</v>
      </c>
      <c r="Q652" s="1" t="s">
        <v>25</v>
      </c>
      <c r="R652" s="85" t="str">
        <f t="shared" si="40"/>
        <v>5645920</v>
      </c>
      <c r="S652" t="str">
        <f>VLOOKUP(A652,Data_NV!$A:$C,3,0)</f>
        <v>Nguyễn Thị Lan Sy</v>
      </c>
      <c r="T652" t="str">
        <f>VLOOKUP(A652,Data_NV!$A:$E,4,0)</f>
        <v>Kế toán - Văn phòng</v>
      </c>
      <c r="U652" s="82">
        <f>DATEVALUE(Table2[[#This Row],[Ngày]])</f>
        <v>45920</v>
      </c>
      <c r="V652" t="str">
        <f>VLOOKUP(A652,Data_NV!$A:$E,5,0)</f>
        <v>Đang làm việc</v>
      </c>
      <c r="W652" s="10">
        <f>VLOOKUP(A652,Data_NV!$A:$I,8,0)</f>
        <v>0.33333333333333331</v>
      </c>
      <c r="X652" s="10">
        <f>VLOOKUP(A652,Data_NV!$A:$I,9,0)</f>
        <v>0.70833333333333337</v>
      </c>
      <c r="Y652" s="10">
        <f>IFERROR(TIMEVALUE(Table2[[#This Row],[Vào]]),0)</f>
        <v>0.32414351851851853</v>
      </c>
      <c r="Z652" s="10">
        <f>IFERROR(TIMEVALUE(Table2[[#This Row],[Ra]]),0)</f>
        <v>0.73584490740740738</v>
      </c>
      <c r="AA652" t="str">
        <f t="shared" si="41"/>
        <v>x</v>
      </c>
      <c r="AB652" s="105">
        <f t="shared" si="42"/>
        <v>0</v>
      </c>
      <c r="AC652" s="12" t="str">
        <f>IF(VLOOKUP(A652,Data_NV!$A:$I,7,0)="Không","",IF(OR(AND(Y652=0,Z652=0),AND(Y652&lt;&gt;0,Z652&lt;&gt;0)),"","Quên chấm công"))</f>
        <v/>
      </c>
      <c r="AD652" s="12">
        <f>IF(VLOOKUP(A652,Data_NV!$A:$I,7,0)="Không",0,IF(AND(Y652=0,Z652=0),0,IF(X652&lt;=Z652,0,ROUNDDOWN((X652-Z652)*24*60,0))))</f>
        <v>0</v>
      </c>
      <c r="AE652" s="12">
        <f>IF(VLOOKUP(A652,Data_NV!$A:$I,6,0)="Không",0,IF(Z652&lt;=X652,0,ROUNDDOWN((Z652-X652)*24*60,0)))</f>
        <v>39</v>
      </c>
      <c r="AF652" s="26">
        <f t="shared" si="43"/>
        <v>0</v>
      </c>
      <c r="AG652" s="27" t="str">
        <f>IF(AC652="","",IF(COUNTIFS($AC$3:AC652,"Quên chấm công",$S$3:S652,S652)&gt;3,"Không chấm công do vi phạm quá 3 lần",IF(COUNTIFS($AC$3:AC652,"Quên chấm công",$S$3:S652,S652)&gt;2,"Trừ toàn bộ chuyên cần tháng do vi phạm lần 3",IF(COUNTIFS($AC$3:AC652,"Quên chấm công",$S$3:S652,S652)&gt;1,"Trừ 1/2 ngày lương",50000))))</f>
        <v/>
      </c>
      <c r="AH652" s="12" t="str">
        <f>IF(AF652=0,"",IF(COUNTIFS($AF$3:AF652,"&gt;0",$S$3:S652,S652)&gt;3,"Trừ toàn bộ chuyên cần tháng",""))</f>
        <v/>
      </c>
      <c r="AI652" s="12"/>
    </row>
    <row r="653" spans="1:35" x14ac:dyDescent="0.25">
      <c r="A653" s="4" t="s">
        <v>963</v>
      </c>
      <c r="B653" s="1" t="s">
        <v>964</v>
      </c>
      <c r="C653" s="1" t="s">
        <v>20</v>
      </c>
      <c r="D653" s="1" t="s">
        <v>105</v>
      </c>
      <c r="E653" s="1" t="s">
        <v>22</v>
      </c>
      <c r="F653" s="1" t="s">
        <v>23</v>
      </c>
      <c r="G653" s="1" t="s">
        <v>12</v>
      </c>
      <c r="H653" s="1" t="s">
        <v>24</v>
      </c>
      <c r="I653" s="1" t="s">
        <v>24</v>
      </c>
      <c r="J653" s="1" t="s">
        <v>25</v>
      </c>
      <c r="K653" s="1" t="s">
        <v>25</v>
      </c>
      <c r="L653" s="1" t="s">
        <v>26</v>
      </c>
      <c r="M653" s="1" t="s">
        <v>25</v>
      </c>
      <c r="N653" s="1" t="s">
        <v>25</v>
      </c>
      <c r="O653" s="1" t="s">
        <v>25</v>
      </c>
      <c r="P653" s="1" t="s">
        <v>25</v>
      </c>
      <c r="Q653" s="1" t="s">
        <v>25</v>
      </c>
      <c r="R653" s="85" t="str">
        <f t="shared" si="40"/>
        <v>5645921</v>
      </c>
      <c r="S653" t="str">
        <f>VLOOKUP(A653,Data_NV!$A:$C,3,0)</f>
        <v>Nguyễn Thị Lan Sy</v>
      </c>
      <c r="T653" t="str">
        <f>VLOOKUP(A653,Data_NV!$A:$E,4,0)</f>
        <v>Kế toán - Văn phòng</v>
      </c>
      <c r="U653" s="82">
        <f>DATEVALUE(Table2[[#This Row],[Ngày]])</f>
        <v>45921</v>
      </c>
      <c r="V653" t="str">
        <f>VLOOKUP(A653,Data_NV!$A:$E,5,0)</f>
        <v>Đang làm việc</v>
      </c>
      <c r="W653" s="10">
        <f>VLOOKUP(A653,Data_NV!$A:$I,8,0)</f>
        <v>0.33333333333333331</v>
      </c>
      <c r="X653" s="10">
        <f>VLOOKUP(A653,Data_NV!$A:$I,9,0)</f>
        <v>0.70833333333333337</v>
      </c>
      <c r="Y653" s="10">
        <f>IFERROR(TIMEVALUE(Table2[[#This Row],[Vào]]),0)</f>
        <v>0</v>
      </c>
      <c r="Z653" s="10">
        <f>IFERROR(TIMEVALUE(Table2[[#This Row],[Ra]]),0)</f>
        <v>0</v>
      </c>
      <c r="AA653" t="str">
        <f t="shared" si="41"/>
        <v>Chủ nhật</v>
      </c>
      <c r="AB653" s="105">
        <f t="shared" si="42"/>
        <v>0</v>
      </c>
      <c r="AC653" s="12" t="str">
        <f>IF(VLOOKUP(A653,Data_NV!$A:$I,7,0)="Không","",IF(OR(AND(Y653=0,Z653=0),AND(Y653&lt;&gt;0,Z653&lt;&gt;0)),"","Quên chấm công"))</f>
        <v/>
      </c>
      <c r="AD653" s="12">
        <f>IF(VLOOKUP(A653,Data_NV!$A:$I,7,0)="Không",0,IF(AND(Y653=0,Z653=0),0,IF(X653&lt;=Z653,0,ROUNDDOWN((X653-Z653)*24*60,0))))</f>
        <v>0</v>
      </c>
      <c r="AE653" s="12">
        <f>IF(VLOOKUP(A653,Data_NV!$A:$I,6,0)="Không",0,IF(Z653&lt;=X653,0,ROUNDDOWN((Z653-X653)*24*60,0)))</f>
        <v>0</v>
      </c>
      <c r="AF653" s="26">
        <f t="shared" si="43"/>
        <v>0</v>
      </c>
      <c r="AG653" s="27" t="str">
        <f>IF(AC653="","",IF(COUNTIFS($AC$3:AC653,"Quên chấm công",$S$3:S653,S653)&gt;3,"Không chấm công do vi phạm quá 3 lần",IF(COUNTIFS($AC$3:AC653,"Quên chấm công",$S$3:S653,S653)&gt;2,"Trừ toàn bộ chuyên cần tháng do vi phạm lần 3",IF(COUNTIFS($AC$3:AC653,"Quên chấm công",$S$3:S653,S653)&gt;1,"Trừ 1/2 ngày lương",50000))))</f>
        <v/>
      </c>
      <c r="AH653" s="12" t="str">
        <f>IF(AF653=0,"",IF(COUNTIFS($AF$3:AF653,"&gt;0",$S$3:S653,S653)&gt;3,"Trừ toàn bộ chuyên cần tháng",""))</f>
        <v/>
      </c>
      <c r="AI653" s="12"/>
    </row>
    <row r="654" spans="1:35" x14ac:dyDescent="0.25">
      <c r="A654" s="4" t="s">
        <v>963</v>
      </c>
      <c r="B654" s="1" t="s">
        <v>964</v>
      </c>
      <c r="C654" s="1" t="s">
        <v>20</v>
      </c>
      <c r="D654" s="1" t="s">
        <v>106</v>
      </c>
      <c r="E654" s="1" t="s">
        <v>22</v>
      </c>
      <c r="F654" s="1" t="s">
        <v>23</v>
      </c>
      <c r="G654" s="1" t="s">
        <v>29</v>
      </c>
      <c r="H654" s="1" t="s">
        <v>878</v>
      </c>
      <c r="I654" s="1" t="s">
        <v>988</v>
      </c>
      <c r="J654" s="1" t="s">
        <v>25</v>
      </c>
      <c r="K654" s="1" t="s">
        <v>989</v>
      </c>
      <c r="L654" s="1" t="s">
        <v>25</v>
      </c>
      <c r="M654" s="1" t="s">
        <v>26</v>
      </c>
      <c r="N654" s="1" t="s">
        <v>25</v>
      </c>
      <c r="O654" s="1" t="s">
        <v>990</v>
      </c>
      <c r="P654" s="1" t="s">
        <v>25</v>
      </c>
      <c r="Q654" s="1" t="s">
        <v>25</v>
      </c>
      <c r="R654" s="85" t="str">
        <f t="shared" si="40"/>
        <v>5645922</v>
      </c>
      <c r="S654" t="str">
        <f>VLOOKUP(A654,Data_NV!$A:$C,3,0)</f>
        <v>Nguyễn Thị Lan Sy</v>
      </c>
      <c r="T654" t="str">
        <f>VLOOKUP(A654,Data_NV!$A:$E,4,0)</f>
        <v>Kế toán - Văn phòng</v>
      </c>
      <c r="U654" s="82">
        <f>DATEVALUE(Table2[[#This Row],[Ngày]])</f>
        <v>45922</v>
      </c>
      <c r="V654" t="str">
        <f>VLOOKUP(A654,Data_NV!$A:$E,5,0)</f>
        <v>Đang làm việc</v>
      </c>
      <c r="W654" s="10">
        <f>VLOOKUP(A654,Data_NV!$A:$I,8,0)</f>
        <v>0.33333333333333331</v>
      </c>
      <c r="X654" s="10">
        <f>VLOOKUP(A654,Data_NV!$A:$I,9,0)</f>
        <v>0.70833333333333337</v>
      </c>
      <c r="Y654" s="10">
        <f>IFERROR(TIMEVALUE(Table2[[#This Row],[Vào]]),0)</f>
        <v>0.33045138888888886</v>
      </c>
      <c r="Z654" s="10">
        <f>IFERROR(TIMEVALUE(Table2[[#This Row],[Ra]]),0)</f>
        <v>0.7146527777777778</v>
      </c>
      <c r="AA654" t="str">
        <f t="shared" si="41"/>
        <v>x</v>
      </c>
      <c r="AB654" s="105">
        <f t="shared" si="42"/>
        <v>0</v>
      </c>
      <c r="AC654" s="12" t="str">
        <f>IF(VLOOKUP(A654,Data_NV!$A:$I,7,0)="Không","",IF(OR(AND(Y654=0,Z654=0),AND(Y654&lt;&gt;0,Z654&lt;&gt;0)),"","Quên chấm công"))</f>
        <v/>
      </c>
      <c r="AD654" s="12">
        <f>IF(VLOOKUP(A654,Data_NV!$A:$I,7,0)="Không",0,IF(AND(Y654=0,Z654=0),0,IF(X654&lt;=Z654,0,ROUNDDOWN((X654-Z654)*24*60,0))))</f>
        <v>0</v>
      </c>
      <c r="AE654" s="12">
        <f>IF(VLOOKUP(A654,Data_NV!$A:$I,6,0)="Không",0,IF(Z654&lt;=X654,0,ROUNDDOWN((Z654-X654)*24*60,0)))</f>
        <v>9</v>
      </c>
      <c r="AF654" s="26">
        <f t="shared" si="43"/>
        <v>0</v>
      </c>
      <c r="AG654" s="27" t="str">
        <f>IF(AC654="","",IF(COUNTIFS($AC$3:AC654,"Quên chấm công",$S$3:S654,S654)&gt;3,"Không chấm công do vi phạm quá 3 lần",IF(COUNTIFS($AC$3:AC654,"Quên chấm công",$S$3:S654,S654)&gt;2,"Trừ toàn bộ chuyên cần tháng do vi phạm lần 3",IF(COUNTIFS($AC$3:AC654,"Quên chấm công",$S$3:S654,S654)&gt;1,"Trừ 1/2 ngày lương",50000))))</f>
        <v/>
      </c>
      <c r="AH654" s="12" t="str">
        <f>IF(AF654=0,"",IF(COUNTIFS($AF$3:AF654,"&gt;0",$S$3:S654,S654)&gt;3,"Trừ toàn bộ chuyên cần tháng",""))</f>
        <v/>
      </c>
      <c r="AI654" s="12"/>
    </row>
    <row r="655" spans="1:35" x14ac:dyDescent="0.25">
      <c r="A655" s="4" t="s">
        <v>963</v>
      </c>
      <c r="B655" s="1" t="s">
        <v>964</v>
      </c>
      <c r="C655" s="1" t="s">
        <v>20</v>
      </c>
      <c r="D655" s="1" t="s">
        <v>111</v>
      </c>
      <c r="E655" s="1" t="s">
        <v>22</v>
      </c>
      <c r="F655" s="1" t="s">
        <v>23</v>
      </c>
      <c r="G655" s="1" t="s">
        <v>29</v>
      </c>
      <c r="H655" s="1" t="s">
        <v>991</v>
      </c>
      <c r="I655" s="1" t="s">
        <v>992</v>
      </c>
      <c r="J655" s="1" t="s">
        <v>25</v>
      </c>
      <c r="K655" s="1" t="s">
        <v>268</v>
      </c>
      <c r="L655" s="1" t="s">
        <v>25</v>
      </c>
      <c r="M655" s="1" t="s">
        <v>26</v>
      </c>
      <c r="N655" s="1" t="s">
        <v>25</v>
      </c>
      <c r="O655" s="1" t="s">
        <v>241</v>
      </c>
      <c r="P655" s="1" t="s">
        <v>25</v>
      </c>
      <c r="Q655" s="1" t="s">
        <v>25</v>
      </c>
      <c r="R655" s="85" t="str">
        <f t="shared" si="40"/>
        <v>5645923</v>
      </c>
      <c r="S655" t="str">
        <f>VLOOKUP(A655,Data_NV!$A:$C,3,0)</f>
        <v>Nguyễn Thị Lan Sy</v>
      </c>
      <c r="T655" t="str">
        <f>VLOOKUP(A655,Data_NV!$A:$E,4,0)</f>
        <v>Kế toán - Văn phòng</v>
      </c>
      <c r="U655" s="82">
        <f>DATEVALUE(Table2[[#This Row],[Ngày]])</f>
        <v>45923</v>
      </c>
      <c r="V655" t="str">
        <f>VLOOKUP(A655,Data_NV!$A:$E,5,0)</f>
        <v>Đang làm việc</v>
      </c>
      <c r="W655" s="10">
        <f>VLOOKUP(A655,Data_NV!$A:$I,8,0)</f>
        <v>0.33333333333333331</v>
      </c>
      <c r="X655" s="10">
        <f>VLOOKUP(A655,Data_NV!$A:$I,9,0)</f>
        <v>0.70833333333333337</v>
      </c>
      <c r="Y655" s="10">
        <f>IFERROR(TIMEVALUE(Table2[[#This Row],[Vào]]),0)</f>
        <v>0.32896990740740739</v>
      </c>
      <c r="Z655" s="10">
        <f>IFERROR(TIMEVALUE(Table2[[#This Row],[Ra]]),0)</f>
        <v>0.71615740740740741</v>
      </c>
      <c r="AA655" t="str">
        <f t="shared" si="41"/>
        <v>x</v>
      </c>
      <c r="AB655" s="105">
        <f t="shared" si="42"/>
        <v>0</v>
      </c>
      <c r="AC655" s="12" t="str">
        <f>IF(VLOOKUP(A655,Data_NV!$A:$I,7,0)="Không","",IF(OR(AND(Y655=0,Z655=0),AND(Y655&lt;&gt;0,Z655&lt;&gt;0)),"","Quên chấm công"))</f>
        <v/>
      </c>
      <c r="AD655" s="12">
        <f>IF(VLOOKUP(A655,Data_NV!$A:$I,7,0)="Không",0,IF(AND(Y655=0,Z655=0),0,IF(X655&lt;=Z655,0,ROUNDDOWN((X655-Z655)*24*60,0))))</f>
        <v>0</v>
      </c>
      <c r="AE655" s="12">
        <f>IF(VLOOKUP(A655,Data_NV!$A:$I,6,0)="Không",0,IF(Z655&lt;=X655,0,ROUNDDOWN((Z655-X655)*24*60,0)))</f>
        <v>11</v>
      </c>
      <c r="AF655" s="26">
        <f t="shared" si="43"/>
        <v>0</v>
      </c>
      <c r="AG655" s="27" t="str">
        <f>IF(AC655="","",IF(COUNTIFS($AC$3:AC655,"Quên chấm công",$S$3:S655,S655)&gt;3,"Không chấm công do vi phạm quá 3 lần",IF(COUNTIFS($AC$3:AC655,"Quên chấm công",$S$3:S655,S655)&gt;2,"Trừ toàn bộ chuyên cần tháng do vi phạm lần 3",IF(COUNTIFS($AC$3:AC655,"Quên chấm công",$S$3:S655,S655)&gt;1,"Trừ 1/2 ngày lương",50000))))</f>
        <v/>
      </c>
      <c r="AH655" s="12" t="str">
        <f>IF(AF655=0,"",IF(COUNTIFS($AF$3:AF655,"&gt;0",$S$3:S655,S655)&gt;3,"Trừ toàn bộ chuyên cần tháng",""))</f>
        <v/>
      </c>
      <c r="AI655" s="12"/>
    </row>
    <row r="656" spans="1:35" x14ac:dyDescent="0.25">
      <c r="A656" s="4" t="s">
        <v>963</v>
      </c>
      <c r="B656" s="1" t="s">
        <v>964</v>
      </c>
      <c r="C656" s="1" t="s">
        <v>20</v>
      </c>
      <c r="D656" s="1" t="s">
        <v>116</v>
      </c>
      <c r="E656" s="1" t="s">
        <v>22</v>
      </c>
      <c r="F656" s="1" t="s">
        <v>23</v>
      </c>
      <c r="G656" s="1" t="s">
        <v>29</v>
      </c>
      <c r="H656" s="1" t="s">
        <v>993</v>
      </c>
      <c r="I656" s="1" t="s">
        <v>994</v>
      </c>
      <c r="J656" s="1" t="s">
        <v>25</v>
      </c>
      <c r="K656" s="1" t="s">
        <v>995</v>
      </c>
      <c r="L656" s="1" t="s">
        <v>25</v>
      </c>
      <c r="M656" s="1" t="s">
        <v>26</v>
      </c>
      <c r="N656" s="1" t="s">
        <v>25</v>
      </c>
      <c r="O656" s="1" t="s">
        <v>996</v>
      </c>
      <c r="P656" s="1" t="s">
        <v>25</v>
      </c>
      <c r="Q656" s="1" t="s">
        <v>25</v>
      </c>
      <c r="R656" s="85" t="str">
        <f t="shared" si="40"/>
        <v>5645924</v>
      </c>
      <c r="S656" t="str">
        <f>VLOOKUP(A656,Data_NV!$A:$C,3,0)</f>
        <v>Nguyễn Thị Lan Sy</v>
      </c>
      <c r="T656" t="str">
        <f>VLOOKUP(A656,Data_NV!$A:$E,4,0)</f>
        <v>Kế toán - Văn phòng</v>
      </c>
      <c r="U656" s="82">
        <f>DATEVALUE(Table2[[#This Row],[Ngày]])</f>
        <v>45924</v>
      </c>
      <c r="V656" t="str">
        <f>VLOOKUP(A656,Data_NV!$A:$E,5,0)</f>
        <v>Đang làm việc</v>
      </c>
      <c r="W656" s="10">
        <f>VLOOKUP(A656,Data_NV!$A:$I,8,0)</f>
        <v>0.33333333333333331</v>
      </c>
      <c r="X656" s="10">
        <f>VLOOKUP(A656,Data_NV!$A:$I,9,0)</f>
        <v>0.70833333333333337</v>
      </c>
      <c r="Y656" s="10">
        <f>IFERROR(TIMEVALUE(Table2[[#This Row],[Vào]]),0)</f>
        <v>0.32609953703703703</v>
      </c>
      <c r="Z656" s="10">
        <f>IFERROR(TIMEVALUE(Table2[[#This Row],[Ra]]),0)</f>
        <v>0.71556712962962965</v>
      </c>
      <c r="AA656" t="str">
        <f t="shared" si="41"/>
        <v>x</v>
      </c>
      <c r="AB656" s="105">
        <f t="shared" si="42"/>
        <v>0</v>
      </c>
      <c r="AC656" s="12" t="str">
        <f>IF(VLOOKUP(A656,Data_NV!$A:$I,7,0)="Không","",IF(OR(AND(Y656=0,Z656=0),AND(Y656&lt;&gt;0,Z656&lt;&gt;0)),"","Quên chấm công"))</f>
        <v/>
      </c>
      <c r="AD656" s="12">
        <f>IF(VLOOKUP(A656,Data_NV!$A:$I,7,0)="Không",0,IF(AND(Y656=0,Z656=0),0,IF(X656&lt;=Z656,0,ROUNDDOWN((X656-Z656)*24*60,0))))</f>
        <v>0</v>
      </c>
      <c r="AE656" s="12">
        <f>IF(VLOOKUP(A656,Data_NV!$A:$I,6,0)="Không",0,IF(Z656&lt;=X656,0,ROUNDDOWN((Z656-X656)*24*60,0)))</f>
        <v>10</v>
      </c>
      <c r="AF656" s="26">
        <f t="shared" si="43"/>
        <v>0</v>
      </c>
      <c r="AG656" s="27" t="str">
        <f>IF(AC656="","",IF(COUNTIFS($AC$3:AC656,"Quên chấm công",$S$3:S656,S656)&gt;3,"Không chấm công do vi phạm quá 3 lần",IF(COUNTIFS($AC$3:AC656,"Quên chấm công",$S$3:S656,S656)&gt;2,"Trừ toàn bộ chuyên cần tháng do vi phạm lần 3",IF(COUNTIFS($AC$3:AC656,"Quên chấm công",$S$3:S656,S656)&gt;1,"Trừ 1/2 ngày lương",50000))))</f>
        <v/>
      </c>
      <c r="AH656" s="12" t="str">
        <f>IF(AF656=0,"",IF(COUNTIFS($AF$3:AF656,"&gt;0",$S$3:S656,S656)&gt;3,"Trừ toàn bộ chuyên cần tháng",""))</f>
        <v/>
      </c>
      <c r="AI656" s="12"/>
    </row>
    <row r="657" spans="1:35" x14ac:dyDescent="0.25">
      <c r="A657" s="4" t="s">
        <v>963</v>
      </c>
      <c r="B657" s="1" t="s">
        <v>964</v>
      </c>
      <c r="C657" s="1" t="s">
        <v>20</v>
      </c>
      <c r="D657" s="1" t="s">
        <v>121</v>
      </c>
      <c r="E657" s="1" t="s">
        <v>22</v>
      </c>
      <c r="F657" s="1" t="s">
        <v>23</v>
      </c>
      <c r="G657" s="1" t="s">
        <v>29</v>
      </c>
      <c r="H657" s="1" t="s">
        <v>997</v>
      </c>
      <c r="I657" s="1" t="s">
        <v>998</v>
      </c>
      <c r="J657" s="1" t="s">
        <v>25</v>
      </c>
      <c r="K657" s="1" t="s">
        <v>275</v>
      </c>
      <c r="L657" s="1" t="s">
        <v>25</v>
      </c>
      <c r="M657" s="1" t="s">
        <v>26</v>
      </c>
      <c r="N657" s="1" t="s">
        <v>25</v>
      </c>
      <c r="O657" s="1" t="s">
        <v>276</v>
      </c>
      <c r="P657" s="1" t="s">
        <v>25</v>
      </c>
      <c r="Q657" s="1" t="s">
        <v>25</v>
      </c>
      <c r="R657" s="85" t="str">
        <f t="shared" si="40"/>
        <v>5645925</v>
      </c>
      <c r="S657" t="str">
        <f>VLOOKUP(A657,Data_NV!$A:$C,3,0)</f>
        <v>Nguyễn Thị Lan Sy</v>
      </c>
      <c r="T657" t="str">
        <f>VLOOKUP(A657,Data_NV!$A:$E,4,0)</f>
        <v>Kế toán - Văn phòng</v>
      </c>
      <c r="U657" s="82">
        <f>DATEVALUE(Table2[[#This Row],[Ngày]])</f>
        <v>45925</v>
      </c>
      <c r="V657" t="str">
        <f>VLOOKUP(A657,Data_NV!$A:$E,5,0)</f>
        <v>Đang làm việc</v>
      </c>
      <c r="W657" s="10">
        <f>VLOOKUP(A657,Data_NV!$A:$I,8,0)</f>
        <v>0.33333333333333331</v>
      </c>
      <c r="X657" s="10">
        <f>VLOOKUP(A657,Data_NV!$A:$I,9,0)</f>
        <v>0.70833333333333337</v>
      </c>
      <c r="Y657" s="10">
        <f>IFERROR(TIMEVALUE(Table2[[#This Row],[Vào]]),0)</f>
        <v>0.32618055555555553</v>
      </c>
      <c r="Z657" s="10">
        <f>IFERROR(TIMEVALUE(Table2[[#This Row],[Ra]]),0)</f>
        <v>0.76030092592592591</v>
      </c>
      <c r="AA657" t="str">
        <f t="shared" si="41"/>
        <v>x</v>
      </c>
      <c r="AB657" s="105">
        <f t="shared" si="42"/>
        <v>0</v>
      </c>
      <c r="AC657" s="12" t="str">
        <f>IF(VLOOKUP(A657,Data_NV!$A:$I,7,0)="Không","",IF(OR(AND(Y657=0,Z657=0),AND(Y657&lt;&gt;0,Z657&lt;&gt;0)),"","Quên chấm công"))</f>
        <v/>
      </c>
      <c r="AD657" s="12">
        <f>IF(VLOOKUP(A657,Data_NV!$A:$I,7,0)="Không",0,IF(AND(Y657=0,Z657=0),0,IF(X657&lt;=Z657,0,ROUNDDOWN((X657-Z657)*24*60,0))))</f>
        <v>0</v>
      </c>
      <c r="AE657" s="12">
        <f>IF(VLOOKUP(A657,Data_NV!$A:$I,6,0)="Không",0,IF(Z657&lt;=X657,0,ROUNDDOWN((Z657-X657)*24*60,0)))</f>
        <v>74</v>
      </c>
      <c r="AF657" s="26">
        <f t="shared" si="43"/>
        <v>0</v>
      </c>
      <c r="AG657" s="27" t="str">
        <f>IF(AC657="","",IF(COUNTIFS($AC$3:AC657,"Quên chấm công",$S$3:S657,S657)&gt;3,"Không chấm công do vi phạm quá 3 lần",IF(COUNTIFS($AC$3:AC657,"Quên chấm công",$S$3:S657,S657)&gt;2,"Trừ toàn bộ chuyên cần tháng do vi phạm lần 3",IF(COUNTIFS($AC$3:AC657,"Quên chấm công",$S$3:S657,S657)&gt;1,"Trừ 1/2 ngày lương",50000))))</f>
        <v/>
      </c>
      <c r="AH657" s="12" t="str">
        <f>IF(AF657=0,"",IF(COUNTIFS($AF$3:AF657,"&gt;0",$S$3:S657,S657)&gt;3,"Trừ toàn bộ chuyên cần tháng",""))</f>
        <v/>
      </c>
      <c r="AI657" s="12"/>
    </row>
    <row r="658" spans="1:35" x14ac:dyDescent="0.25">
      <c r="A658" s="4" t="s">
        <v>963</v>
      </c>
      <c r="B658" s="1" t="s">
        <v>964</v>
      </c>
      <c r="C658" s="1" t="s">
        <v>20</v>
      </c>
      <c r="D658" s="1" t="s">
        <v>123</v>
      </c>
      <c r="E658" s="1" t="s">
        <v>22</v>
      </c>
      <c r="F658" s="1" t="s">
        <v>999</v>
      </c>
      <c r="G658" s="1" t="s">
        <v>12</v>
      </c>
      <c r="H658" s="1" t="s">
        <v>237</v>
      </c>
      <c r="I658" s="1" t="s">
        <v>24</v>
      </c>
      <c r="J658" s="1" t="s">
        <v>25</v>
      </c>
      <c r="K658" s="1" t="s">
        <v>25</v>
      </c>
      <c r="L658" s="1" t="s">
        <v>1000</v>
      </c>
      <c r="M658" s="1" t="s">
        <v>25</v>
      </c>
      <c r="N658" s="1" t="s">
        <v>25</v>
      </c>
      <c r="O658" s="1" t="s">
        <v>25</v>
      </c>
      <c r="P658" s="1" t="s">
        <v>25</v>
      </c>
      <c r="Q658" s="1" t="s">
        <v>25</v>
      </c>
      <c r="R658" s="85" t="str">
        <f t="shared" si="40"/>
        <v>5645926</v>
      </c>
      <c r="S658" t="str">
        <f>VLOOKUP(A658,Data_NV!$A:$C,3,0)</f>
        <v>Nguyễn Thị Lan Sy</v>
      </c>
      <c r="T658" t="str">
        <f>VLOOKUP(A658,Data_NV!$A:$E,4,0)</f>
        <v>Kế toán - Văn phòng</v>
      </c>
      <c r="U658" s="82">
        <f>DATEVALUE(Table2[[#This Row],[Ngày]])</f>
        <v>45926</v>
      </c>
      <c r="V658" t="str">
        <f>VLOOKUP(A658,Data_NV!$A:$E,5,0)</f>
        <v>Đang làm việc</v>
      </c>
      <c r="W658" s="10">
        <f>VLOOKUP(A658,Data_NV!$A:$I,8,0)</f>
        <v>0.33333333333333331</v>
      </c>
      <c r="X658" s="10">
        <f>VLOOKUP(A658,Data_NV!$A:$I,9,0)</f>
        <v>0.70833333333333337</v>
      </c>
      <c r="Y658" s="10">
        <f>IFERROR(TIMEVALUE(Table2[[#This Row],[Vào]]),0)</f>
        <v>0.32870370370370372</v>
      </c>
      <c r="Z658" s="10">
        <f>IFERROR(TIMEVALUE(Table2[[#This Row],[Ra]]),0)</f>
        <v>0</v>
      </c>
      <c r="AA658" t="str">
        <f t="shared" si="41"/>
        <v>x</v>
      </c>
      <c r="AB658" s="105">
        <f t="shared" si="42"/>
        <v>0</v>
      </c>
      <c r="AC658" s="12" t="str">
        <f>IF(VLOOKUP(A658,Data_NV!$A:$I,7,0)="Không","",IF(OR(AND(Y658=0,Z658=0),AND(Y658&lt;&gt;0,Z658&lt;&gt;0)),"","Quên chấm công"))</f>
        <v>Quên chấm công</v>
      </c>
      <c r="AD658" s="12">
        <f>IF(VLOOKUP(A658,Data_NV!$A:$I,7,0)="Không",0,IF(AND(Y658=0,Z658=0),0,IF(X658&lt;=Z658,0,ROUNDDOWN((X658-Z658)*24*60,0))))</f>
        <v>1020</v>
      </c>
      <c r="AE658" s="12">
        <f>IF(VLOOKUP(A658,Data_NV!$A:$I,6,0)="Không",0,IF(Z658&lt;=X658,0,ROUNDDOWN((Z658-X658)*24*60,0)))</f>
        <v>0</v>
      </c>
      <c r="AF658" s="26">
        <f t="shared" si="43"/>
        <v>0</v>
      </c>
      <c r="AG658" s="27">
        <f>IF(AC658="","",IF(COUNTIFS($AC$3:AC658,"Quên chấm công",$S$3:S658,S658)&gt;3,"Không chấm công do vi phạm quá 3 lần",IF(COUNTIFS($AC$3:AC658,"Quên chấm công",$S$3:S658,S658)&gt;2,"Trừ toàn bộ chuyên cần tháng do vi phạm lần 3",IF(COUNTIFS($AC$3:AC658,"Quên chấm công",$S$3:S658,S658)&gt;1,"Trừ 1/2 ngày lương",50000))))</f>
        <v>50000</v>
      </c>
      <c r="AH658" s="12" t="str">
        <f>IF(AF658=0,"",IF(COUNTIFS($AF$3:AF658,"&gt;0",$S$3:S658,S658)&gt;3,"Trừ toàn bộ chuyên cần tháng",""))</f>
        <v/>
      </c>
      <c r="AI658" s="12"/>
    </row>
    <row r="659" spans="1:35" x14ac:dyDescent="0.25">
      <c r="A659" s="4" t="s">
        <v>963</v>
      </c>
      <c r="B659" s="1" t="s">
        <v>964</v>
      </c>
      <c r="C659" s="1" t="s">
        <v>20</v>
      </c>
      <c r="D659" s="1" t="s">
        <v>125</v>
      </c>
      <c r="E659" s="1" t="s">
        <v>22</v>
      </c>
      <c r="F659" s="1" t="s">
        <v>23</v>
      </c>
      <c r="G659" s="1" t="s">
        <v>12</v>
      </c>
      <c r="H659" s="1" t="s">
        <v>24</v>
      </c>
      <c r="I659" s="1" t="s">
        <v>24</v>
      </c>
      <c r="J659" s="1" t="s">
        <v>25</v>
      </c>
      <c r="K659" s="1" t="s">
        <v>25</v>
      </c>
      <c r="L659" s="1" t="s">
        <v>26</v>
      </c>
      <c r="M659" s="1" t="s">
        <v>25</v>
      </c>
      <c r="N659" s="1" t="s">
        <v>25</v>
      </c>
      <c r="O659" s="1" t="s">
        <v>25</v>
      </c>
      <c r="P659" s="1" t="s">
        <v>25</v>
      </c>
      <c r="Q659" s="1" t="s">
        <v>25</v>
      </c>
      <c r="R659" s="85" t="str">
        <f t="shared" si="40"/>
        <v>5645927</v>
      </c>
      <c r="S659" t="str">
        <f>VLOOKUP(A659,Data_NV!$A:$C,3,0)</f>
        <v>Nguyễn Thị Lan Sy</v>
      </c>
      <c r="T659" t="str">
        <f>VLOOKUP(A659,Data_NV!$A:$E,4,0)</f>
        <v>Kế toán - Văn phòng</v>
      </c>
      <c r="U659" s="82">
        <f>DATEVALUE(Table2[[#This Row],[Ngày]])</f>
        <v>45927</v>
      </c>
      <c r="V659" t="str">
        <f>VLOOKUP(A659,Data_NV!$A:$E,5,0)</f>
        <v>Đang làm việc</v>
      </c>
      <c r="W659" s="10">
        <f>VLOOKUP(A659,Data_NV!$A:$I,8,0)</f>
        <v>0.33333333333333331</v>
      </c>
      <c r="X659" s="10">
        <f>VLOOKUP(A659,Data_NV!$A:$I,9,0)</f>
        <v>0.70833333333333337</v>
      </c>
      <c r="Y659" s="10">
        <f>IFERROR(TIMEVALUE(Table2[[#This Row],[Vào]]),0)</f>
        <v>0</v>
      </c>
      <c r="Z659" s="10">
        <f>IFERROR(TIMEVALUE(Table2[[#This Row],[Ra]]),0)</f>
        <v>0</v>
      </c>
      <c r="AA659" t="str">
        <f t="shared" si="41"/>
        <v/>
      </c>
      <c r="AB659" s="105">
        <f t="shared" si="42"/>
        <v>0</v>
      </c>
      <c r="AC659" s="12" t="str">
        <f>IF(VLOOKUP(A659,Data_NV!$A:$I,7,0)="Không","",IF(OR(AND(Y659=0,Z659=0),AND(Y659&lt;&gt;0,Z659&lt;&gt;0)),"","Quên chấm công"))</f>
        <v/>
      </c>
      <c r="AD659" s="12">
        <f>IF(VLOOKUP(A659,Data_NV!$A:$I,7,0)="Không",0,IF(AND(Y659=0,Z659=0),0,IF(X659&lt;=Z659,0,ROUNDDOWN((X659-Z659)*24*60,0))))</f>
        <v>0</v>
      </c>
      <c r="AE659" s="12">
        <f>IF(VLOOKUP(A659,Data_NV!$A:$I,6,0)="Không",0,IF(Z659&lt;=X659,0,ROUNDDOWN((Z659-X659)*24*60,0)))</f>
        <v>0</v>
      </c>
      <c r="AF659" s="26">
        <f t="shared" si="43"/>
        <v>0</v>
      </c>
      <c r="AG659" s="27" t="str">
        <f>IF(AC659="","",IF(COUNTIFS($AC$3:AC659,"Quên chấm công",$S$3:S659,S659)&gt;3,"Không chấm công do vi phạm quá 3 lần",IF(COUNTIFS($AC$3:AC659,"Quên chấm công",$S$3:S659,S659)&gt;2,"Trừ toàn bộ chuyên cần tháng do vi phạm lần 3",IF(COUNTIFS($AC$3:AC659,"Quên chấm công",$S$3:S659,S659)&gt;1,"Trừ 1/2 ngày lương",50000))))</f>
        <v/>
      </c>
      <c r="AH659" s="12" t="str">
        <f>IF(AF659=0,"",IF(COUNTIFS($AF$3:AF659,"&gt;0",$S$3:S659,S659)&gt;3,"Trừ toàn bộ chuyên cần tháng",""))</f>
        <v/>
      </c>
      <c r="AI659" s="12" t="s">
        <v>1413</v>
      </c>
    </row>
    <row r="660" spans="1:35" x14ac:dyDescent="0.25">
      <c r="A660" s="4" t="s">
        <v>963</v>
      </c>
      <c r="B660" s="1" t="s">
        <v>964</v>
      </c>
      <c r="C660" s="1" t="s">
        <v>20</v>
      </c>
      <c r="D660" s="1" t="s">
        <v>130</v>
      </c>
      <c r="E660" s="1" t="s">
        <v>22</v>
      </c>
      <c r="F660" s="1" t="s">
        <v>23</v>
      </c>
      <c r="G660" s="1" t="s">
        <v>12</v>
      </c>
      <c r="H660" s="1" t="s">
        <v>24</v>
      </c>
      <c r="I660" s="1" t="s">
        <v>24</v>
      </c>
      <c r="J660" s="1" t="s">
        <v>25</v>
      </c>
      <c r="K660" s="1" t="s">
        <v>25</v>
      </c>
      <c r="L660" s="1" t="s">
        <v>26</v>
      </c>
      <c r="M660" s="1" t="s">
        <v>25</v>
      </c>
      <c r="N660" s="1" t="s">
        <v>25</v>
      </c>
      <c r="O660" s="1" t="s">
        <v>25</v>
      </c>
      <c r="P660" s="1" t="s">
        <v>25</v>
      </c>
      <c r="Q660" s="1" t="s">
        <v>25</v>
      </c>
      <c r="R660" s="85" t="str">
        <f t="shared" si="40"/>
        <v>5645928</v>
      </c>
      <c r="S660" t="str">
        <f>VLOOKUP(A660,Data_NV!$A:$C,3,0)</f>
        <v>Nguyễn Thị Lan Sy</v>
      </c>
      <c r="T660" t="str">
        <f>VLOOKUP(A660,Data_NV!$A:$E,4,0)</f>
        <v>Kế toán - Văn phòng</v>
      </c>
      <c r="U660" s="82">
        <f>DATEVALUE(Table2[[#This Row],[Ngày]])</f>
        <v>45928</v>
      </c>
      <c r="V660" t="str">
        <f>VLOOKUP(A660,Data_NV!$A:$E,5,0)</f>
        <v>Đang làm việc</v>
      </c>
      <c r="W660" s="10">
        <f>VLOOKUP(A660,Data_NV!$A:$I,8,0)</f>
        <v>0.33333333333333331</v>
      </c>
      <c r="X660" s="10">
        <f>VLOOKUP(A660,Data_NV!$A:$I,9,0)</f>
        <v>0.70833333333333337</v>
      </c>
      <c r="Y660" s="10">
        <f>IFERROR(TIMEVALUE(Table2[[#This Row],[Vào]]),0)</f>
        <v>0</v>
      </c>
      <c r="Z660" s="10">
        <f>IFERROR(TIMEVALUE(Table2[[#This Row],[Ra]]),0)</f>
        <v>0</v>
      </c>
      <c r="AA660" t="str">
        <f t="shared" si="41"/>
        <v>Chủ nhật</v>
      </c>
      <c r="AB660" s="105">
        <f t="shared" si="42"/>
        <v>0</v>
      </c>
      <c r="AC660" s="12" t="str">
        <f>IF(VLOOKUP(A660,Data_NV!$A:$I,7,0)="Không","",IF(OR(AND(Y660=0,Z660=0),AND(Y660&lt;&gt;0,Z660&lt;&gt;0)),"","Quên chấm công"))</f>
        <v/>
      </c>
      <c r="AD660" s="12">
        <f>IF(VLOOKUP(A660,Data_NV!$A:$I,7,0)="Không",0,IF(AND(Y660=0,Z660=0),0,IF(X660&lt;=Z660,0,ROUNDDOWN((X660-Z660)*24*60,0))))</f>
        <v>0</v>
      </c>
      <c r="AE660" s="12">
        <f>IF(VLOOKUP(A660,Data_NV!$A:$I,6,0)="Không",0,IF(Z660&lt;=X660,0,ROUNDDOWN((Z660-X660)*24*60,0)))</f>
        <v>0</v>
      </c>
      <c r="AF660" s="26">
        <f t="shared" si="43"/>
        <v>0</v>
      </c>
      <c r="AG660" s="27" t="str">
        <f>IF(AC660="","",IF(COUNTIFS($AC$3:AC660,"Quên chấm công",$S$3:S660,S660)&gt;3,"Không chấm công do vi phạm quá 3 lần",IF(COUNTIFS($AC$3:AC660,"Quên chấm công",$S$3:S660,S660)&gt;2,"Trừ toàn bộ chuyên cần tháng do vi phạm lần 3",IF(COUNTIFS($AC$3:AC660,"Quên chấm công",$S$3:S660,S660)&gt;1,"Trừ 1/2 ngày lương",50000))))</f>
        <v/>
      </c>
      <c r="AH660" s="12" t="str">
        <f>IF(AF660=0,"",IF(COUNTIFS($AF$3:AF660,"&gt;0",$S$3:S660,S660)&gt;3,"Trừ toàn bộ chuyên cần tháng",""))</f>
        <v/>
      </c>
      <c r="AI660" s="12"/>
    </row>
    <row r="661" spans="1:35" x14ac:dyDescent="0.25">
      <c r="A661" s="4" t="s">
        <v>963</v>
      </c>
      <c r="B661" s="1" t="s">
        <v>964</v>
      </c>
      <c r="C661" s="1" t="s">
        <v>20</v>
      </c>
      <c r="D661" s="1" t="s">
        <v>131</v>
      </c>
      <c r="E661" s="1" t="s">
        <v>22</v>
      </c>
      <c r="F661" s="1" t="s">
        <v>23</v>
      </c>
      <c r="G661" s="1" t="s">
        <v>12</v>
      </c>
      <c r="H661" s="1" t="s">
        <v>24</v>
      </c>
      <c r="I661" s="1" t="s">
        <v>24</v>
      </c>
      <c r="J661" s="1" t="s">
        <v>25</v>
      </c>
      <c r="K661" s="1" t="s">
        <v>25</v>
      </c>
      <c r="L661" s="1" t="s">
        <v>26</v>
      </c>
      <c r="M661" s="1" t="s">
        <v>25</v>
      </c>
      <c r="N661" s="1" t="s">
        <v>25</v>
      </c>
      <c r="O661" s="1" t="s">
        <v>25</v>
      </c>
      <c r="P661" s="1" t="s">
        <v>25</v>
      </c>
      <c r="Q661" s="1" t="s">
        <v>25</v>
      </c>
      <c r="R661" s="85" t="str">
        <f t="shared" si="40"/>
        <v>5645929</v>
      </c>
      <c r="S661" t="str">
        <f>VLOOKUP(A661,Data_NV!$A:$C,3,0)</f>
        <v>Nguyễn Thị Lan Sy</v>
      </c>
      <c r="T661" t="str">
        <f>VLOOKUP(A661,Data_NV!$A:$E,4,0)</f>
        <v>Kế toán - Văn phòng</v>
      </c>
      <c r="U661" s="82">
        <f>DATEVALUE(Table2[[#This Row],[Ngày]])</f>
        <v>45929</v>
      </c>
      <c r="V661" t="str">
        <f>VLOOKUP(A661,Data_NV!$A:$E,5,0)</f>
        <v>Đang làm việc</v>
      </c>
      <c r="W661" s="10">
        <f>VLOOKUP(A661,Data_NV!$A:$I,8,0)</f>
        <v>0.33333333333333331</v>
      </c>
      <c r="X661" s="10">
        <f>VLOOKUP(A661,Data_NV!$A:$I,9,0)</f>
        <v>0.70833333333333337</v>
      </c>
      <c r="Y661" s="10">
        <f>IFERROR(TIMEVALUE(Table2[[#This Row],[Vào]]),0)</f>
        <v>0</v>
      </c>
      <c r="Z661" s="10">
        <f>IFERROR(TIMEVALUE(Table2[[#This Row],[Ra]]),0)</f>
        <v>0</v>
      </c>
      <c r="AA661" t="str">
        <f t="shared" si="41"/>
        <v/>
      </c>
      <c r="AB661" s="105">
        <f t="shared" si="42"/>
        <v>0</v>
      </c>
      <c r="AC661" s="12" t="str">
        <f>IF(VLOOKUP(A661,Data_NV!$A:$I,7,0)="Không","",IF(OR(AND(Y661=0,Z661=0),AND(Y661&lt;&gt;0,Z661&lt;&gt;0)),"","Quên chấm công"))</f>
        <v/>
      </c>
      <c r="AD661" s="12">
        <f>IF(VLOOKUP(A661,Data_NV!$A:$I,7,0)="Không",0,IF(AND(Y661=0,Z661=0),0,IF(X661&lt;=Z661,0,ROUNDDOWN((X661-Z661)*24*60,0))))</f>
        <v>0</v>
      </c>
      <c r="AE661" s="12">
        <f>IF(VLOOKUP(A661,Data_NV!$A:$I,6,0)="Không",0,IF(Z661&lt;=X661,0,ROUNDDOWN((Z661-X661)*24*60,0)))</f>
        <v>0</v>
      </c>
      <c r="AF661" s="26">
        <f t="shared" si="43"/>
        <v>0</v>
      </c>
      <c r="AG661" s="27" t="str">
        <f>IF(AC661="","",IF(COUNTIFS($AC$3:AC661,"Quên chấm công",$S$3:S661,S661)&gt;3,"Không chấm công do vi phạm quá 3 lần",IF(COUNTIFS($AC$3:AC661,"Quên chấm công",$S$3:S661,S661)&gt;2,"Trừ toàn bộ chuyên cần tháng do vi phạm lần 3",IF(COUNTIFS($AC$3:AC661,"Quên chấm công",$S$3:S661,S661)&gt;1,"Trừ 1/2 ngày lương",50000))))</f>
        <v/>
      </c>
      <c r="AH661" s="12" t="str">
        <f>IF(AF661=0,"",IF(COUNTIFS($AF$3:AF661,"&gt;0",$S$3:S661,S661)&gt;3,"Trừ toàn bộ chuyên cần tháng",""))</f>
        <v/>
      </c>
      <c r="AI661" s="12" t="s">
        <v>1413</v>
      </c>
    </row>
    <row r="662" spans="1:35" x14ac:dyDescent="0.25">
      <c r="A662" s="4" t="s">
        <v>963</v>
      </c>
      <c r="B662" s="1" t="s">
        <v>964</v>
      </c>
      <c r="C662" s="1" t="s">
        <v>20</v>
      </c>
      <c r="D662" s="1" t="s">
        <v>136</v>
      </c>
      <c r="E662" s="1" t="s">
        <v>22</v>
      </c>
      <c r="F662" s="1" t="s">
        <v>23</v>
      </c>
      <c r="G662" s="1" t="s">
        <v>29</v>
      </c>
      <c r="H662" s="1" t="s">
        <v>1001</v>
      </c>
      <c r="I662" s="1" t="s">
        <v>1002</v>
      </c>
      <c r="J662" s="1" t="s">
        <v>25</v>
      </c>
      <c r="K662" s="1" t="s">
        <v>559</v>
      </c>
      <c r="L662" s="1" t="s">
        <v>25</v>
      </c>
      <c r="M662" s="1" t="s">
        <v>26</v>
      </c>
      <c r="N662" s="1" t="s">
        <v>25</v>
      </c>
      <c r="O662" s="1" t="s">
        <v>560</v>
      </c>
      <c r="P662" s="1" t="s">
        <v>25</v>
      </c>
      <c r="Q662" s="1" t="s">
        <v>25</v>
      </c>
      <c r="R662" s="85" t="str">
        <f t="shared" si="40"/>
        <v>5645930</v>
      </c>
      <c r="S662" t="str">
        <f>VLOOKUP(A662,Data_NV!$A:$C,3,0)</f>
        <v>Nguyễn Thị Lan Sy</v>
      </c>
      <c r="T662" t="str">
        <f>VLOOKUP(A662,Data_NV!$A:$E,4,0)</f>
        <v>Kế toán - Văn phòng</v>
      </c>
      <c r="U662" s="82">
        <f>DATEVALUE(Table2[[#This Row],[Ngày]])</f>
        <v>45930</v>
      </c>
      <c r="V662" t="str">
        <f>VLOOKUP(A662,Data_NV!$A:$E,5,0)</f>
        <v>Đang làm việc</v>
      </c>
      <c r="W662" s="10">
        <f>VLOOKUP(A662,Data_NV!$A:$I,8,0)</f>
        <v>0.33333333333333331</v>
      </c>
      <c r="X662" s="10">
        <f>VLOOKUP(A662,Data_NV!$A:$I,9,0)</f>
        <v>0.70833333333333337</v>
      </c>
      <c r="Y662" s="10">
        <f>IFERROR(TIMEVALUE(Table2[[#This Row],[Vào]]),0)</f>
        <v>0.32989583333333333</v>
      </c>
      <c r="Z662" s="10">
        <f>IFERROR(TIMEVALUE(Table2[[#This Row],[Ra]]),0)</f>
        <v>0.7353587962962963</v>
      </c>
      <c r="AA662" t="str">
        <f t="shared" si="41"/>
        <v>x</v>
      </c>
      <c r="AB662" s="105">
        <f t="shared" si="42"/>
        <v>0</v>
      </c>
      <c r="AC662" s="12" t="str">
        <f>IF(VLOOKUP(A662,Data_NV!$A:$I,7,0)="Không","",IF(OR(AND(Y662=0,Z662=0),AND(Y662&lt;&gt;0,Z662&lt;&gt;0)),"","Quên chấm công"))</f>
        <v/>
      </c>
      <c r="AD662" s="12">
        <f>IF(VLOOKUP(A662,Data_NV!$A:$I,7,0)="Không",0,IF(AND(Y662=0,Z662=0),0,IF(X662&lt;=Z662,0,ROUNDDOWN((X662-Z662)*24*60,0))))</f>
        <v>0</v>
      </c>
      <c r="AE662" s="12">
        <f>IF(VLOOKUP(A662,Data_NV!$A:$I,6,0)="Không",0,IF(Z662&lt;=X662,0,ROUNDDOWN((Z662-X662)*24*60,0)))</f>
        <v>38</v>
      </c>
      <c r="AF662" s="26">
        <f t="shared" si="43"/>
        <v>0</v>
      </c>
      <c r="AG662" s="27" t="str">
        <f>IF(AC662="","",IF(COUNTIFS($AC$3:AC662,"Quên chấm công",$S$3:S662,S662)&gt;3,"Không chấm công do vi phạm quá 3 lần",IF(COUNTIFS($AC$3:AC662,"Quên chấm công",$S$3:S662,S662)&gt;2,"Trừ toàn bộ chuyên cần tháng do vi phạm lần 3",IF(COUNTIFS($AC$3:AC662,"Quên chấm công",$S$3:S662,S662)&gt;1,"Trừ 1/2 ngày lương",50000))))</f>
        <v/>
      </c>
      <c r="AH662" s="12" t="str">
        <f>IF(AF662=0,"",IF(COUNTIFS($AF$3:AF662,"&gt;0",$S$3:S662,S662)&gt;3,"Trừ toàn bộ chuyên cần tháng",""))</f>
        <v/>
      </c>
      <c r="AI662" s="12"/>
    </row>
    <row r="663" spans="1:35" x14ac:dyDescent="0.25">
      <c r="A663" s="4" t="s">
        <v>1006</v>
      </c>
      <c r="B663" s="1" t="s">
        <v>1007</v>
      </c>
      <c r="C663" s="1" t="s">
        <v>20</v>
      </c>
      <c r="D663" s="1" t="s">
        <v>21</v>
      </c>
      <c r="E663" s="1" t="s">
        <v>22</v>
      </c>
      <c r="F663" s="1" t="s">
        <v>23</v>
      </c>
      <c r="G663" s="1" t="s">
        <v>12</v>
      </c>
      <c r="H663" s="1" t="s">
        <v>24</v>
      </c>
      <c r="I663" s="1" t="s">
        <v>24</v>
      </c>
      <c r="J663" s="1" t="s">
        <v>25</v>
      </c>
      <c r="K663" s="1" t="s">
        <v>25</v>
      </c>
      <c r="L663" s="1" t="s">
        <v>26</v>
      </c>
      <c r="M663" s="1" t="s">
        <v>25</v>
      </c>
      <c r="N663" s="1" t="s">
        <v>25</v>
      </c>
      <c r="O663" s="1" t="s">
        <v>25</v>
      </c>
      <c r="P663" s="1" t="s">
        <v>25</v>
      </c>
      <c r="Q663" s="1" t="s">
        <v>25</v>
      </c>
      <c r="R663" s="85" t="str">
        <f t="shared" si="40"/>
        <v>5945901</v>
      </c>
      <c r="S663" t="str">
        <f>VLOOKUP(A663,Data_NV!$A:$C,3,0)</f>
        <v>Nguyễn Thanh Phương</v>
      </c>
      <c r="T663" t="str">
        <f>VLOOKUP(A663,Data_NV!$A:$E,4,0)</f>
        <v>Vận Hành</v>
      </c>
      <c r="U663" s="82">
        <f>DATEVALUE(Table2[[#This Row],[Ngày]])</f>
        <v>45901</v>
      </c>
      <c r="V663" t="str">
        <f>VLOOKUP(A663,Data_NV!$A:$E,5,0)</f>
        <v>Đang làm việc</v>
      </c>
      <c r="W663" s="10">
        <f>VLOOKUP(A663,Data_NV!$A:$I,8,0)</f>
        <v>0.3125</v>
      </c>
      <c r="X663" s="10">
        <f>VLOOKUP(A663,Data_NV!$A:$I,9,0)</f>
        <v>0.6875</v>
      </c>
      <c r="Y663" s="10">
        <f>IFERROR(TIMEVALUE(Table2[[#This Row],[Vào]]),0)</f>
        <v>0</v>
      </c>
      <c r="Z663" s="10">
        <f>IFERROR(TIMEVALUE(Table2[[#This Row],[Ra]]),0)</f>
        <v>0</v>
      </c>
      <c r="AA663" s="97" t="s">
        <v>1349</v>
      </c>
      <c r="AB663" s="105">
        <f t="shared" si="42"/>
        <v>0</v>
      </c>
      <c r="AC663" s="12" t="str">
        <f>IF(VLOOKUP(A663,Data_NV!$A:$I,7,0)="Không","",IF(OR(AND(Y663=0,Z663=0),AND(Y663&lt;&gt;0,Z663&lt;&gt;0)),"","Quên chấm công"))</f>
        <v/>
      </c>
      <c r="AD663" s="12">
        <f>IF(VLOOKUP(A663,Data_NV!$A:$I,7,0)="Không",0,IF(AND(Y663=0,Z663=0),0,IF(X663&lt;=Z663,0,ROUNDDOWN((X663-Z663)*24*60,0))))</f>
        <v>0</v>
      </c>
      <c r="AE663" s="12">
        <f>IF(VLOOKUP(A663,Data_NV!$A:$I,6,0)="Không",0,IF(Z663&lt;=X663,0,ROUNDDOWN((Z663-X663)*24*60,0)))</f>
        <v>0</v>
      </c>
      <c r="AF663" s="26">
        <f t="shared" si="43"/>
        <v>0</v>
      </c>
      <c r="AG663" s="27" t="str">
        <f>IF(AC663="","",IF(COUNTIFS($AC$3:AC663,"Quên chấm công",$S$3:S663,S663)&gt;3,"Không chấm công do vi phạm quá 3 lần",IF(COUNTIFS($AC$3:AC663,"Quên chấm công",$S$3:S663,S663)&gt;2,"Trừ toàn bộ chuyên cần tháng do vi phạm lần 3",IF(COUNTIFS($AC$3:AC663,"Quên chấm công",$S$3:S663,S663)&gt;1,"Trừ 1/2 ngày lương",50000))))</f>
        <v/>
      </c>
      <c r="AH663" s="12" t="str">
        <f>IF(AF663=0,"",IF(COUNTIFS($AF$3:AF663,"&gt;0",$S$3:S663,S663)&gt;3,"Trừ toàn bộ chuyên cần tháng",""))</f>
        <v/>
      </c>
      <c r="AI663" s="98" t="s">
        <v>1369</v>
      </c>
    </row>
    <row r="664" spans="1:35" x14ac:dyDescent="0.25">
      <c r="A664" s="4" t="s">
        <v>1006</v>
      </c>
      <c r="B664" s="1" t="s">
        <v>1007</v>
      </c>
      <c r="C664" s="1" t="s">
        <v>20</v>
      </c>
      <c r="D664" s="1" t="s">
        <v>27</v>
      </c>
      <c r="E664" s="1" t="s">
        <v>22</v>
      </c>
      <c r="F664" s="1" t="s">
        <v>23</v>
      </c>
      <c r="G664" s="1" t="s">
        <v>12</v>
      </c>
      <c r="H664" s="1" t="s">
        <v>24</v>
      </c>
      <c r="I664" s="1" t="s">
        <v>24</v>
      </c>
      <c r="J664" s="1" t="s">
        <v>25</v>
      </c>
      <c r="K664" s="1" t="s">
        <v>25</v>
      </c>
      <c r="L664" s="1" t="s">
        <v>26</v>
      </c>
      <c r="M664" s="1" t="s">
        <v>25</v>
      </c>
      <c r="N664" s="1" t="s">
        <v>25</v>
      </c>
      <c r="O664" s="1" t="s">
        <v>25</v>
      </c>
      <c r="P664" s="1" t="s">
        <v>25</v>
      </c>
      <c r="Q664" s="1" t="s">
        <v>25</v>
      </c>
      <c r="R664" s="85" t="str">
        <f t="shared" si="40"/>
        <v>5945902</v>
      </c>
      <c r="S664" t="str">
        <f>VLOOKUP(A664,Data_NV!$A:$C,3,0)</f>
        <v>Nguyễn Thanh Phương</v>
      </c>
      <c r="T664" t="str">
        <f>VLOOKUP(A664,Data_NV!$A:$E,4,0)</f>
        <v>Vận Hành</v>
      </c>
      <c r="U664" s="82">
        <f>DATEVALUE(Table2[[#This Row],[Ngày]])</f>
        <v>45902</v>
      </c>
      <c r="V664" t="str">
        <f>VLOOKUP(A664,Data_NV!$A:$E,5,0)</f>
        <v>Đang làm việc</v>
      </c>
      <c r="W664" s="10">
        <f>VLOOKUP(A664,Data_NV!$A:$I,8,0)</f>
        <v>0.3125</v>
      </c>
      <c r="X664" s="10">
        <f>VLOOKUP(A664,Data_NV!$A:$I,9,0)</f>
        <v>0.6875</v>
      </c>
      <c r="Y664" s="10">
        <f>IFERROR(TIMEVALUE(Table2[[#This Row],[Vào]]),0)</f>
        <v>0</v>
      </c>
      <c r="Z664" s="10">
        <f>IFERROR(TIMEVALUE(Table2[[#This Row],[Ra]]),0)</f>
        <v>0</v>
      </c>
      <c r="AA664" s="97" t="s">
        <v>1349</v>
      </c>
      <c r="AB664" s="105">
        <f t="shared" si="42"/>
        <v>0</v>
      </c>
      <c r="AC664" s="12" t="str">
        <f>IF(VLOOKUP(A664,Data_NV!$A:$I,7,0)="Không","",IF(OR(AND(Y664=0,Z664=0),AND(Y664&lt;&gt;0,Z664&lt;&gt;0)),"","Quên chấm công"))</f>
        <v/>
      </c>
      <c r="AD664" s="12">
        <f>IF(VLOOKUP(A664,Data_NV!$A:$I,7,0)="Không",0,IF(AND(Y664=0,Z664=0),0,IF(X664&lt;=Z664,0,ROUNDDOWN((X664-Z664)*24*60,0))))</f>
        <v>0</v>
      </c>
      <c r="AE664" s="12">
        <f>IF(VLOOKUP(A664,Data_NV!$A:$I,6,0)="Không",0,IF(Z664&lt;=X664,0,ROUNDDOWN((Z664-X664)*24*60,0)))</f>
        <v>0</v>
      </c>
      <c r="AF664" s="26">
        <f t="shared" si="43"/>
        <v>0</v>
      </c>
      <c r="AG664" s="27" t="str">
        <f>IF(AC664="","",IF(COUNTIFS($AC$3:AC664,"Quên chấm công",$S$3:S664,S664)&gt;3,"Không chấm công do vi phạm quá 3 lần",IF(COUNTIFS($AC$3:AC664,"Quên chấm công",$S$3:S664,S664)&gt;2,"Trừ toàn bộ chuyên cần tháng do vi phạm lần 3",IF(COUNTIFS($AC$3:AC664,"Quên chấm công",$S$3:S664,S664)&gt;1,"Trừ 1/2 ngày lương",50000))))</f>
        <v/>
      </c>
      <c r="AH664" s="12" t="str">
        <f>IF(AF664=0,"",IF(COUNTIFS($AF$3:AF664,"&gt;0",$S$3:S664,S664)&gt;3,"Trừ toàn bộ chuyên cần tháng",""))</f>
        <v/>
      </c>
      <c r="AI664" s="98" t="s">
        <v>1369</v>
      </c>
    </row>
    <row r="665" spans="1:35" x14ac:dyDescent="0.25">
      <c r="A665" s="4" t="s">
        <v>1006</v>
      </c>
      <c r="B665" s="1" t="s">
        <v>1007</v>
      </c>
      <c r="C665" s="1" t="s">
        <v>20</v>
      </c>
      <c r="D665" s="1" t="s">
        <v>28</v>
      </c>
      <c r="E665" s="1" t="s">
        <v>22</v>
      </c>
      <c r="F665" s="1" t="s">
        <v>23</v>
      </c>
      <c r="G665" s="1" t="s">
        <v>12</v>
      </c>
      <c r="H665" s="1" t="s">
        <v>1008</v>
      </c>
      <c r="I665" s="1" t="s">
        <v>24</v>
      </c>
      <c r="J665" s="1" t="s">
        <v>25</v>
      </c>
      <c r="K665" s="1" t="s">
        <v>25</v>
      </c>
      <c r="L665" s="1" t="s">
        <v>26</v>
      </c>
      <c r="M665" s="1" t="s">
        <v>25</v>
      </c>
      <c r="N665" s="1" t="s">
        <v>25</v>
      </c>
      <c r="O665" s="1" t="s">
        <v>25</v>
      </c>
      <c r="P665" s="1" t="s">
        <v>25</v>
      </c>
      <c r="Q665" s="1" t="s">
        <v>25</v>
      </c>
      <c r="R665" s="85" t="str">
        <f t="shared" si="40"/>
        <v>5945903</v>
      </c>
      <c r="S665" t="str">
        <f>VLOOKUP(A665,Data_NV!$A:$C,3,0)</f>
        <v>Nguyễn Thanh Phương</v>
      </c>
      <c r="T665" t="str">
        <f>VLOOKUP(A665,Data_NV!$A:$E,4,0)</f>
        <v>Vận Hành</v>
      </c>
      <c r="U665" s="82">
        <f>DATEVALUE(Table2[[#This Row],[Ngày]])</f>
        <v>45903</v>
      </c>
      <c r="V665" t="str">
        <f>VLOOKUP(A665,Data_NV!$A:$E,5,0)</f>
        <v>Đang làm việc</v>
      </c>
      <c r="W665" s="10">
        <f>VLOOKUP(A665,Data_NV!$A:$I,8,0)</f>
        <v>0.3125</v>
      </c>
      <c r="X665" s="10">
        <f>VLOOKUP(A665,Data_NV!$A:$I,9,0)</f>
        <v>0.6875</v>
      </c>
      <c r="Y665" s="10">
        <f>IFERROR(TIMEVALUE(Table2[[#This Row],[Vào]]),0)</f>
        <v>0.30451388888888886</v>
      </c>
      <c r="Z665" s="10">
        <f>IFERROR(TIMEVALUE(Table2[[#This Row],[Ra]]),0)</f>
        <v>0</v>
      </c>
      <c r="AA665" t="str">
        <f t="shared" si="41"/>
        <v>x</v>
      </c>
      <c r="AB665" s="105">
        <f t="shared" si="42"/>
        <v>0</v>
      </c>
      <c r="AC665" s="12" t="str">
        <f>IF(VLOOKUP(A665,Data_NV!$A:$I,7,0)="Không","",IF(OR(AND(Y665=0,Z665=0),AND(Y665&lt;&gt;0,Z665&lt;&gt;0)),"","Quên chấm công"))</f>
        <v/>
      </c>
      <c r="AD665" s="12">
        <f>IF(VLOOKUP(A665,Data_NV!$A:$I,7,0)="Không",0,IF(AND(Y665=0,Z665=0),0,IF(X665&lt;=Z665,0,ROUNDDOWN((X665-Z665)*24*60,0))))</f>
        <v>0</v>
      </c>
      <c r="AE665" s="12">
        <f>IF(VLOOKUP(A665,Data_NV!$A:$I,6,0)="Không",0,IF(Z665&lt;=X665,0,ROUNDDOWN((Z665-X665)*24*60,0)))</f>
        <v>0</v>
      </c>
      <c r="AF665" s="26">
        <f t="shared" si="43"/>
        <v>0</v>
      </c>
      <c r="AG665" s="27" t="str">
        <f>IF(AC665="","",IF(COUNTIFS($AC$3:AC665,"Quên chấm công",$S$3:S665,S665)&gt;3,"Không chấm công do vi phạm quá 3 lần",IF(COUNTIFS($AC$3:AC665,"Quên chấm công",$S$3:S665,S665)&gt;2,"Trừ toàn bộ chuyên cần tháng do vi phạm lần 3",IF(COUNTIFS($AC$3:AC665,"Quên chấm công",$S$3:S665,S665)&gt;1,"Trừ 1/2 ngày lương",50000))))</f>
        <v/>
      </c>
      <c r="AH665" s="12" t="str">
        <f>IF(AF665=0,"",IF(COUNTIFS($AF$3:AF665,"&gt;0",$S$3:S665,S665)&gt;3,"Trừ toàn bộ chuyên cần tháng",""))</f>
        <v/>
      </c>
      <c r="AI665" s="12"/>
    </row>
    <row r="666" spans="1:35" x14ac:dyDescent="0.25">
      <c r="A666" s="4" t="s">
        <v>1006</v>
      </c>
      <c r="B666" s="1" t="s">
        <v>1007</v>
      </c>
      <c r="C666" s="1" t="s">
        <v>20</v>
      </c>
      <c r="D666" s="1" t="s">
        <v>35</v>
      </c>
      <c r="E666" s="1" t="s">
        <v>22</v>
      </c>
      <c r="F666" s="1" t="s">
        <v>23</v>
      </c>
      <c r="G666" s="1" t="s">
        <v>12</v>
      </c>
      <c r="H666" s="1" t="s">
        <v>1009</v>
      </c>
      <c r="I666" s="1" t="s">
        <v>24</v>
      </c>
      <c r="J666" s="1" t="s">
        <v>25</v>
      </c>
      <c r="K666" s="1" t="s">
        <v>25</v>
      </c>
      <c r="L666" s="1" t="s">
        <v>26</v>
      </c>
      <c r="M666" s="1" t="s">
        <v>25</v>
      </c>
      <c r="N666" s="1" t="s">
        <v>25</v>
      </c>
      <c r="O666" s="1" t="s">
        <v>25</v>
      </c>
      <c r="P666" s="1" t="s">
        <v>25</v>
      </c>
      <c r="Q666" s="1" t="s">
        <v>25</v>
      </c>
      <c r="R666" s="85" t="str">
        <f t="shared" si="40"/>
        <v>5945904</v>
      </c>
      <c r="S666" t="str">
        <f>VLOOKUP(A666,Data_NV!$A:$C,3,0)</f>
        <v>Nguyễn Thanh Phương</v>
      </c>
      <c r="T666" t="str">
        <f>VLOOKUP(A666,Data_NV!$A:$E,4,0)</f>
        <v>Vận Hành</v>
      </c>
      <c r="U666" s="82">
        <f>DATEVALUE(Table2[[#This Row],[Ngày]])</f>
        <v>45904</v>
      </c>
      <c r="V666" t="str">
        <f>VLOOKUP(A666,Data_NV!$A:$E,5,0)</f>
        <v>Đang làm việc</v>
      </c>
      <c r="W666" s="10">
        <f>VLOOKUP(A666,Data_NV!$A:$I,8,0)</f>
        <v>0.3125</v>
      </c>
      <c r="X666" s="10">
        <f>VLOOKUP(A666,Data_NV!$A:$I,9,0)</f>
        <v>0.6875</v>
      </c>
      <c r="Y666" s="10">
        <f>IFERROR(TIMEVALUE(Table2[[#This Row],[Vào]]),0)</f>
        <v>0.30751157407407409</v>
      </c>
      <c r="Z666" s="10">
        <f>IFERROR(TIMEVALUE(Table2[[#This Row],[Ra]]),0)</f>
        <v>0</v>
      </c>
      <c r="AA666" t="str">
        <f t="shared" si="41"/>
        <v>x</v>
      </c>
      <c r="AB666" s="105">
        <f t="shared" si="42"/>
        <v>0</v>
      </c>
      <c r="AC666" s="12" t="str">
        <f>IF(VLOOKUP(A666,Data_NV!$A:$I,7,0)="Không","",IF(OR(AND(Y666=0,Z666=0),AND(Y666&lt;&gt;0,Z666&lt;&gt;0)),"","Quên chấm công"))</f>
        <v/>
      </c>
      <c r="AD666" s="12">
        <f>IF(VLOOKUP(A666,Data_NV!$A:$I,7,0)="Không",0,IF(AND(Y666=0,Z666=0),0,IF(X666&lt;=Z666,0,ROUNDDOWN((X666-Z666)*24*60,0))))</f>
        <v>0</v>
      </c>
      <c r="AE666" s="12">
        <f>IF(VLOOKUP(A666,Data_NV!$A:$I,6,0)="Không",0,IF(Z666&lt;=X666,0,ROUNDDOWN((Z666-X666)*24*60,0)))</f>
        <v>0</v>
      </c>
      <c r="AF666" s="26">
        <f t="shared" si="43"/>
        <v>0</v>
      </c>
      <c r="AG666" s="27" t="str">
        <f>IF(AC666="","",IF(COUNTIFS($AC$3:AC666,"Quên chấm công",$S$3:S666,S666)&gt;3,"Không chấm công do vi phạm quá 3 lần",IF(COUNTIFS($AC$3:AC666,"Quên chấm công",$S$3:S666,S666)&gt;2,"Trừ toàn bộ chuyên cần tháng do vi phạm lần 3",IF(COUNTIFS($AC$3:AC666,"Quên chấm công",$S$3:S666,S666)&gt;1,"Trừ 1/2 ngày lương",50000))))</f>
        <v/>
      </c>
      <c r="AH666" s="12" t="str">
        <f>IF(AF666=0,"",IF(COUNTIFS($AF$3:AF666,"&gt;0",$S$3:S666,S666)&gt;3,"Trừ toàn bộ chuyên cần tháng",""))</f>
        <v/>
      </c>
      <c r="AI666" s="12"/>
    </row>
    <row r="667" spans="1:35" x14ac:dyDescent="0.25">
      <c r="A667" s="4" t="s">
        <v>1006</v>
      </c>
      <c r="B667" s="1" t="s">
        <v>1007</v>
      </c>
      <c r="C667" s="1" t="s">
        <v>20</v>
      </c>
      <c r="D667" s="1" t="s">
        <v>37</v>
      </c>
      <c r="E667" s="1" t="s">
        <v>22</v>
      </c>
      <c r="F667" s="1" t="s">
        <v>23</v>
      </c>
      <c r="G667" s="1" t="s">
        <v>12</v>
      </c>
      <c r="H667" s="1" t="s">
        <v>1010</v>
      </c>
      <c r="I667" s="1" t="s">
        <v>24</v>
      </c>
      <c r="J667" s="1" t="s">
        <v>25</v>
      </c>
      <c r="K667" s="1" t="s">
        <v>25</v>
      </c>
      <c r="L667" s="1" t="s">
        <v>26</v>
      </c>
      <c r="M667" s="1" t="s">
        <v>25</v>
      </c>
      <c r="N667" s="1" t="s">
        <v>25</v>
      </c>
      <c r="O667" s="1" t="s">
        <v>25</v>
      </c>
      <c r="P667" s="1" t="s">
        <v>25</v>
      </c>
      <c r="Q667" s="1" t="s">
        <v>25</v>
      </c>
      <c r="R667" s="85" t="str">
        <f t="shared" si="40"/>
        <v>5945905</v>
      </c>
      <c r="S667" t="str">
        <f>VLOOKUP(A667,Data_NV!$A:$C,3,0)</f>
        <v>Nguyễn Thanh Phương</v>
      </c>
      <c r="T667" t="str">
        <f>VLOOKUP(A667,Data_NV!$A:$E,4,0)</f>
        <v>Vận Hành</v>
      </c>
      <c r="U667" s="82">
        <f>DATEVALUE(Table2[[#This Row],[Ngày]])</f>
        <v>45905</v>
      </c>
      <c r="V667" t="str">
        <f>VLOOKUP(A667,Data_NV!$A:$E,5,0)</f>
        <v>Đang làm việc</v>
      </c>
      <c r="W667" s="10">
        <f>VLOOKUP(A667,Data_NV!$A:$I,8,0)</f>
        <v>0.3125</v>
      </c>
      <c r="X667" s="10">
        <f>VLOOKUP(A667,Data_NV!$A:$I,9,0)</f>
        <v>0.6875</v>
      </c>
      <c r="Y667" s="10">
        <f>IFERROR(TIMEVALUE(Table2[[#This Row],[Vào]]),0)</f>
        <v>0.30905092592592592</v>
      </c>
      <c r="Z667" s="10">
        <f>IFERROR(TIMEVALUE(Table2[[#This Row],[Ra]]),0)</f>
        <v>0</v>
      </c>
      <c r="AA667" t="str">
        <f t="shared" si="41"/>
        <v>x</v>
      </c>
      <c r="AB667" s="105">
        <f t="shared" si="42"/>
        <v>0</v>
      </c>
      <c r="AC667" s="12" t="str">
        <f>IF(VLOOKUP(A667,Data_NV!$A:$I,7,0)="Không","",IF(OR(AND(Y667=0,Z667=0),AND(Y667&lt;&gt;0,Z667&lt;&gt;0)),"","Quên chấm công"))</f>
        <v/>
      </c>
      <c r="AD667" s="12">
        <f>IF(VLOOKUP(A667,Data_NV!$A:$I,7,0)="Không",0,IF(AND(Y667=0,Z667=0),0,IF(X667&lt;=Z667,0,ROUNDDOWN((X667-Z667)*24*60,0))))</f>
        <v>0</v>
      </c>
      <c r="AE667" s="12">
        <f>IF(VLOOKUP(A667,Data_NV!$A:$I,6,0)="Không",0,IF(Z667&lt;=X667,0,ROUNDDOWN((Z667-X667)*24*60,0)))</f>
        <v>0</v>
      </c>
      <c r="AF667" s="26">
        <f t="shared" si="43"/>
        <v>0</v>
      </c>
      <c r="AG667" s="27" t="str">
        <f>IF(AC667="","",IF(COUNTIFS($AC$3:AC667,"Quên chấm công",$S$3:S667,S667)&gt;3,"Không chấm công do vi phạm quá 3 lần",IF(COUNTIFS($AC$3:AC667,"Quên chấm công",$S$3:S667,S667)&gt;2,"Trừ toàn bộ chuyên cần tháng do vi phạm lần 3",IF(COUNTIFS($AC$3:AC667,"Quên chấm công",$S$3:S667,S667)&gt;1,"Trừ 1/2 ngày lương",50000))))</f>
        <v/>
      </c>
      <c r="AH667" s="12" t="str">
        <f>IF(AF667=0,"",IF(COUNTIFS($AF$3:AF667,"&gt;0",$S$3:S667,S667)&gt;3,"Trừ toàn bộ chuyên cần tháng",""))</f>
        <v/>
      </c>
      <c r="AI667" s="12"/>
    </row>
    <row r="668" spans="1:35" x14ac:dyDescent="0.25">
      <c r="A668" s="4" t="s">
        <v>1006</v>
      </c>
      <c r="B668" s="1" t="s">
        <v>1007</v>
      </c>
      <c r="C668" s="1" t="s">
        <v>20</v>
      </c>
      <c r="D668" s="1" t="s">
        <v>42</v>
      </c>
      <c r="E668" s="1" t="s">
        <v>22</v>
      </c>
      <c r="F668" s="1" t="s">
        <v>23</v>
      </c>
      <c r="G668" s="1" t="s">
        <v>12</v>
      </c>
      <c r="H668" s="1" t="s">
        <v>1011</v>
      </c>
      <c r="I668" s="1" t="s">
        <v>24</v>
      </c>
      <c r="J668" s="1" t="s">
        <v>25</v>
      </c>
      <c r="K668" s="1" t="s">
        <v>25</v>
      </c>
      <c r="L668" s="1" t="s">
        <v>26</v>
      </c>
      <c r="M668" s="1" t="s">
        <v>25</v>
      </c>
      <c r="N668" s="1" t="s">
        <v>25</v>
      </c>
      <c r="O668" s="1" t="s">
        <v>25</v>
      </c>
      <c r="P668" s="1" t="s">
        <v>25</v>
      </c>
      <c r="Q668" s="1" t="s">
        <v>25</v>
      </c>
      <c r="R668" s="85" t="str">
        <f t="shared" si="40"/>
        <v>5945906</v>
      </c>
      <c r="S668" t="str">
        <f>VLOOKUP(A668,Data_NV!$A:$C,3,0)</f>
        <v>Nguyễn Thanh Phương</v>
      </c>
      <c r="T668" t="str">
        <f>VLOOKUP(A668,Data_NV!$A:$E,4,0)</f>
        <v>Vận Hành</v>
      </c>
      <c r="U668" s="82">
        <f>DATEVALUE(Table2[[#This Row],[Ngày]])</f>
        <v>45906</v>
      </c>
      <c r="V668" t="str">
        <f>VLOOKUP(A668,Data_NV!$A:$E,5,0)</f>
        <v>Đang làm việc</v>
      </c>
      <c r="W668" s="10">
        <f>VLOOKUP(A668,Data_NV!$A:$I,8,0)</f>
        <v>0.3125</v>
      </c>
      <c r="X668" s="10">
        <f>VLOOKUP(A668,Data_NV!$A:$I,9,0)</f>
        <v>0.6875</v>
      </c>
      <c r="Y668" s="10">
        <f>IFERROR(TIMEVALUE(Table2[[#This Row],[Vào]]),0)</f>
        <v>0.30862268518518521</v>
      </c>
      <c r="Z668" s="10">
        <f>IFERROR(TIMEVALUE(Table2[[#This Row],[Ra]]),0)</f>
        <v>0</v>
      </c>
      <c r="AA668" t="str">
        <f t="shared" si="41"/>
        <v>x</v>
      </c>
      <c r="AB668" s="105">
        <f t="shared" si="42"/>
        <v>0</v>
      </c>
      <c r="AC668" s="12" t="str">
        <f>IF(VLOOKUP(A668,Data_NV!$A:$I,7,0)="Không","",IF(OR(AND(Y668=0,Z668=0),AND(Y668&lt;&gt;0,Z668&lt;&gt;0)),"","Quên chấm công"))</f>
        <v/>
      </c>
      <c r="AD668" s="12">
        <f>IF(VLOOKUP(A668,Data_NV!$A:$I,7,0)="Không",0,IF(AND(Y668=0,Z668=0),0,IF(X668&lt;=Z668,0,ROUNDDOWN((X668-Z668)*24*60,0))))</f>
        <v>0</v>
      </c>
      <c r="AE668" s="12">
        <f>IF(VLOOKUP(A668,Data_NV!$A:$I,6,0)="Không",0,IF(Z668&lt;=X668,0,ROUNDDOWN((Z668-X668)*24*60,0)))</f>
        <v>0</v>
      </c>
      <c r="AF668" s="26">
        <f t="shared" si="43"/>
        <v>0</v>
      </c>
      <c r="AG668" s="27" t="str">
        <f>IF(AC668="","",IF(COUNTIFS($AC$3:AC668,"Quên chấm công",$S$3:S668,S668)&gt;3,"Không chấm công do vi phạm quá 3 lần",IF(COUNTIFS($AC$3:AC668,"Quên chấm công",$S$3:S668,S668)&gt;2,"Trừ toàn bộ chuyên cần tháng do vi phạm lần 3",IF(COUNTIFS($AC$3:AC668,"Quên chấm công",$S$3:S668,S668)&gt;1,"Trừ 1/2 ngày lương",50000))))</f>
        <v/>
      </c>
      <c r="AH668" s="12" t="str">
        <f>IF(AF668=0,"",IF(COUNTIFS($AF$3:AF668,"&gt;0",$S$3:S668,S668)&gt;3,"Trừ toàn bộ chuyên cần tháng",""))</f>
        <v/>
      </c>
      <c r="AI668" s="12"/>
    </row>
    <row r="669" spans="1:35" x14ac:dyDescent="0.25">
      <c r="A669" s="4" t="s">
        <v>1006</v>
      </c>
      <c r="B669" s="1" t="s">
        <v>1007</v>
      </c>
      <c r="C669" s="1" t="s">
        <v>20</v>
      </c>
      <c r="D669" s="1" t="s">
        <v>47</v>
      </c>
      <c r="E669" s="1" t="s">
        <v>22</v>
      </c>
      <c r="F669" s="1" t="s">
        <v>23</v>
      </c>
      <c r="G669" s="1" t="s">
        <v>12</v>
      </c>
      <c r="H669" s="1" t="s">
        <v>24</v>
      </c>
      <c r="I669" s="1" t="s">
        <v>24</v>
      </c>
      <c r="J669" s="1" t="s">
        <v>25</v>
      </c>
      <c r="K669" s="1" t="s">
        <v>25</v>
      </c>
      <c r="L669" s="1" t="s">
        <v>26</v>
      </c>
      <c r="M669" s="1" t="s">
        <v>25</v>
      </c>
      <c r="N669" s="1" t="s">
        <v>25</v>
      </c>
      <c r="O669" s="1" t="s">
        <v>25</v>
      </c>
      <c r="P669" s="1" t="s">
        <v>25</v>
      </c>
      <c r="Q669" s="1" t="s">
        <v>25</v>
      </c>
      <c r="R669" s="85" t="str">
        <f t="shared" si="40"/>
        <v>5945907</v>
      </c>
      <c r="S669" t="str">
        <f>VLOOKUP(A669,Data_NV!$A:$C,3,0)</f>
        <v>Nguyễn Thanh Phương</v>
      </c>
      <c r="T669" t="str">
        <f>VLOOKUP(A669,Data_NV!$A:$E,4,0)</f>
        <v>Vận Hành</v>
      </c>
      <c r="U669" s="82">
        <f>DATEVALUE(Table2[[#This Row],[Ngày]])</f>
        <v>45907</v>
      </c>
      <c r="V669" t="str">
        <f>VLOOKUP(A669,Data_NV!$A:$E,5,0)</f>
        <v>Đang làm việc</v>
      </c>
      <c r="W669" s="10">
        <f>VLOOKUP(A669,Data_NV!$A:$I,8,0)</f>
        <v>0.3125</v>
      </c>
      <c r="X669" s="10">
        <f>VLOOKUP(A669,Data_NV!$A:$I,9,0)</f>
        <v>0.6875</v>
      </c>
      <c r="Y669" s="10">
        <f>IFERROR(TIMEVALUE(Table2[[#This Row],[Vào]]),0)</f>
        <v>0</v>
      </c>
      <c r="Z669" s="10">
        <f>IFERROR(TIMEVALUE(Table2[[#This Row],[Ra]]),0)</f>
        <v>0</v>
      </c>
      <c r="AA669" t="str">
        <f t="shared" si="41"/>
        <v>Chủ nhật</v>
      </c>
      <c r="AB669" s="105">
        <f t="shared" si="42"/>
        <v>0</v>
      </c>
      <c r="AC669" s="12" t="str">
        <f>IF(VLOOKUP(A669,Data_NV!$A:$I,7,0)="Không","",IF(OR(AND(Y669=0,Z669=0),AND(Y669&lt;&gt;0,Z669&lt;&gt;0)),"","Quên chấm công"))</f>
        <v/>
      </c>
      <c r="AD669" s="12">
        <f>IF(VLOOKUP(A669,Data_NV!$A:$I,7,0)="Không",0,IF(AND(Y669=0,Z669=0),0,IF(X669&lt;=Z669,0,ROUNDDOWN((X669-Z669)*24*60,0))))</f>
        <v>0</v>
      </c>
      <c r="AE669" s="12">
        <f>IF(VLOOKUP(A669,Data_NV!$A:$I,6,0)="Không",0,IF(Z669&lt;=X669,0,ROUNDDOWN((Z669-X669)*24*60,0)))</f>
        <v>0</v>
      </c>
      <c r="AF669" s="26">
        <f t="shared" si="43"/>
        <v>0</v>
      </c>
      <c r="AG669" s="27" t="str">
        <f>IF(AC669="","",IF(COUNTIFS($AC$3:AC669,"Quên chấm công",$S$3:S669,S669)&gt;3,"Không chấm công do vi phạm quá 3 lần",IF(COUNTIFS($AC$3:AC669,"Quên chấm công",$S$3:S669,S669)&gt;2,"Trừ toàn bộ chuyên cần tháng do vi phạm lần 3",IF(COUNTIFS($AC$3:AC669,"Quên chấm công",$S$3:S669,S669)&gt;1,"Trừ 1/2 ngày lương",50000))))</f>
        <v/>
      </c>
      <c r="AH669" s="12" t="str">
        <f>IF(AF669=0,"",IF(COUNTIFS($AF$3:AF669,"&gt;0",$S$3:S669,S669)&gt;3,"Trừ toàn bộ chuyên cần tháng",""))</f>
        <v/>
      </c>
      <c r="AI669" s="12"/>
    </row>
    <row r="670" spans="1:35" x14ac:dyDescent="0.25">
      <c r="A670" s="4" t="s">
        <v>1006</v>
      </c>
      <c r="B670" s="1" t="s">
        <v>1007</v>
      </c>
      <c r="C670" s="1" t="s">
        <v>20</v>
      </c>
      <c r="D670" s="1" t="s">
        <v>48</v>
      </c>
      <c r="E670" s="1" t="s">
        <v>22</v>
      </c>
      <c r="F670" s="1" t="s">
        <v>23</v>
      </c>
      <c r="G670" s="1" t="s">
        <v>12</v>
      </c>
      <c r="H670" s="1" t="s">
        <v>1012</v>
      </c>
      <c r="I670" s="1" t="s">
        <v>24</v>
      </c>
      <c r="J670" s="1" t="s">
        <v>25</v>
      </c>
      <c r="K670" s="1" t="s">
        <v>25</v>
      </c>
      <c r="L670" s="1" t="s">
        <v>26</v>
      </c>
      <c r="M670" s="1" t="s">
        <v>25</v>
      </c>
      <c r="N670" s="1" t="s">
        <v>25</v>
      </c>
      <c r="O670" s="1" t="s">
        <v>25</v>
      </c>
      <c r="P670" s="1" t="s">
        <v>25</v>
      </c>
      <c r="Q670" s="1" t="s">
        <v>25</v>
      </c>
      <c r="R670" s="85" t="str">
        <f t="shared" si="40"/>
        <v>5945908</v>
      </c>
      <c r="S670" t="str">
        <f>VLOOKUP(A670,Data_NV!$A:$C,3,0)</f>
        <v>Nguyễn Thanh Phương</v>
      </c>
      <c r="T670" t="str">
        <f>VLOOKUP(A670,Data_NV!$A:$E,4,0)</f>
        <v>Vận Hành</v>
      </c>
      <c r="U670" s="82">
        <f>DATEVALUE(Table2[[#This Row],[Ngày]])</f>
        <v>45908</v>
      </c>
      <c r="V670" t="str">
        <f>VLOOKUP(A670,Data_NV!$A:$E,5,0)</f>
        <v>Đang làm việc</v>
      </c>
      <c r="W670" s="10">
        <f>VLOOKUP(A670,Data_NV!$A:$I,8,0)</f>
        <v>0.3125</v>
      </c>
      <c r="X670" s="10">
        <f>VLOOKUP(A670,Data_NV!$A:$I,9,0)</f>
        <v>0.6875</v>
      </c>
      <c r="Y670" s="10">
        <f>IFERROR(TIMEVALUE(Table2[[#This Row],[Vào]]),0)</f>
        <v>0.30972222222222223</v>
      </c>
      <c r="Z670" s="10">
        <f>IFERROR(TIMEVALUE(Table2[[#This Row],[Ra]]),0)</f>
        <v>0</v>
      </c>
      <c r="AA670" t="str">
        <f t="shared" si="41"/>
        <v>x</v>
      </c>
      <c r="AB670" s="105">
        <f t="shared" si="42"/>
        <v>0</v>
      </c>
      <c r="AC670" s="12" t="str">
        <f>IF(VLOOKUP(A670,Data_NV!$A:$I,7,0)="Không","",IF(OR(AND(Y670=0,Z670=0),AND(Y670&lt;&gt;0,Z670&lt;&gt;0)),"","Quên chấm công"))</f>
        <v/>
      </c>
      <c r="AD670" s="12">
        <f>IF(VLOOKUP(A670,Data_NV!$A:$I,7,0)="Không",0,IF(AND(Y670=0,Z670=0),0,IF(X670&lt;=Z670,0,ROUNDDOWN((X670-Z670)*24*60,0))))</f>
        <v>0</v>
      </c>
      <c r="AE670" s="12">
        <f>IF(VLOOKUP(A670,Data_NV!$A:$I,6,0)="Không",0,IF(Z670&lt;=X670,0,ROUNDDOWN((Z670-X670)*24*60,0)))</f>
        <v>0</v>
      </c>
      <c r="AF670" s="26">
        <f t="shared" si="43"/>
        <v>0</v>
      </c>
      <c r="AG670" s="27" t="str">
        <f>IF(AC670="","",IF(COUNTIFS($AC$3:AC670,"Quên chấm công",$S$3:S670,S670)&gt;3,"Không chấm công do vi phạm quá 3 lần",IF(COUNTIFS($AC$3:AC670,"Quên chấm công",$S$3:S670,S670)&gt;2,"Trừ toàn bộ chuyên cần tháng do vi phạm lần 3",IF(COUNTIFS($AC$3:AC670,"Quên chấm công",$S$3:S670,S670)&gt;1,"Trừ 1/2 ngày lương",50000))))</f>
        <v/>
      </c>
      <c r="AH670" s="12" t="str">
        <f>IF(AF670=0,"",IF(COUNTIFS($AF$3:AF670,"&gt;0",$S$3:S670,S670)&gt;3,"Trừ toàn bộ chuyên cần tháng",""))</f>
        <v/>
      </c>
      <c r="AI670" s="12"/>
    </row>
    <row r="671" spans="1:35" x14ac:dyDescent="0.25">
      <c r="A671" s="4" t="s">
        <v>1006</v>
      </c>
      <c r="B671" s="1" t="s">
        <v>1007</v>
      </c>
      <c r="C671" s="1" t="s">
        <v>20</v>
      </c>
      <c r="D671" s="1" t="s">
        <v>53</v>
      </c>
      <c r="E671" s="1" t="s">
        <v>22</v>
      </c>
      <c r="F671" s="1" t="s">
        <v>23</v>
      </c>
      <c r="G671" s="1" t="s">
        <v>12</v>
      </c>
      <c r="H671" s="1" t="s">
        <v>1013</v>
      </c>
      <c r="I671" s="1" t="s">
        <v>24</v>
      </c>
      <c r="J671" s="1" t="s">
        <v>25</v>
      </c>
      <c r="K671" s="1" t="s">
        <v>25</v>
      </c>
      <c r="L671" s="1" t="s">
        <v>26</v>
      </c>
      <c r="M671" s="1" t="s">
        <v>25</v>
      </c>
      <c r="N671" s="1" t="s">
        <v>25</v>
      </c>
      <c r="O671" s="1" t="s">
        <v>25</v>
      </c>
      <c r="P671" s="1" t="s">
        <v>25</v>
      </c>
      <c r="Q671" s="1" t="s">
        <v>25</v>
      </c>
      <c r="R671" s="85" t="str">
        <f t="shared" si="40"/>
        <v>5945909</v>
      </c>
      <c r="S671" t="str">
        <f>VLOOKUP(A671,Data_NV!$A:$C,3,0)</f>
        <v>Nguyễn Thanh Phương</v>
      </c>
      <c r="T671" t="str">
        <f>VLOOKUP(A671,Data_NV!$A:$E,4,0)</f>
        <v>Vận Hành</v>
      </c>
      <c r="U671" s="82">
        <f>DATEVALUE(Table2[[#This Row],[Ngày]])</f>
        <v>45909</v>
      </c>
      <c r="V671" t="str">
        <f>VLOOKUP(A671,Data_NV!$A:$E,5,0)</f>
        <v>Đang làm việc</v>
      </c>
      <c r="W671" s="10">
        <f>VLOOKUP(A671,Data_NV!$A:$I,8,0)</f>
        <v>0.3125</v>
      </c>
      <c r="X671" s="10">
        <f>VLOOKUP(A671,Data_NV!$A:$I,9,0)</f>
        <v>0.6875</v>
      </c>
      <c r="Y671" s="10">
        <f>IFERROR(TIMEVALUE(Table2[[#This Row],[Vào]]),0)</f>
        <v>0.30631944444444442</v>
      </c>
      <c r="Z671" s="10">
        <f>IFERROR(TIMEVALUE(Table2[[#This Row],[Ra]]),0)</f>
        <v>0</v>
      </c>
      <c r="AA671" t="str">
        <f t="shared" si="41"/>
        <v>x</v>
      </c>
      <c r="AB671" s="105">
        <f t="shared" si="42"/>
        <v>0</v>
      </c>
      <c r="AC671" s="12" t="str">
        <f>IF(VLOOKUP(A671,Data_NV!$A:$I,7,0)="Không","",IF(OR(AND(Y671=0,Z671=0),AND(Y671&lt;&gt;0,Z671&lt;&gt;0)),"","Quên chấm công"))</f>
        <v/>
      </c>
      <c r="AD671" s="12">
        <f>IF(VLOOKUP(A671,Data_NV!$A:$I,7,0)="Không",0,IF(AND(Y671=0,Z671=0),0,IF(X671&lt;=Z671,0,ROUNDDOWN((X671-Z671)*24*60,0))))</f>
        <v>0</v>
      </c>
      <c r="AE671" s="12">
        <f>IF(VLOOKUP(A671,Data_NV!$A:$I,6,0)="Không",0,IF(Z671&lt;=X671,0,ROUNDDOWN((Z671-X671)*24*60,0)))</f>
        <v>0</v>
      </c>
      <c r="AF671" s="26">
        <f t="shared" si="43"/>
        <v>0</v>
      </c>
      <c r="AG671" s="27" t="str">
        <f>IF(AC671="","",IF(COUNTIFS($AC$3:AC671,"Quên chấm công",$S$3:S671,S671)&gt;3,"Không chấm công do vi phạm quá 3 lần",IF(COUNTIFS($AC$3:AC671,"Quên chấm công",$S$3:S671,S671)&gt;2,"Trừ toàn bộ chuyên cần tháng do vi phạm lần 3",IF(COUNTIFS($AC$3:AC671,"Quên chấm công",$S$3:S671,S671)&gt;1,"Trừ 1/2 ngày lương",50000))))</f>
        <v/>
      </c>
      <c r="AH671" s="12" t="str">
        <f>IF(AF671=0,"",IF(COUNTIFS($AF$3:AF671,"&gt;0",$S$3:S671,S671)&gt;3,"Trừ toàn bộ chuyên cần tháng",""))</f>
        <v/>
      </c>
      <c r="AI671" s="12"/>
    </row>
    <row r="672" spans="1:35" x14ac:dyDescent="0.25">
      <c r="A672" s="4" t="s">
        <v>1006</v>
      </c>
      <c r="B672" s="1" t="s">
        <v>1007</v>
      </c>
      <c r="C672" s="1" t="s">
        <v>20</v>
      </c>
      <c r="D672" s="1" t="s">
        <v>58</v>
      </c>
      <c r="E672" s="1" t="s">
        <v>22</v>
      </c>
      <c r="F672" s="1" t="s">
        <v>23</v>
      </c>
      <c r="G672" s="1" t="s">
        <v>12</v>
      </c>
      <c r="H672" s="1" t="s">
        <v>1014</v>
      </c>
      <c r="I672" s="1" t="s">
        <v>24</v>
      </c>
      <c r="J672" s="1" t="s">
        <v>25</v>
      </c>
      <c r="K672" s="1" t="s">
        <v>25</v>
      </c>
      <c r="L672" s="1" t="s">
        <v>26</v>
      </c>
      <c r="M672" s="1" t="s">
        <v>25</v>
      </c>
      <c r="N672" s="1" t="s">
        <v>25</v>
      </c>
      <c r="O672" s="1" t="s">
        <v>25</v>
      </c>
      <c r="P672" s="1" t="s">
        <v>25</v>
      </c>
      <c r="Q672" s="1" t="s">
        <v>25</v>
      </c>
      <c r="R672" s="85" t="str">
        <f t="shared" si="40"/>
        <v>5945910</v>
      </c>
      <c r="S672" t="str">
        <f>VLOOKUP(A672,Data_NV!$A:$C,3,0)</f>
        <v>Nguyễn Thanh Phương</v>
      </c>
      <c r="T672" t="str">
        <f>VLOOKUP(A672,Data_NV!$A:$E,4,0)</f>
        <v>Vận Hành</v>
      </c>
      <c r="U672" s="82">
        <f>DATEVALUE(Table2[[#This Row],[Ngày]])</f>
        <v>45910</v>
      </c>
      <c r="V672" t="str">
        <f>VLOOKUP(A672,Data_NV!$A:$E,5,0)</f>
        <v>Đang làm việc</v>
      </c>
      <c r="W672" s="10">
        <f>VLOOKUP(A672,Data_NV!$A:$I,8,0)</f>
        <v>0.3125</v>
      </c>
      <c r="X672" s="10">
        <f>VLOOKUP(A672,Data_NV!$A:$I,9,0)</f>
        <v>0.6875</v>
      </c>
      <c r="Y672" s="10">
        <f>IFERROR(TIMEVALUE(Table2[[#This Row],[Vào]]),0)</f>
        <v>0.30371527777777779</v>
      </c>
      <c r="Z672" s="10">
        <f>IFERROR(TIMEVALUE(Table2[[#This Row],[Ra]]),0)</f>
        <v>0</v>
      </c>
      <c r="AA672" t="str">
        <f t="shared" si="41"/>
        <v>x</v>
      </c>
      <c r="AB672" s="105">
        <f t="shared" si="42"/>
        <v>0</v>
      </c>
      <c r="AC672" s="12" t="str">
        <f>IF(VLOOKUP(A672,Data_NV!$A:$I,7,0)="Không","",IF(OR(AND(Y672=0,Z672=0),AND(Y672&lt;&gt;0,Z672&lt;&gt;0)),"","Quên chấm công"))</f>
        <v/>
      </c>
      <c r="AD672" s="12">
        <f>IF(VLOOKUP(A672,Data_NV!$A:$I,7,0)="Không",0,IF(AND(Y672=0,Z672=0),0,IF(X672&lt;=Z672,0,ROUNDDOWN((X672-Z672)*24*60,0))))</f>
        <v>0</v>
      </c>
      <c r="AE672" s="12">
        <f>IF(VLOOKUP(A672,Data_NV!$A:$I,6,0)="Không",0,IF(Z672&lt;=X672,0,ROUNDDOWN((Z672-X672)*24*60,0)))</f>
        <v>0</v>
      </c>
      <c r="AF672" s="26">
        <f t="shared" si="43"/>
        <v>0</v>
      </c>
      <c r="AG672" s="27" t="str">
        <f>IF(AC672="","",IF(COUNTIFS($AC$3:AC672,"Quên chấm công",$S$3:S672,S672)&gt;3,"Không chấm công do vi phạm quá 3 lần",IF(COUNTIFS($AC$3:AC672,"Quên chấm công",$S$3:S672,S672)&gt;2,"Trừ toàn bộ chuyên cần tháng do vi phạm lần 3",IF(COUNTIFS($AC$3:AC672,"Quên chấm công",$S$3:S672,S672)&gt;1,"Trừ 1/2 ngày lương",50000))))</f>
        <v/>
      </c>
      <c r="AH672" s="12" t="str">
        <f>IF(AF672=0,"",IF(COUNTIFS($AF$3:AF672,"&gt;0",$S$3:S672,S672)&gt;3,"Trừ toàn bộ chuyên cần tháng",""))</f>
        <v/>
      </c>
      <c r="AI672" s="12"/>
    </row>
    <row r="673" spans="1:35" x14ac:dyDescent="0.25">
      <c r="A673" s="4" t="s">
        <v>1006</v>
      </c>
      <c r="B673" s="1" t="s">
        <v>1007</v>
      </c>
      <c r="C673" s="1" t="s">
        <v>20</v>
      </c>
      <c r="D673" s="1" t="s">
        <v>63</v>
      </c>
      <c r="E673" s="1" t="s">
        <v>22</v>
      </c>
      <c r="F673" s="1" t="s">
        <v>23</v>
      </c>
      <c r="G673" s="1" t="s">
        <v>12</v>
      </c>
      <c r="H673" s="1" t="s">
        <v>24</v>
      </c>
      <c r="I673" s="1" t="s">
        <v>24</v>
      </c>
      <c r="J673" s="1" t="s">
        <v>25</v>
      </c>
      <c r="K673" s="1" t="s">
        <v>25</v>
      </c>
      <c r="L673" s="1" t="s">
        <v>26</v>
      </c>
      <c r="M673" s="1" t="s">
        <v>25</v>
      </c>
      <c r="N673" s="1" t="s">
        <v>25</v>
      </c>
      <c r="O673" s="1" t="s">
        <v>25</v>
      </c>
      <c r="P673" s="1" t="s">
        <v>25</v>
      </c>
      <c r="Q673" s="1" t="s">
        <v>25</v>
      </c>
      <c r="R673" s="85" t="str">
        <f t="shared" si="40"/>
        <v>5945911</v>
      </c>
      <c r="S673" t="str">
        <f>VLOOKUP(A673,Data_NV!$A:$C,3,0)</f>
        <v>Nguyễn Thanh Phương</v>
      </c>
      <c r="T673" t="str">
        <f>VLOOKUP(A673,Data_NV!$A:$E,4,0)</f>
        <v>Vận Hành</v>
      </c>
      <c r="U673" s="82">
        <f>DATEVALUE(Table2[[#This Row],[Ngày]])</f>
        <v>45911</v>
      </c>
      <c r="V673" t="str">
        <f>VLOOKUP(A673,Data_NV!$A:$E,5,0)</f>
        <v>Đang làm việc</v>
      </c>
      <c r="W673" s="10">
        <f>VLOOKUP(A673,Data_NV!$A:$I,8,0)</f>
        <v>0.3125</v>
      </c>
      <c r="X673" s="10">
        <f>VLOOKUP(A673,Data_NV!$A:$I,9,0)</f>
        <v>0.6875</v>
      </c>
      <c r="Y673" s="10">
        <f>IFERROR(TIMEVALUE(Table2[[#This Row],[Vào]]),0)</f>
        <v>0</v>
      </c>
      <c r="Z673" s="10">
        <f>IFERROR(TIMEVALUE(Table2[[#This Row],[Ra]]),0)</f>
        <v>0</v>
      </c>
      <c r="AA673" t="s">
        <v>1373</v>
      </c>
      <c r="AB673" s="105">
        <f t="shared" si="42"/>
        <v>0</v>
      </c>
      <c r="AC673" s="12" t="str">
        <f>IF(VLOOKUP(A673,Data_NV!$A:$I,7,0)="Không","",IF(OR(AND(Y673=0,Z673=0),AND(Y673&lt;&gt;0,Z673&lt;&gt;0)),"","Quên chấm công"))</f>
        <v/>
      </c>
      <c r="AD673" s="12">
        <f>IF(VLOOKUP(A673,Data_NV!$A:$I,7,0)="Không",0,IF(AND(Y673=0,Z673=0),0,IF(X673&lt;=Z673,0,ROUNDDOWN((X673-Z673)*24*60,0))))</f>
        <v>0</v>
      </c>
      <c r="AE673" s="12">
        <f>IF(VLOOKUP(A673,Data_NV!$A:$I,6,0)="Không",0,IF(Z673&lt;=X673,0,ROUNDDOWN((Z673-X673)*24*60,0)))</f>
        <v>0</v>
      </c>
      <c r="AF673" s="26">
        <f t="shared" si="43"/>
        <v>0</v>
      </c>
      <c r="AG673" s="27" t="str">
        <f>IF(AC673="","",IF(COUNTIFS($AC$3:AC673,"Quên chấm công",$S$3:S673,S673)&gt;3,"Không chấm công do vi phạm quá 3 lần",IF(COUNTIFS($AC$3:AC673,"Quên chấm công",$S$3:S673,S673)&gt;2,"Trừ toàn bộ chuyên cần tháng do vi phạm lần 3",IF(COUNTIFS($AC$3:AC673,"Quên chấm công",$S$3:S673,S673)&gt;1,"Trừ 1/2 ngày lương",50000))))</f>
        <v/>
      </c>
      <c r="AH673" s="12" t="str">
        <f>IF(AF673=0,"",IF(COUNTIFS($AF$3:AF673,"&gt;0",$S$3:S673,S673)&gt;3,"Trừ toàn bộ chuyên cần tháng",""))</f>
        <v/>
      </c>
      <c r="AI673" s="12" t="s">
        <v>1400</v>
      </c>
    </row>
    <row r="674" spans="1:35" x14ac:dyDescent="0.25">
      <c r="A674" s="4" t="s">
        <v>1006</v>
      </c>
      <c r="B674" s="1" t="s">
        <v>1007</v>
      </c>
      <c r="C674" s="1" t="s">
        <v>20</v>
      </c>
      <c r="D674" s="1" t="s">
        <v>67</v>
      </c>
      <c r="E674" s="1" t="s">
        <v>22</v>
      </c>
      <c r="F674" s="1" t="s">
        <v>23</v>
      </c>
      <c r="G674" s="1" t="s">
        <v>12</v>
      </c>
      <c r="H674" s="1" t="s">
        <v>1015</v>
      </c>
      <c r="I674" s="1" t="s">
        <v>24</v>
      </c>
      <c r="J674" s="1" t="s">
        <v>25</v>
      </c>
      <c r="K674" s="1" t="s">
        <v>25</v>
      </c>
      <c r="L674" s="1" t="s">
        <v>26</v>
      </c>
      <c r="M674" s="1" t="s">
        <v>25</v>
      </c>
      <c r="N674" s="1" t="s">
        <v>25</v>
      </c>
      <c r="O674" s="1" t="s">
        <v>25</v>
      </c>
      <c r="P674" s="1" t="s">
        <v>25</v>
      </c>
      <c r="Q674" s="1" t="s">
        <v>25</v>
      </c>
      <c r="R674" s="85" t="str">
        <f t="shared" si="40"/>
        <v>5945912</v>
      </c>
      <c r="S674" t="str">
        <f>VLOOKUP(A674,Data_NV!$A:$C,3,0)</f>
        <v>Nguyễn Thanh Phương</v>
      </c>
      <c r="T674" t="str">
        <f>VLOOKUP(A674,Data_NV!$A:$E,4,0)</f>
        <v>Vận Hành</v>
      </c>
      <c r="U674" s="82">
        <f>DATEVALUE(Table2[[#This Row],[Ngày]])</f>
        <v>45912</v>
      </c>
      <c r="V674" t="str">
        <f>VLOOKUP(A674,Data_NV!$A:$E,5,0)</f>
        <v>Đang làm việc</v>
      </c>
      <c r="W674" s="10">
        <f>VLOOKUP(A674,Data_NV!$A:$I,8,0)</f>
        <v>0.3125</v>
      </c>
      <c r="X674" s="10">
        <f>VLOOKUP(A674,Data_NV!$A:$I,9,0)</f>
        <v>0.6875</v>
      </c>
      <c r="Y674" s="10">
        <f>IFERROR(TIMEVALUE(Table2[[#This Row],[Vào]]),0)</f>
        <v>0.30834490740740739</v>
      </c>
      <c r="Z674" s="10">
        <f>IFERROR(TIMEVALUE(Table2[[#This Row],[Ra]]),0)</f>
        <v>0</v>
      </c>
      <c r="AA674" t="str">
        <f t="shared" si="41"/>
        <v>x</v>
      </c>
      <c r="AB674" s="105">
        <f t="shared" si="42"/>
        <v>0</v>
      </c>
      <c r="AC674" s="12" t="str">
        <f>IF(VLOOKUP(A674,Data_NV!$A:$I,7,0)="Không","",IF(OR(AND(Y674=0,Z674=0),AND(Y674&lt;&gt;0,Z674&lt;&gt;0)),"","Quên chấm công"))</f>
        <v/>
      </c>
      <c r="AD674" s="12">
        <f>IF(VLOOKUP(A674,Data_NV!$A:$I,7,0)="Không",0,IF(AND(Y674=0,Z674=0),0,IF(X674&lt;=Z674,0,ROUNDDOWN((X674-Z674)*24*60,0))))</f>
        <v>0</v>
      </c>
      <c r="AE674" s="12">
        <f>IF(VLOOKUP(A674,Data_NV!$A:$I,6,0)="Không",0,IF(Z674&lt;=X674,0,ROUNDDOWN((Z674-X674)*24*60,0)))</f>
        <v>0</v>
      </c>
      <c r="AF674" s="26">
        <f t="shared" si="43"/>
        <v>0</v>
      </c>
      <c r="AG674" s="27" t="str">
        <f>IF(AC674="","",IF(COUNTIFS($AC$3:AC674,"Quên chấm công",$S$3:S674,S674)&gt;3,"Không chấm công do vi phạm quá 3 lần",IF(COUNTIFS($AC$3:AC674,"Quên chấm công",$S$3:S674,S674)&gt;2,"Trừ toàn bộ chuyên cần tháng do vi phạm lần 3",IF(COUNTIFS($AC$3:AC674,"Quên chấm công",$S$3:S674,S674)&gt;1,"Trừ 1/2 ngày lương",50000))))</f>
        <v/>
      </c>
      <c r="AH674" s="12" t="str">
        <f>IF(AF674=0,"",IF(COUNTIFS($AF$3:AF674,"&gt;0",$S$3:S674,S674)&gt;3,"Trừ toàn bộ chuyên cần tháng",""))</f>
        <v/>
      </c>
      <c r="AI674" s="12"/>
    </row>
    <row r="675" spans="1:35" x14ac:dyDescent="0.25">
      <c r="A675" s="4" t="s">
        <v>1006</v>
      </c>
      <c r="B675" s="1" t="s">
        <v>1007</v>
      </c>
      <c r="C675" s="1" t="s">
        <v>20</v>
      </c>
      <c r="D675" s="1" t="s">
        <v>69</v>
      </c>
      <c r="E675" s="1" t="s">
        <v>22</v>
      </c>
      <c r="F675" s="1" t="s">
        <v>23</v>
      </c>
      <c r="G675" s="1" t="s">
        <v>12</v>
      </c>
      <c r="H675" s="1" t="s">
        <v>1016</v>
      </c>
      <c r="I675" s="1" t="s">
        <v>24</v>
      </c>
      <c r="J675" s="1" t="s">
        <v>25</v>
      </c>
      <c r="K675" s="1" t="s">
        <v>25</v>
      </c>
      <c r="L675" s="1" t="s">
        <v>26</v>
      </c>
      <c r="M675" s="1" t="s">
        <v>25</v>
      </c>
      <c r="N675" s="1" t="s">
        <v>25</v>
      </c>
      <c r="O675" s="1" t="s">
        <v>25</v>
      </c>
      <c r="P675" s="1" t="s">
        <v>25</v>
      </c>
      <c r="Q675" s="1" t="s">
        <v>25</v>
      </c>
      <c r="R675" s="85" t="str">
        <f t="shared" si="40"/>
        <v>5945913</v>
      </c>
      <c r="S675" t="str">
        <f>VLOOKUP(A675,Data_NV!$A:$C,3,0)</f>
        <v>Nguyễn Thanh Phương</v>
      </c>
      <c r="T675" t="str">
        <f>VLOOKUP(A675,Data_NV!$A:$E,4,0)</f>
        <v>Vận Hành</v>
      </c>
      <c r="U675" s="82">
        <f>DATEVALUE(Table2[[#This Row],[Ngày]])</f>
        <v>45913</v>
      </c>
      <c r="V675" t="str">
        <f>VLOOKUP(A675,Data_NV!$A:$E,5,0)</f>
        <v>Đang làm việc</v>
      </c>
      <c r="W675" s="10">
        <f>VLOOKUP(A675,Data_NV!$A:$I,8,0)</f>
        <v>0.3125</v>
      </c>
      <c r="X675" s="10">
        <f>VLOOKUP(A675,Data_NV!$A:$I,9,0)</f>
        <v>0.6875</v>
      </c>
      <c r="Y675" s="10">
        <f>IFERROR(TIMEVALUE(Table2[[#This Row],[Vào]]),0)</f>
        <v>0.30921296296296297</v>
      </c>
      <c r="Z675" s="10">
        <f>IFERROR(TIMEVALUE(Table2[[#This Row],[Ra]]),0)</f>
        <v>0</v>
      </c>
      <c r="AA675" t="str">
        <f t="shared" si="41"/>
        <v>x</v>
      </c>
      <c r="AB675" s="105">
        <f t="shared" si="42"/>
        <v>0</v>
      </c>
      <c r="AC675" s="12" t="str">
        <f>IF(VLOOKUP(A675,Data_NV!$A:$I,7,0)="Không","",IF(OR(AND(Y675=0,Z675=0),AND(Y675&lt;&gt;0,Z675&lt;&gt;0)),"","Quên chấm công"))</f>
        <v/>
      </c>
      <c r="AD675" s="12">
        <f>IF(VLOOKUP(A675,Data_NV!$A:$I,7,0)="Không",0,IF(AND(Y675=0,Z675=0),0,IF(X675&lt;=Z675,0,ROUNDDOWN((X675-Z675)*24*60,0))))</f>
        <v>0</v>
      </c>
      <c r="AE675" s="12">
        <f>IF(VLOOKUP(A675,Data_NV!$A:$I,6,0)="Không",0,IF(Z675&lt;=X675,0,ROUNDDOWN((Z675-X675)*24*60,0)))</f>
        <v>0</v>
      </c>
      <c r="AF675" s="26">
        <f t="shared" si="43"/>
        <v>0</v>
      </c>
      <c r="AG675" s="27" t="str">
        <f>IF(AC675="","",IF(COUNTIFS($AC$3:AC675,"Quên chấm công",$S$3:S675,S675)&gt;3,"Không chấm công do vi phạm quá 3 lần",IF(COUNTIFS($AC$3:AC675,"Quên chấm công",$S$3:S675,S675)&gt;2,"Trừ toàn bộ chuyên cần tháng do vi phạm lần 3",IF(COUNTIFS($AC$3:AC675,"Quên chấm công",$S$3:S675,S675)&gt;1,"Trừ 1/2 ngày lương",50000))))</f>
        <v/>
      </c>
      <c r="AH675" s="12" t="str">
        <f>IF(AF675=0,"",IF(COUNTIFS($AF$3:AF675,"&gt;0",$S$3:S675,S675)&gt;3,"Trừ toàn bộ chuyên cần tháng",""))</f>
        <v/>
      </c>
      <c r="AI675" s="12"/>
    </row>
    <row r="676" spans="1:35" x14ac:dyDescent="0.25">
      <c r="A676" s="4" t="s">
        <v>1006</v>
      </c>
      <c r="B676" s="1" t="s">
        <v>1007</v>
      </c>
      <c r="C676" s="1" t="s">
        <v>20</v>
      </c>
      <c r="D676" s="1" t="s">
        <v>74</v>
      </c>
      <c r="E676" s="1" t="s">
        <v>22</v>
      </c>
      <c r="F676" s="1" t="s">
        <v>23</v>
      </c>
      <c r="G676" s="1" t="s">
        <v>12</v>
      </c>
      <c r="H676" s="1" t="s">
        <v>24</v>
      </c>
      <c r="I676" s="1" t="s">
        <v>24</v>
      </c>
      <c r="J676" s="1" t="s">
        <v>25</v>
      </c>
      <c r="K676" s="1" t="s">
        <v>25</v>
      </c>
      <c r="L676" s="1" t="s">
        <v>26</v>
      </c>
      <c r="M676" s="1" t="s">
        <v>25</v>
      </c>
      <c r="N676" s="1" t="s">
        <v>25</v>
      </c>
      <c r="O676" s="1" t="s">
        <v>25</v>
      </c>
      <c r="P676" s="1" t="s">
        <v>25</v>
      </c>
      <c r="Q676" s="1" t="s">
        <v>25</v>
      </c>
      <c r="R676" s="85" t="str">
        <f t="shared" si="40"/>
        <v>5945914</v>
      </c>
      <c r="S676" t="str">
        <f>VLOOKUP(A676,Data_NV!$A:$C,3,0)</f>
        <v>Nguyễn Thanh Phương</v>
      </c>
      <c r="T676" t="str">
        <f>VLOOKUP(A676,Data_NV!$A:$E,4,0)</f>
        <v>Vận Hành</v>
      </c>
      <c r="U676" s="82">
        <f>DATEVALUE(Table2[[#This Row],[Ngày]])</f>
        <v>45914</v>
      </c>
      <c r="V676" t="str">
        <f>VLOOKUP(A676,Data_NV!$A:$E,5,0)</f>
        <v>Đang làm việc</v>
      </c>
      <c r="W676" s="10">
        <f>VLOOKUP(A676,Data_NV!$A:$I,8,0)</f>
        <v>0.3125</v>
      </c>
      <c r="X676" s="10">
        <f>VLOOKUP(A676,Data_NV!$A:$I,9,0)</f>
        <v>0.6875</v>
      </c>
      <c r="Y676" s="10">
        <f>IFERROR(TIMEVALUE(Table2[[#This Row],[Vào]]),0)</f>
        <v>0</v>
      </c>
      <c r="Z676" s="10">
        <f>IFERROR(TIMEVALUE(Table2[[#This Row],[Ra]]),0)</f>
        <v>0</v>
      </c>
      <c r="AA676" t="str">
        <f t="shared" si="41"/>
        <v>Chủ nhật</v>
      </c>
      <c r="AB676" s="105">
        <f t="shared" si="42"/>
        <v>0</v>
      </c>
      <c r="AC676" s="12" t="str">
        <f>IF(VLOOKUP(A676,Data_NV!$A:$I,7,0)="Không","",IF(OR(AND(Y676=0,Z676=0),AND(Y676&lt;&gt;0,Z676&lt;&gt;0)),"","Quên chấm công"))</f>
        <v/>
      </c>
      <c r="AD676" s="12">
        <f>IF(VLOOKUP(A676,Data_NV!$A:$I,7,0)="Không",0,IF(AND(Y676=0,Z676=0),0,IF(X676&lt;=Z676,0,ROUNDDOWN((X676-Z676)*24*60,0))))</f>
        <v>0</v>
      </c>
      <c r="AE676" s="12">
        <f>IF(VLOOKUP(A676,Data_NV!$A:$I,6,0)="Không",0,IF(Z676&lt;=X676,0,ROUNDDOWN((Z676-X676)*24*60,0)))</f>
        <v>0</v>
      </c>
      <c r="AF676" s="26">
        <f t="shared" si="43"/>
        <v>0</v>
      </c>
      <c r="AG676" s="27" t="str">
        <f>IF(AC676="","",IF(COUNTIFS($AC$3:AC676,"Quên chấm công",$S$3:S676,S676)&gt;3,"Không chấm công do vi phạm quá 3 lần",IF(COUNTIFS($AC$3:AC676,"Quên chấm công",$S$3:S676,S676)&gt;2,"Trừ toàn bộ chuyên cần tháng do vi phạm lần 3",IF(COUNTIFS($AC$3:AC676,"Quên chấm công",$S$3:S676,S676)&gt;1,"Trừ 1/2 ngày lương",50000))))</f>
        <v/>
      </c>
      <c r="AH676" s="12" t="str">
        <f>IF(AF676=0,"",IF(COUNTIFS($AF$3:AF676,"&gt;0",$S$3:S676,S676)&gt;3,"Trừ toàn bộ chuyên cần tháng",""))</f>
        <v/>
      </c>
      <c r="AI676" s="12"/>
    </row>
    <row r="677" spans="1:35" x14ac:dyDescent="0.25">
      <c r="A677" s="4" t="s">
        <v>1006</v>
      </c>
      <c r="B677" s="1" t="s">
        <v>1007</v>
      </c>
      <c r="C677" s="1" t="s">
        <v>20</v>
      </c>
      <c r="D677" s="1" t="s">
        <v>75</v>
      </c>
      <c r="E677" s="1" t="s">
        <v>22</v>
      </c>
      <c r="F677" s="1" t="s">
        <v>23</v>
      </c>
      <c r="G677" s="1" t="s">
        <v>12</v>
      </c>
      <c r="H677" s="1" t="s">
        <v>1017</v>
      </c>
      <c r="I677" s="1" t="s">
        <v>24</v>
      </c>
      <c r="J677" s="1" t="s">
        <v>25</v>
      </c>
      <c r="K677" s="1" t="s">
        <v>25</v>
      </c>
      <c r="L677" s="1" t="s">
        <v>26</v>
      </c>
      <c r="M677" s="1" t="s">
        <v>25</v>
      </c>
      <c r="N677" s="1" t="s">
        <v>25</v>
      </c>
      <c r="O677" s="1" t="s">
        <v>25</v>
      </c>
      <c r="P677" s="1" t="s">
        <v>25</v>
      </c>
      <c r="Q677" s="1" t="s">
        <v>25</v>
      </c>
      <c r="R677" s="85" t="str">
        <f t="shared" si="40"/>
        <v>5945915</v>
      </c>
      <c r="S677" t="str">
        <f>VLOOKUP(A677,Data_NV!$A:$C,3,0)</f>
        <v>Nguyễn Thanh Phương</v>
      </c>
      <c r="T677" t="str">
        <f>VLOOKUP(A677,Data_NV!$A:$E,4,0)</f>
        <v>Vận Hành</v>
      </c>
      <c r="U677" s="82">
        <f>DATEVALUE(Table2[[#This Row],[Ngày]])</f>
        <v>45915</v>
      </c>
      <c r="V677" t="str">
        <f>VLOOKUP(A677,Data_NV!$A:$E,5,0)</f>
        <v>Đang làm việc</v>
      </c>
      <c r="W677" s="10">
        <f>VLOOKUP(A677,Data_NV!$A:$I,8,0)</f>
        <v>0.3125</v>
      </c>
      <c r="X677" s="10">
        <f>VLOOKUP(A677,Data_NV!$A:$I,9,0)</f>
        <v>0.6875</v>
      </c>
      <c r="Y677" s="10">
        <f>IFERROR(TIMEVALUE(Table2[[#This Row],[Vào]]),0)</f>
        <v>0.30623842592592593</v>
      </c>
      <c r="Z677" s="10">
        <f>IFERROR(TIMEVALUE(Table2[[#This Row],[Ra]]),0)</f>
        <v>0</v>
      </c>
      <c r="AA677" t="str">
        <f t="shared" si="41"/>
        <v>x</v>
      </c>
      <c r="AB677" s="105">
        <f t="shared" si="42"/>
        <v>0</v>
      </c>
      <c r="AC677" s="12" t="str">
        <f>IF(VLOOKUP(A677,Data_NV!$A:$I,7,0)="Không","",IF(OR(AND(Y677=0,Z677=0),AND(Y677&lt;&gt;0,Z677&lt;&gt;0)),"","Quên chấm công"))</f>
        <v/>
      </c>
      <c r="AD677" s="12">
        <f>IF(VLOOKUP(A677,Data_NV!$A:$I,7,0)="Không",0,IF(AND(Y677=0,Z677=0),0,IF(X677&lt;=Z677,0,ROUNDDOWN((X677-Z677)*24*60,0))))</f>
        <v>0</v>
      </c>
      <c r="AE677" s="12">
        <f>IF(VLOOKUP(A677,Data_NV!$A:$I,6,0)="Không",0,IF(Z677&lt;=X677,0,ROUNDDOWN((Z677-X677)*24*60,0)))</f>
        <v>0</v>
      </c>
      <c r="AF677" s="26">
        <f t="shared" si="43"/>
        <v>0</v>
      </c>
      <c r="AG677" s="27" t="str">
        <f>IF(AC677="","",IF(COUNTIFS($AC$3:AC677,"Quên chấm công",$S$3:S677,S677)&gt;3,"Không chấm công do vi phạm quá 3 lần",IF(COUNTIFS($AC$3:AC677,"Quên chấm công",$S$3:S677,S677)&gt;2,"Trừ toàn bộ chuyên cần tháng do vi phạm lần 3",IF(COUNTIFS($AC$3:AC677,"Quên chấm công",$S$3:S677,S677)&gt;1,"Trừ 1/2 ngày lương",50000))))</f>
        <v/>
      </c>
      <c r="AH677" s="12" t="str">
        <f>IF(AF677=0,"",IF(COUNTIFS($AF$3:AF677,"&gt;0",$S$3:S677,S677)&gt;3,"Trừ toàn bộ chuyên cần tháng",""))</f>
        <v/>
      </c>
      <c r="AI677" s="12"/>
    </row>
    <row r="678" spans="1:35" x14ac:dyDescent="0.25">
      <c r="A678" s="4" t="s">
        <v>1006</v>
      </c>
      <c r="B678" s="1" t="s">
        <v>1007</v>
      </c>
      <c r="C678" s="1" t="s">
        <v>20</v>
      </c>
      <c r="D678" s="1" t="s">
        <v>80</v>
      </c>
      <c r="E678" s="1" t="s">
        <v>22</v>
      </c>
      <c r="F678" s="1" t="s">
        <v>23</v>
      </c>
      <c r="G678" s="1" t="s">
        <v>12</v>
      </c>
      <c r="H678" s="1" t="s">
        <v>1018</v>
      </c>
      <c r="I678" s="1" t="s">
        <v>24</v>
      </c>
      <c r="J678" s="1" t="s">
        <v>25</v>
      </c>
      <c r="K678" s="1" t="s">
        <v>25</v>
      </c>
      <c r="L678" s="1" t="s">
        <v>26</v>
      </c>
      <c r="M678" s="1" t="s">
        <v>25</v>
      </c>
      <c r="N678" s="1" t="s">
        <v>25</v>
      </c>
      <c r="O678" s="1" t="s">
        <v>25</v>
      </c>
      <c r="P678" s="1" t="s">
        <v>25</v>
      </c>
      <c r="Q678" s="1" t="s">
        <v>25</v>
      </c>
      <c r="R678" s="85" t="str">
        <f t="shared" si="40"/>
        <v>5945916</v>
      </c>
      <c r="S678" t="str">
        <f>VLOOKUP(A678,Data_NV!$A:$C,3,0)</f>
        <v>Nguyễn Thanh Phương</v>
      </c>
      <c r="T678" t="str">
        <f>VLOOKUP(A678,Data_NV!$A:$E,4,0)</f>
        <v>Vận Hành</v>
      </c>
      <c r="U678" s="82">
        <f>DATEVALUE(Table2[[#This Row],[Ngày]])</f>
        <v>45916</v>
      </c>
      <c r="V678" t="str">
        <f>VLOOKUP(A678,Data_NV!$A:$E,5,0)</f>
        <v>Đang làm việc</v>
      </c>
      <c r="W678" s="10">
        <f>VLOOKUP(A678,Data_NV!$A:$I,8,0)</f>
        <v>0.3125</v>
      </c>
      <c r="X678" s="10">
        <f>VLOOKUP(A678,Data_NV!$A:$I,9,0)</f>
        <v>0.6875</v>
      </c>
      <c r="Y678" s="10">
        <f>IFERROR(TIMEVALUE(Table2[[#This Row],[Vào]]),0)</f>
        <v>0.30579861111111112</v>
      </c>
      <c r="Z678" s="10">
        <f>IFERROR(TIMEVALUE(Table2[[#This Row],[Ra]]),0)</f>
        <v>0</v>
      </c>
      <c r="AA678" t="str">
        <f t="shared" si="41"/>
        <v>x</v>
      </c>
      <c r="AB678" s="105">
        <f t="shared" si="42"/>
        <v>0</v>
      </c>
      <c r="AC678" s="12" t="str">
        <f>IF(VLOOKUP(A678,Data_NV!$A:$I,7,0)="Không","",IF(OR(AND(Y678=0,Z678=0),AND(Y678&lt;&gt;0,Z678&lt;&gt;0)),"","Quên chấm công"))</f>
        <v/>
      </c>
      <c r="AD678" s="12">
        <f>IF(VLOOKUP(A678,Data_NV!$A:$I,7,0)="Không",0,IF(AND(Y678=0,Z678=0),0,IF(X678&lt;=Z678,0,ROUNDDOWN((X678-Z678)*24*60,0))))</f>
        <v>0</v>
      </c>
      <c r="AE678" s="12">
        <f>IF(VLOOKUP(A678,Data_NV!$A:$I,6,0)="Không",0,IF(Z678&lt;=X678,0,ROUNDDOWN((Z678-X678)*24*60,0)))</f>
        <v>0</v>
      </c>
      <c r="AF678" s="26">
        <f t="shared" si="43"/>
        <v>0</v>
      </c>
      <c r="AG678" s="27" t="str">
        <f>IF(AC678="","",IF(COUNTIFS($AC$3:AC678,"Quên chấm công",$S$3:S678,S678)&gt;3,"Không chấm công do vi phạm quá 3 lần",IF(COUNTIFS($AC$3:AC678,"Quên chấm công",$S$3:S678,S678)&gt;2,"Trừ toàn bộ chuyên cần tháng do vi phạm lần 3",IF(COUNTIFS($AC$3:AC678,"Quên chấm công",$S$3:S678,S678)&gt;1,"Trừ 1/2 ngày lương",50000))))</f>
        <v/>
      </c>
      <c r="AH678" s="12" t="str">
        <f>IF(AF678=0,"",IF(COUNTIFS($AF$3:AF678,"&gt;0",$S$3:S678,S678)&gt;3,"Trừ toàn bộ chuyên cần tháng",""))</f>
        <v/>
      </c>
      <c r="AI678" s="12"/>
    </row>
    <row r="679" spans="1:35" x14ac:dyDescent="0.25">
      <c r="A679" s="4" t="s">
        <v>1006</v>
      </c>
      <c r="B679" s="1" t="s">
        <v>1007</v>
      </c>
      <c r="C679" s="1" t="s">
        <v>20</v>
      </c>
      <c r="D679" s="1" t="s">
        <v>85</v>
      </c>
      <c r="E679" s="1" t="s">
        <v>22</v>
      </c>
      <c r="F679" s="1" t="s">
        <v>23</v>
      </c>
      <c r="G679" s="1" t="s">
        <v>12</v>
      </c>
      <c r="H679" s="1" t="s">
        <v>1019</v>
      </c>
      <c r="I679" s="1" t="s">
        <v>24</v>
      </c>
      <c r="J679" s="1" t="s">
        <v>25</v>
      </c>
      <c r="K679" s="1" t="s">
        <v>25</v>
      </c>
      <c r="L679" s="1" t="s">
        <v>26</v>
      </c>
      <c r="M679" s="1" t="s">
        <v>25</v>
      </c>
      <c r="N679" s="1" t="s">
        <v>25</v>
      </c>
      <c r="O679" s="1" t="s">
        <v>25</v>
      </c>
      <c r="P679" s="1" t="s">
        <v>25</v>
      </c>
      <c r="Q679" s="1" t="s">
        <v>25</v>
      </c>
      <c r="R679" s="85" t="str">
        <f t="shared" si="40"/>
        <v>5945917</v>
      </c>
      <c r="S679" t="str">
        <f>VLOOKUP(A679,Data_NV!$A:$C,3,0)</f>
        <v>Nguyễn Thanh Phương</v>
      </c>
      <c r="T679" t="str">
        <f>VLOOKUP(A679,Data_NV!$A:$E,4,0)</f>
        <v>Vận Hành</v>
      </c>
      <c r="U679" s="82">
        <f>DATEVALUE(Table2[[#This Row],[Ngày]])</f>
        <v>45917</v>
      </c>
      <c r="V679" t="str">
        <f>VLOOKUP(A679,Data_NV!$A:$E,5,0)</f>
        <v>Đang làm việc</v>
      </c>
      <c r="W679" s="10">
        <f>VLOOKUP(A679,Data_NV!$A:$I,8,0)</f>
        <v>0.3125</v>
      </c>
      <c r="X679" s="10">
        <f>VLOOKUP(A679,Data_NV!$A:$I,9,0)</f>
        <v>0.6875</v>
      </c>
      <c r="Y679" s="10">
        <f>IFERROR(TIMEVALUE(Table2[[#This Row],[Vào]]),0)</f>
        <v>0.30674768518518519</v>
      </c>
      <c r="Z679" s="10">
        <f>IFERROR(TIMEVALUE(Table2[[#This Row],[Ra]]),0)</f>
        <v>0</v>
      </c>
      <c r="AA679" t="str">
        <f t="shared" si="41"/>
        <v>x</v>
      </c>
      <c r="AB679" s="105">
        <f t="shared" si="42"/>
        <v>0</v>
      </c>
      <c r="AC679" s="12" t="str">
        <f>IF(VLOOKUP(A679,Data_NV!$A:$I,7,0)="Không","",IF(OR(AND(Y679=0,Z679=0),AND(Y679&lt;&gt;0,Z679&lt;&gt;0)),"","Quên chấm công"))</f>
        <v/>
      </c>
      <c r="AD679" s="12">
        <f>IF(VLOOKUP(A679,Data_NV!$A:$I,7,0)="Không",0,IF(AND(Y679=0,Z679=0),0,IF(X679&lt;=Z679,0,ROUNDDOWN((X679-Z679)*24*60,0))))</f>
        <v>0</v>
      </c>
      <c r="AE679" s="12">
        <f>IF(VLOOKUP(A679,Data_NV!$A:$I,6,0)="Không",0,IF(Z679&lt;=X679,0,ROUNDDOWN((Z679-X679)*24*60,0)))</f>
        <v>0</v>
      </c>
      <c r="AF679" s="26">
        <f t="shared" si="43"/>
        <v>0</v>
      </c>
      <c r="AG679" s="27" t="str">
        <f>IF(AC679="","",IF(COUNTIFS($AC$3:AC679,"Quên chấm công",$S$3:S679,S679)&gt;3,"Không chấm công do vi phạm quá 3 lần",IF(COUNTIFS($AC$3:AC679,"Quên chấm công",$S$3:S679,S679)&gt;2,"Trừ toàn bộ chuyên cần tháng do vi phạm lần 3",IF(COUNTIFS($AC$3:AC679,"Quên chấm công",$S$3:S679,S679)&gt;1,"Trừ 1/2 ngày lương",50000))))</f>
        <v/>
      </c>
      <c r="AH679" s="12" t="str">
        <f>IF(AF679=0,"",IF(COUNTIFS($AF$3:AF679,"&gt;0",$S$3:S679,S679)&gt;3,"Trừ toàn bộ chuyên cần tháng",""))</f>
        <v/>
      </c>
      <c r="AI679" s="12"/>
    </row>
    <row r="680" spans="1:35" x14ac:dyDescent="0.25">
      <c r="A680" s="4" t="s">
        <v>1006</v>
      </c>
      <c r="B680" s="1" t="s">
        <v>1007</v>
      </c>
      <c r="C680" s="1" t="s">
        <v>20</v>
      </c>
      <c r="D680" s="1" t="s">
        <v>90</v>
      </c>
      <c r="E680" s="1" t="s">
        <v>22</v>
      </c>
      <c r="F680" s="1" t="s">
        <v>23</v>
      </c>
      <c r="G680" s="1" t="s">
        <v>12</v>
      </c>
      <c r="H680" s="1" t="s">
        <v>1020</v>
      </c>
      <c r="I680" s="1" t="s">
        <v>24</v>
      </c>
      <c r="J680" s="1" t="s">
        <v>25</v>
      </c>
      <c r="K680" s="1" t="s">
        <v>25</v>
      </c>
      <c r="L680" s="1" t="s">
        <v>26</v>
      </c>
      <c r="M680" s="1" t="s">
        <v>25</v>
      </c>
      <c r="N680" s="1" t="s">
        <v>25</v>
      </c>
      <c r="O680" s="1" t="s">
        <v>25</v>
      </c>
      <c r="P680" s="1" t="s">
        <v>25</v>
      </c>
      <c r="Q680" s="1" t="s">
        <v>25</v>
      </c>
      <c r="R680" s="85" t="str">
        <f t="shared" si="40"/>
        <v>5945918</v>
      </c>
      <c r="S680" t="str">
        <f>VLOOKUP(A680,Data_NV!$A:$C,3,0)</f>
        <v>Nguyễn Thanh Phương</v>
      </c>
      <c r="T680" t="str">
        <f>VLOOKUP(A680,Data_NV!$A:$E,4,0)</f>
        <v>Vận Hành</v>
      </c>
      <c r="U680" s="82">
        <f>DATEVALUE(Table2[[#This Row],[Ngày]])</f>
        <v>45918</v>
      </c>
      <c r="V680" t="str">
        <f>VLOOKUP(A680,Data_NV!$A:$E,5,0)</f>
        <v>Đang làm việc</v>
      </c>
      <c r="W680" s="10">
        <f>VLOOKUP(A680,Data_NV!$A:$I,8,0)</f>
        <v>0.3125</v>
      </c>
      <c r="X680" s="10">
        <f>VLOOKUP(A680,Data_NV!$A:$I,9,0)</f>
        <v>0.6875</v>
      </c>
      <c r="Y680" s="10">
        <f>IFERROR(TIMEVALUE(Table2[[#This Row],[Vào]]),0)</f>
        <v>0.30502314814814813</v>
      </c>
      <c r="Z680" s="10">
        <f>IFERROR(TIMEVALUE(Table2[[#This Row],[Ra]]),0)</f>
        <v>0</v>
      </c>
      <c r="AA680" t="str">
        <f t="shared" si="41"/>
        <v>x</v>
      </c>
      <c r="AB680" s="105">
        <f t="shared" si="42"/>
        <v>0</v>
      </c>
      <c r="AC680" s="12" t="str">
        <f>IF(VLOOKUP(A680,Data_NV!$A:$I,7,0)="Không","",IF(OR(AND(Y680=0,Z680=0),AND(Y680&lt;&gt;0,Z680&lt;&gt;0)),"","Quên chấm công"))</f>
        <v/>
      </c>
      <c r="AD680" s="12">
        <f>IF(VLOOKUP(A680,Data_NV!$A:$I,7,0)="Không",0,IF(AND(Y680=0,Z680=0),0,IF(X680&lt;=Z680,0,ROUNDDOWN((X680-Z680)*24*60,0))))</f>
        <v>0</v>
      </c>
      <c r="AE680" s="12">
        <f>IF(VLOOKUP(A680,Data_NV!$A:$I,6,0)="Không",0,IF(Z680&lt;=X680,0,ROUNDDOWN((Z680-X680)*24*60,0)))</f>
        <v>0</v>
      </c>
      <c r="AF680" s="26">
        <f t="shared" si="43"/>
        <v>0</v>
      </c>
      <c r="AG680" s="27" t="str">
        <f>IF(AC680="","",IF(COUNTIFS($AC$3:AC680,"Quên chấm công",$S$3:S680,S680)&gt;3,"Không chấm công do vi phạm quá 3 lần",IF(COUNTIFS($AC$3:AC680,"Quên chấm công",$S$3:S680,S680)&gt;2,"Trừ toàn bộ chuyên cần tháng do vi phạm lần 3",IF(COUNTIFS($AC$3:AC680,"Quên chấm công",$S$3:S680,S680)&gt;1,"Trừ 1/2 ngày lương",50000))))</f>
        <v/>
      </c>
      <c r="AH680" s="12" t="str">
        <f>IF(AF680=0,"",IF(COUNTIFS($AF$3:AF680,"&gt;0",$S$3:S680,S680)&gt;3,"Trừ toàn bộ chuyên cần tháng",""))</f>
        <v/>
      </c>
      <c r="AI680" s="12"/>
    </row>
    <row r="681" spans="1:35" x14ac:dyDescent="0.25">
      <c r="A681" s="4" t="s">
        <v>1006</v>
      </c>
      <c r="B681" s="1" t="s">
        <v>1007</v>
      </c>
      <c r="C681" s="1" t="s">
        <v>20</v>
      </c>
      <c r="D681" s="1" t="s">
        <v>95</v>
      </c>
      <c r="E681" s="1" t="s">
        <v>22</v>
      </c>
      <c r="F681" s="1" t="s">
        <v>23</v>
      </c>
      <c r="G681" s="1" t="s">
        <v>12</v>
      </c>
      <c r="H681" s="1" t="s">
        <v>1021</v>
      </c>
      <c r="I681" s="1" t="s">
        <v>24</v>
      </c>
      <c r="J681" s="1" t="s">
        <v>25</v>
      </c>
      <c r="K681" s="1" t="s">
        <v>25</v>
      </c>
      <c r="L681" s="1" t="s">
        <v>26</v>
      </c>
      <c r="M681" s="1" t="s">
        <v>25</v>
      </c>
      <c r="N681" s="1" t="s">
        <v>25</v>
      </c>
      <c r="O681" s="1" t="s">
        <v>25</v>
      </c>
      <c r="P681" s="1" t="s">
        <v>25</v>
      </c>
      <c r="Q681" s="1" t="s">
        <v>25</v>
      </c>
      <c r="R681" s="85" t="str">
        <f t="shared" si="40"/>
        <v>5945919</v>
      </c>
      <c r="S681" t="str">
        <f>VLOOKUP(A681,Data_NV!$A:$C,3,0)</f>
        <v>Nguyễn Thanh Phương</v>
      </c>
      <c r="T681" t="str">
        <f>VLOOKUP(A681,Data_NV!$A:$E,4,0)</f>
        <v>Vận Hành</v>
      </c>
      <c r="U681" s="82">
        <f>DATEVALUE(Table2[[#This Row],[Ngày]])</f>
        <v>45919</v>
      </c>
      <c r="V681" t="str">
        <f>VLOOKUP(A681,Data_NV!$A:$E,5,0)</f>
        <v>Đang làm việc</v>
      </c>
      <c r="W681" s="10">
        <f>VLOOKUP(A681,Data_NV!$A:$I,8,0)</f>
        <v>0.3125</v>
      </c>
      <c r="X681" s="10">
        <f>VLOOKUP(A681,Data_NV!$A:$I,9,0)</f>
        <v>0.6875</v>
      </c>
      <c r="Y681" s="10">
        <f>IFERROR(TIMEVALUE(Table2[[#This Row],[Vào]]),0)</f>
        <v>0.30038194444444444</v>
      </c>
      <c r="Z681" s="10">
        <f>IFERROR(TIMEVALUE(Table2[[#This Row],[Ra]]),0)</f>
        <v>0</v>
      </c>
      <c r="AA681" t="str">
        <f t="shared" si="41"/>
        <v>x</v>
      </c>
      <c r="AB681" s="105">
        <f t="shared" si="42"/>
        <v>0</v>
      </c>
      <c r="AC681" s="12" t="str">
        <f>IF(VLOOKUP(A681,Data_NV!$A:$I,7,0)="Không","",IF(OR(AND(Y681=0,Z681=0),AND(Y681&lt;&gt;0,Z681&lt;&gt;0)),"","Quên chấm công"))</f>
        <v/>
      </c>
      <c r="AD681" s="12">
        <f>IF(VLOOKUP(A681,Data_NV!$A:$I,7,0)="Không",0,IF(AND(Y681=0,Z681=0),0,IF(X681&lt;=Z681,0,ROUNDDOWN((X681-Z681)*24*60,0))))</f>
        <v>0</v>
      </c>
      <c r="AE681" s="12">
        <f>IF(VLOOKUP(A681,Data_NV!$A:$I,6,0)="Không",0,IF(Z681&lt;=X681,0,ROUNDDOWN((Z681-X681)*24*60,0)))</f>
        <v>0</v>
      </c>
      <c r="AF681" s="26">
        <f t="shared" si="43"/>
        <v>0</v>
      </c>
      <c r="AG681" s="27" t="str">
        <f>IF(AC681="","",IF(COUNTIFS($AC$3:AC681,"Quên chấm công",$S$3:S681,S681)&gt;3,"Không chấm công do vi phạm quá 3 lần",IF(COUNTIFS($AC$3:AC681,"Quên chấm công",$S$3:S681,S681)&gt;2,"Trừ toàn bộ chuyên cần tháng do vi phạm lần 3",IF(COUNTIFS($AC$3:AC681,"Quên chấm công",$S$3:S681,S681)&gt;1,"Trừ 1/2 ngày lương",50000))))</f>
        <v/>
      </c>
      <c r="AH681" s="12" t="str">
        <f>IF(AF681=0,"",IF(COUNTIFS($AF$3:AF681,"&gt;0",$S$3:S681,S681)&gt;3,"Trừ toàn bộ chuyên cần tháng",""))</f>
        <v/>
      </c>
      <c r="AI681" s="12"/>
    </row>
    <row r="682" spans="1:35" x14ac:dyDescent="0.25">
      <c r="A682" s="4" t="s">
        <v>1006</v>
      </c>
      <c r="B682" s="1" t="s">
        <v>1007</v>
      </c>
      <c r="C682" s="1" t="s">
        <v>20</v>
      </c>
      <c r="D682" s="1" t="s">
        <v>100</v>
      </c>
      <c r="E682" s="1" t="s">
        <v>22</v>
      </c>
      <c r="F682" s="1" t="s">
        <v>23</v>
      </c>
      <c r="G682" s="1" t="s">
        <v>12</v>
      </c>
      <c r="H682" s="1" t="s">
        <v>1022</v>
      </c>
      <c r="I682" s="1" t="s">
        <v>24</v>
      </c>
      <c r="J682" s="1" t="s">
        <v>25</v>
      </c>
      <c r="K682" s="1" t="s">
        <v>25</v>
      </c>
      <c r="L682" s="1" t="s">
        <v>26</v>
      </c>
      <c r="M682" s="1" t="s">
        <v>25</v>
      </c>
      <c r="N682" s="1" t="s">
        <v>25</v>
      </c>
      <c r="O682" s="1" t="s">
        <v>25</v>
      </c>
      <c r="P682" s="1" t="s">
        <v>25</v>
      </c>
      <c r="Q682" s="1" t="s">
        <v>25</v>
      </c>
      <c r="R682" s="85" t="str">
        <f t="shared" si="40"/>
        <v>5945920</v>
      </c>
      <c r="S682" t="str">
        <f>VLOOKUP(A682,Data_NV!$A:$C,3,0)</f>
        <v>Nguyễn Thanh Phương</v>
      </c>
      <c r="T682" t="str">
        <f>VLOOKUP(A682,Data_NV!$A:$E,4,0)</f>
        <v>Vận Hành</v>
      </c>
      <c r="U682" s="82">
        <f>DATEVALUE(Table2[[#This Row],[Ngày]])</f>
        <v>45920</v>
      </c>
      <c r="V682" t="str">
        <f>VLOOKUP(A682,Data_NV!$A:$E,5,0)</f>
        <v>Đang làm việc</v>
      </c>
      <c r="W682" s="10">
        <f>VLOOKUP(A682,Data_NV!$A:$I,8,0)</f>
        <v>0.3125</v>
      </c>
      <c r="X682" s="10">
        <f>VLOOKUP(A682,Data_NV!$A:$I,9,0)</f>
        <v>0.6875</v>
      </c>
      <c r="Y682" s="10">
        <f>IFERROR(TIMEVALUE(Table2[[#This Row],[Vào]]),0)</f>
        <v>0.30412037037037037</v>
      </c>
      <c r="Z682" s="10">
        <f>IFERROR(TIMEVALUE(Table2[[#This Row],[Ra]]),0)</f>
        <v>0</v>
      </c>
      <c r="AA682" t="str">
        <f t="shared" si="41"/>
        <v>x</v>
      </c>
      <c r="AB682" s="105">
        <f t="shared" si="42"/>
        <v>0</v>
      </c>
      <c r="AC682" s="12" t="str">
        <f>IF(VLOOKUP(A682,Data_NV!$A:$I,7,0)="Không","",IF(OR(AND(Y682=0,Z682=0),AND(Y682&lt;&gt;0,Z682&lt;&gt;0)),"","Quên chấm công"))</f>
        <v/>
      </c>
      <c r="AD682" s="12">
        <f>IF(VLOOKUP(A682,Data_NV!$A:$I,7,0)="Không",0,IF(AND(Y682=0,Z682=0),0,IF(X682&lt;=Z682,0,ROUNDDOWN((X682-Z682)*24*60,0))))</f>
        <v>0</v>
      </c>
      <c r="AE682" s="12">
        <f>IF(VLOOKUP(A682,Data_NV!$A:$I,6,0)="Không",0,IF(Z682&lt;=X682,0,ROUNDDOWN((Z682-X682)*24*60,0)))</f>
        <v>0</v>
      </c>
      <c r="AF682" s="26">
        <f t="shared" si="43"/>
        <v>0</v>
      </c>
      <c r="AG682" s="27" t="str">
        <f>IF(AC682="","",IF(COUNTIFS($AC$3:AC682,"Quên chấm công",$S$3:S682,S682)&gt;3,"Không chấm công do vi phạm quá 3 lần",IF(COUNTIFS($AC$3:AC682,"Quên chấm công",$S$3:S682,S682)&gt;2,"Trừ toàn bộ chuyên cần tháng do vi phạm lần 3",IF(COUNTIFS($AC$3:AC682,"Quên chấm công",$S$3:S682,S682)&gt;1,"Trừ 1/2 ngày lương",50000))))</f>
        <v/>
      </c>
      <c r="AH682" s="12" t="str">
        <f>IF(AF682=0,"",IF(COUNTIFS($AF$3:AF682,"&gt;0",$S$3:S682,S682)&gt;3,"Trừ toàn bộ chuyên cần tháng",""))</f>
        <v/>
      </c>
      <c r="AI682" s="12"/>
    </row>
    <row r="683" spans="1:35" x14ac:dyDescent="0.25">
      <c r="A683" s="4" t="s">
        <v>1006</v>
      </c>
      <c r="B683" s="1" t="s">
        <v>1007</v>
      </c>
      <c r="C683" s="1" t="s">
        <v>20</v>
      </c>
      <c r="D683" s="1" t="s">
        <v>105</v>
      </c>
      <c r="E683" s="1" t="s">
        <v>22</v>
      </c>
      <c r="F683" s="1" t="s">
        <v>23</v>
      </c>
      <c r="G683" s="1" t="s">
        <v>12</v>
      </c>
      <c r="H683" s="1" t="s">
        <v>24</v>
      </c>
      <c r="I683" s="1" t="s">
        <v>24</v>
      </c>
      <c r="J683" s="1" t="s">
        <v>25</v>
      </c>
      <c r="K683" s="1" t="s">
        <v>25</v>
      </c>
      <c r="L683" s="1" t="s">
        <v>26</v>
      </c>
      <c r="M683" s="1" t="s">
        <v>25</v>
      </c>
      <c r="N683" s="1" t="s">
        <v>25</v>
      </c>
      <c r="O683" s="1" t="s">
        <v>25</v>
      </c>
      <c r="P683" s="1" t="s">
        <v>25</v>
      </c>
      <c r="Q683" s="1" t="s">
        <v>25</v>
      </c>
      <c r="R683" s="85" t="str">
        <f t="shared" si="40"/>
        <v>5945921</v>
      </c>
      <c r="S683" t="str">
        <f>VLOOKUP(A683,Data_NV!$A:$C,3,0)</f>
        <v>Nguyễn Thanh Phương</v>
      </c>
      <c r="T683" t="str">
        <f>VLOOKUP(A683,Data_NV!$A:$E,4,0)</f>
        <v>Vận Hành</v>
      </c>
      <c r="U683" s="82">
        <f>DATEVALUE(Table2[[#This Row],[Ngày]])</f>
        <v>45921</v>
      </c>
      <c r="V683" t="str">
        <f>VLOOKUP(A683,Data_NV!$A:$E,5,0)</f>
        <v>Đang làm việc</v>
      </c>
      <c r="W683" s="10">
        <f>VLOOKUP(A683,Data_NV!$A:$I,8,0)</f>
        <v>0.3125</v>
      </c>
      <c r="X683" s="10">
        <f>VLOOKUP(A683,Data_NV!$A:$I,9,0)</f>
        <v>0.6875</v>
      </c>
      <c r="Y683" s="10">
        <f>IFERROR(TIMEVALUE(Table2[[#This Row],[Vào]]),0)</f>
        <v>0</v>
      </c>
      <c r="Z683" s="10">
        <f>IFERROR(TIMEVALUE(Table2[[#This Row],[Ra]]),0)</f>
        <v>0</v>
      </c>
      <c r="AA683" t="str">
        <f t="shared" si="41"/>
        <v>Chủ nhật</v>
      </c>
      <c r="AB683" s="105">
        <f t="shared" si="42"/>
        <v>0</v>
      </c>
      <c r="AC683" s="12" t="str">
        <f>IF(VLOOKUP(A683,Data_NV!$A:$I,7,0)="Không","",IF(OR(AND(Y683=0,Z683=0),AND(Y683&lt;&gt;0,Z683&lt;&gt;0)),"","Quên chấm công"))</f>
        <v/>
      </c>
      <c r="AD683" s="12">
        <f>IF(VLOOKUP(A683,Data_NV!$A:$I,7,0)="Không",0,IF(AND(Y683=0,Z683=0),0,IF(X683&lt;=Z683,0,ROUNDDOWN((X683-Z683)*24*60,0))))</f>
        <v>0</v>
      </c>
      <c r="AE683" s="12">
        <f>IF(VLOOKUP(A683,Data_NV!$A:$I,6,0)="Không",0,IF(Z683&lt;=X683,0,ROUNDDOWN((Z683-X683)*24*60,0)))</f>
        <v>0</v>
      </c>
      <c r="AF683" s="26">
        <f t="shared" si="43"/>
        <v>0</v>
      </c>
      <c r="AG683" s="27" t="str">
        <f>IF(AC683="","",IF(COUNTIFS($AC$3:AC683,"Quên chấm công",$S$3:S683,S683)&gt;3,"Không chấm công do vi phạm quá 3 lần",IF(COUNTIFS($AC$3:AC683,"Quên chấm công",$S$3:S683,S683)&gt;2,"Trừ toàn bộ chuyên cần tháng do vi phạm lần 3",IF(COUNTIFS($AC$3:AC683,"Quên chấm công",$S$3:S683,S683)&gt;1,"Trừ 1/2 ngày lương",50000))))</f>
        <v/>
      </c>
      <c r="AH683" s="12" t="str">
        <f>IF(AF683=0,"",IF(COUNTIFS($AF$3:AF683,"&gt;0",$S$3:S683,S683)&gt;3,"Trừ toàn bộ chuyên cần tháng",""))</f>
        <v/>
      </c>
      <c r="AI683" s="12"/>
    </row>
    <row r="684" spans="1:35" x14ac:dyDescent="0.25">
      <c r="A684" s="4" t="s">
        <v>1006</v>
      </c>
      <c r="B684" s="1" t="s">
        <v>1007</v>
      </c>
      <c r="C684" s="1" t="s">
        <v>20</v>
      </c>
      <c r="D684" s="1" t="s">
        <v>106</v>
      </c>
      <c r="E684" s="1" t="s">
        <v>22</v>
      </c>
      <c r="F684" s="1" t="s">
        <v>23</v>
      </c>
      <c r="G684" s="1" t="s">
        <v>12</v>
      </c>
      <c r="H684" s="1" t="s">
        <v>1023</v>
      </c>
      <c r="I684" s="1" t="s">
        <v>24</v>
      </c>
      <c r="J684" s="1" t="s">
        <v>25</v>
      </c>
      <c r="K684" s="1" t="s">
        <v>25</v>
      </c>
      <c r="L684" s="1" t="s">
        <v>26</v>
      </c>
      <c r="M684" s="1" t="s">
        <v>25</v>
      </c>
      <c r="N684" s="1" t="s">
        <v>25</v>
      </c>
      <c r="O684" s="1" t="s">
        <v>25</v>
      </c>
      <c r="P684" s="1" t="s">
        <v>25</v>
      </c>
      <c r="Q684" s="1" t="s">
        <v>25</v>
      </c>
      <c r="R684" s="85" t="str">
        <f t="shared" si="40"/>
        <v>5945922</v>
      </c>
      <c r="S684" t="str">
        <f>VLOOKUP(A684,Data_NV!$A:$C,3,0)</f>
        <v>Nguyễn Thanh Phương</v>
      </c>
      <c r="T684" t="str">
        <f>VLOOKUP(A684,Data_NV!$A:$E,4,0)</f>
        <v>Vận Hành</v>
      </c>
      <c r="U684" s="82">
        <f>DATEVALUE(Table2[[#This Row],[Ngày]])</f>
        <v>45922</v>
      </c>
      <c r="V684" t="str">
        <f>VLOOKUP(A684,Data_NV!$A:$E,5,0)</f>
        <v>Đang làm việc</v>
      </c>
      <c r="W684" s="10">
        <f>VLOOKUP(A684,Data_NV!$A:$I,8,0)</f>
        <v>0.3125</v>
      </c>
      <c r="X684" s="10">
        <f>VLOOKUP(A684,Data_NV!$A:$I,9,0)</f>
        <v>0.6875</v>
      </c>
      <c r="Y684" s="10">
        <f>IFERROR(TIMEVALUE(Table2[[#This Row],[Vào]]),0)</f>
        <v>0.30497685185185186</v>
      </c>
      <c r="Z684" s="10">
        <f>IFERROR(TIMEVALUE(Table2[[#This Row],[Ra]]),0)</f>
        <v>0</v>
      </c>
      <c r="AA684" t="str">
        <f t="shared" si="41"/>
        <v>x</v>
      </c>
      <c r="AB684" s="105">
        <f t="shared" si="42"/>
        <v>0</v>
      </c>
      <c r="AC684" s="12" t="str">
        <f>IF(VLOOKUP(A684,Data_NV!$A:$I,7,0)="Không","",IF(OR(AND(Y684=0,Z684=0),AND(Y684&lt;&gt;0,Z684&lt;&gt;0)),"","Quên chấm công"))</f>
        <v/>
      </c>
      <c r="AD684" s="12">
        <f>IF(VLOOKUP(A684,Data_NV!$A:$I,7,0)="Không",0,IF(AND(Y684=0,Z684=0),0,IF(X684&lt;=Z684,0,ROUNDDOWN((X684-Z684)*24*60,0))))</f>
        <v>0</v>
      </c>
      <c r="AE684" s="12">
        <f>IF(VLOOKUP(A684,Data_NV!$A:$I,6,0)="Không",0,IF(Z684&lt;=X684,0,ROUNDDOWN((Z684-X684)*24*60,0)))</f>
        <v>0</v>
      </c>
      <c r="AF684" s="26">
        <f t="shared" si="43"/>
        <v>0</v>
      </c>
      <c r="AG684" s="27" t="str">
        <f>IF(AC684="","",IF(COUNTIFS($AC$3:AC684,"Quên chấm công",$S$3:S684,S684)&gt;3,"Không chấm công do vi phạm quá 3 lần",IF(COUNTIFS($AC$3:AC684,"Quên chấm công",$S$3:S684,S684)&gt;2,"Trừ toàn bộ chuyên cần tháng do vi phạm lần 3",IF(COUNTIFS($AC$3:AC684,"Quên chấm công",$S$3:S684,S684)&gt;1,"Trừ 1/2 ngày lương",50000))))</f>
        <v/>
      </c>
      <c r="AH684" s="12" t="str">
        <f>IF(AF684=0,"",IF(COUNTIFS($AF$3:AF684,"&gt;0",$S$3:S684,S684)&gt;3,"Trừ toàn bộ chuyên cần tháng",""))</f>
        <v/>
      </c>
      <c r="AI684" s="12"/>
    </row>
    <row r="685" spans="1:35" x14ac:dyDescent="0.25">
      <c r="A685" s="4" t="s">
        <v>1006</v>
      </c>
      <c r="B685" s="1" t="s">
        <v>1007</v>
      </c>
      <c r="C685" s="1" t="s">
        <v>20</v>
      </c>
      <c r="D685" s="1" t="s">
        <v>111</v>
      </c>
      <c r="E685" s="1" t="s">
        <v>22</v>
      </c>
      <c r="F685" s="1" t="s">
        <v>23</v>
      </c>
      <c r="G685" s="1" t="s">
        <v>12</v>
      </c>
      <c r="H685" s="1" t="s">
        <v>1024</v>
      </c>
      <c r="I685" s="1" t="s">
        <v>24</v>
      </c>
      <c r="J685" s="1" t="s">
        <v>25</v>
      </c>
      <c r="K685" s="1" t="s">
        <v>25</v>
      </c>
      <c r="L685" s="1" t="s">
        <v>26</v>
      </c>
      <c r="M685" s="1" t="s">
        <v>25</v>
      </c>
      <c r="N685" s="1" t="s">
        <v>25</v>
      </c>
      <c r="O685" s="1" t="s">
        <v>25</v>
      </c>
      <c r="P685" s="1" t="s">
        <v>25</v>
      </c>
      <c r="Q685" s="1" t="s">
        <v>25</v>
      </c>
      <c r="R685" s="85" t="str">
        <f t="shared" si="40"/>
        <v>5945923</v>
      </c>
      <c r="S685" t="str">
        <f>VLOOKUP(A685,Data_NV!$A:$C,3,0)</f>
        <v>Nguyễn Thanh Phương</v>
      </c>
      <c r="T685" t="str">
        <f>VLOOKUP(A685,Data_NV!$A:$E,4,0)</f>
        <v>Vận Hành</v>
      </c>
      <c r="U685" s="82">
        <f>DATEVALUE(Table2[[#This Row],[Ngày]])</f>
        <v>45923</v>
      </c>
      <c r="V685" t="str">
        <f>VLOOKUP(A685,Data_NV!$A:$E,5,0)</f>
        <v>Đang làm việc</v>
      </c>
      <c r="W685" s="10">
        <f>VLOOKUP(A685,Data_NV!$A:$I,8,0)</f>
        <v>0.3125</v>
      </c>
      <c r="X685" s="10">
        <f>VLOOKUP(A685,Data_NV!$A:$I,9,0)</f>
        <v>0.6875</v>
      </c>
      <c r="Y685" s="10">
        <f>IFERROR(TIMEVALUE(Table2[[#This Row],[Vào]]),0)</f>
        <v>0.30584490740740738</v>
      </c>
      <c r="Z685" s="10">
        <f>IFERROR(TIMEVALUE(Table2[[#This Row],[Ra]]),0)</f>
        <v>0</v>
      </c>
      <c r="AA685" t="str">
        <f t="shared" si="41"/>
        <v>x</v>
      </c>
      <c r="AB685" s="105">
        <f t="shared" si="42"/>
        <v>0</v>
      </c>
      <c r="AC685" s="12" t="str">
        <f>IF(VLOOKUP(A685,Data_NV!$A:$I,7,0)="Không","",IF(OR(AND(Y685=0,Z685=0),AND(Y685&lt;&gt;0,Z685&lt;&gt;0)),"","Quên chấm công"))</f>
        <v/>
      </c>
      <c r="AD685" s="12">
        <f>IF(VLOOKUP(A685,Data_NV!$A:$I,7,0)="Không",0,IF(AND(Y685=0,Z685=0),0,IF(X685&lt;=Z685,0,ROUNDDOWN((X685-Z685)*24*60,0))))</f>
        <v>0</v>
      </c>
      <c r="AE685" s="12">
        <f>IF(VLOOKUP(A685,Data_NV!$A:$I,6,0)="Không",0,IF(Z685&lt;=X685,0,ROUNDDOWN((Z685-X685)*24*60,0)))</f>
        <v>0</v>
      </c>
      <c r="AF685" s="26">
        <f t="shared" si="43"/>
        <v>0</v>
      </c>
      <c r="AG685" s="27" t="str">
        <f>IF(AC685="","",IF(COUNTIFS($AC$3:AC685,"Quên chấm công",$S$3:S685,S685)&gt;3,"Không chấm công do vi phạm quá 3 lần",IF(COUNTIFS($AC$3:AC685,"Quên chấm công",$S$3:S685,S685)&gt;2,"Trừ toàn bộ chuyên cần tháng do vi phạm lần 3",IF(COUNTIFS($AC$3:AC685,"Quên chấm công",$S$3:S685,S685)&gt;1,"Trừ 1/2 ngày lương",50000))))</f>
        <v/>
      </c>
      <c r="AH685" s="12" t="str">
        <f>IF(AF685=0,"",IF(COUNTIFS($AF$3:AF685,"&gt;0",$S$3:S685,S685)&gt;3,"Trừ toàn bộ chuyên cần tháng",""))</f>
        <v/>
      </c>
      <c r="AI685" s="12"/>
    </row>
    <row r="686" spans="1:35" x14ac:dyDescent="0.25">
      <c r="A686" s="4" t="s">
        <v>1006</v>
      </c>
      <c r="B686" s="1" t="s">
        <v>1007</v>
      </c>
      <c r="C686" s="1" t="s">
        <v>20</v>
      </c>
      <c r="D686" s="1" t="s">
        <v>116</v>
      </c>
      <c r="E686" s="1" t="s">
        <v>22</v>
      </c>
      <c r="F686" s="1" t="s">
        <v>23</v>
      </c>
      <c r="G686" s="1" t="s">
        <v>12</v>
      </c>
      <c r="H686" s="1" t="s">
        <v>1025</v>
      </c>
      <c r="I686" s="1" t="s">
        <v>24</v>
      </c>
      <c r="J686" s="1" t="s">
        <v>25</v>
      </c>
      <c r="K686" s="1" t="s">
        <v>25</v>
      </c>
      <c r="L686" s="1" t="s">
        <v>26</v>
      </c>
      <c r="M686" s="1" t="s">
        <v>25</v>
      </c>
      <c r="N686" s="1" t="s">
        <v>25</v>
      </c>
      <c r="O686" s="1" t="s">
        <v>25</v>
      </c>
      <c r="P686" s="1" t="s">
        <v>25</v>
      </c>
      <c r="Q686" s="1" t="s">
        <v>25</v>
      </c>
      <c r="R686" s="85" t="str">
        <f t="shared" si="40"/>
        <v>5945924</v>
      </c>
      <c r="S686" t="str">
        <f>VLOOKUP(A686,Data_NV!$A:$C,3,0)</f>
        <v>Nguyễn Thanh Phương</v>
      </c>
      <c r="T686" t="str">
        <f>VLOOKUP(A686,Data_NV!$A:$E,4,0)</f>
        <v>Vận Hành</v>
      </c>
      <c r="U686" s="82">
        <f>DATEVALUE(Table2[[#This Row],[Ngày]])</f>
        <v>45924</v>
      </c>
      <c r="V686" t="str">
        <f>VLOOKUP(A686,Data_NV!$A:$E,5,0)</f>
        <v>Đang làm việc</v>
      </c>
      <c r="W686" s="10">
        <f>VLOOKUP(A686,Data_NV!$A:$I,8,0)</f>
        <v>0.3125</v>
      </c>
      <c r="X686" s="10">
        <f>VLOOKUP(A686,Data_NV!$A:$I,9,0)</f>
        <v>0.6875</v>
      </c>
      <c r="Y686" s="10">
        <f>IFERROR(TIMEVALUE(Table2[[#This Row],[Vào]]),0)</f>
        <v>0.30531249999999999</v>
      </c>
      <c r="Z686" s="10">
        <f>IFERROR(TIMEVALUE(Table2[[#This Row],[Ra]]),0)</f>
        <v>0</v>
      </c>
      <c r="AA686" t="str">
        <f t="shared" si="41"/>
        <v>x</v>
      </c>
      <c r="AB686" s="105">
        <f t="shared" si="42"/>
        <v>0</v>
      </c>
      <c r="AC686" s="12" t="str">
        <f>IF(VLOOKUP(A686,Data_NV!$A:$I,7,0)="Không","",IF(OR(AND(Y686=0,Z686=0),AND(Y686&lt;&gt;0,Z686&lt;&gt;0)),"","Quên chấm công"))</f>
        <v/>
      </c>
      <c r="AD686" s="12">
        <f>IF(VLOOKUP(A686,Data_NV!$A:$I,7,0)="Không",0,IF(AND(Y686=0,Z686=0),0,IF(X686&lt;=Z686,0,ROUNDDOWN((X686-Z686)*24*60,0))))</f>
        <v>0</v>
      </c>
      <c r="AE686" s="12">
        <f>IF(VLOOKUP(A686,Data_NV!$A:$I,6,0)="Không",0,IF(Z686&lt;=X686,0,ROUNDDOWN((Z686-X686)*24*60,0)))</f>
        <v>0</v>
      </c>
      <c r="AF686" s="26">
        <f t="shared" si="43"/>
        <v>0</v>
      </c>
      <c r="AG686" s="27" t="str">
        <f>IF(AC686="","",IF(COUNTIFS($AC$3:AC686,"Quên chấm công",$S$3:S686,S686)&gt;3,"Không chấm công do vi phạm quá 3 lần",IF(COUNTIFS($AC$3:AC686,"Quên chấm công",$S$3:S686,S686)&gt;2,"Trừ toàn bộ chuyên cần tháng do vi phạm lần 3",IF(COUNTIFS($AC$3:AC686,"Quên chấm công",$S$3:S686,S686)&gt;1,"Trừ 1/2 ngày lương",50000))))</f>
        <v/>
      </c>
      <c r="AH686" s="12" t="str">
        <f>IF(AF686=0,"",IF(COUNTIFS($AF$3:AF686,"&gt;0",$S$3:S686,S686)&gt;3,"Trừ toàn bộ chuyên cần tháng",""))</f>
        <v/>
      </c>
      <c r="AI686" s="12"/>
    </row>
    <row r="687" spans="1:35" x14ac:dyDescent="0.25">
      <c r="A687" s="4" t="s">
        <v>1006</v>
      </c>
      <c r="B687" s="1" t="s">
        <v>1007</v>
      </c>
      <c r="C687" s="1" t="s">
        <v>20</v>
      </c>
      <c r="D687" s="1" t="s">
        <v>121</v>
      </c>
      <c r="E687" s="1" t="s">
        <v>22</v>
      </c>
      <c r="F687" s="1" t="s">
        <v>23</v>
      </c>
      <c r="G687" s="1" t="s">
        <v>12</v>
      </c>
      <c r="H687" s="1" t="s">
        <v>1026</v>
      </c>
      <c r="I687" s="1" t="s">
        <v>24</v>
      </c>
      <c r="J687" s="1" t="s">
        <v>25</v>
      </c>
      <c r="K687" s="1" t="s">
        <v>25</v>
      </c>
      <c r="L687" s="1" t="s">
        <v>26</v>
      </c>
      <c r="M687" s="1" t="s">
        <v>25</v>
      </c>
      <c r="N687" s="1" t="s">
        <v>25</v>
      </c>
      <c r="O687" s="1" t="s">
        <v>25</v>
      </c>
      <c r="P687" s="1" t="s">
        <v>25</v>
      </c>
      <c r="Q687" s="1" t="s">
        <v>25</v>
      </c>
      <c r="R687" s="85" t="str">
        <f t="shared" si="40"/>
        <v>5945925</v>
      </c>
      <c r="S687" t="str">
        <f>VLOOKUP(A687,Data_NV!$A:$C,3,0)</f>
        <v>Nguyễn Thanh Phương</v>
      </c>
      <c r="T687" t="str">
        <f>VLOOKUP(A687,Data_NV!$A:$E,4,0)</f>
        <v>Vận Hành</v>
      </c>
      <c r="U687" s="82">
        <f>DATEVALUE(Table2[[#This Row],[Ngày]])</f>
        <v>45925</v>
      </c>
      <c r="V687" t="str">
        <f>VLOOKUP(A687,Data_NV!$A:$E,5,0)</f>
        <v>Đang làm việc</v>
      </c>
      <c r="W687" s="10">
        <f>VLOOKUP(A687,Data_NV!$A:$I,8,0)</f>
        <v>0.3125</v>
      </c>
      <c r="X687" s="10">
        <f>VLOOKUP(A687,Data_NV!$A:$I,9,0)</f>
        <v>0.6875</v>
      </c>
      <c r="Y687" s="10">
        <f>IFERROR(TIMEVALUE(Table2[[#This Row],[Vào]]),0)</f>
        <v>0.30633101851851852</v>
      </c>
      <c r="Z687" s="10">
        <f>IFERROR(TIMEVALUE(Table2[[#This Row],[Ra]]),0)</f>
        <v>0</v>
      </c>
      <c r="AA687" t="str">
        <f t="shared" si="41"/>
        <v>x</v>
      </c>
      <c r="AB687" s="105">
        <f t="shared" si="42"/>
        <v>0</v>
      </c>
      <c r="AC687" s="12" t="str">
        <f>IF(VLOOKUP(A687,Data_NV!$A:$I,7,0)="Không","",IF(OR(AND(Y687=0,Z687=0),AND(Y687&lt;&gt;0,Z687&lt;&gt;0)),"","Quên chấm công"))</f>
        <v/>
      </c>
      <c r="AD687" s="12">
        <f>IF(VLOOKUP(A687,Data_NV!$A:$I,7,0)="Không",0,IF(AND(Y687=0,Z687=0),0,IF(X687&lt;=Z687,0,ROUNDDOWN((X687-Z687)*24*60,0))))</f>
        <v>0</v>
      </c>
      <c r="AE687" s="12">
        <f>IF(VLOOKUP(A687,Data_NV!$A:$I,6,0)="Không",0,IF(Z687&lt;=X687,0,ROUNDDOWN((Z687-X687)*24*60,0)))</f>
        <v>0</v>
      </c>
      <c r="AF687" s="26">
        <f t="shared" si="43"/>
        <v>0</v>
      </c>
      <c r="AG687" s="27" t="str">
        <f>IF(AC687="","",IF(COUNTIFS($AC$3:AC687,"Quên chấm công",$S$3:S687,S687)&gt;3,"Không chấm công do vi phạm quá 3 lần",IF(COUNTIFS($AC$3:AC687,"Quên chấm công",$S$3:S687,S687)&gt;2,"Trừ toàn bộ chuyên cần tháng do vi phạm lần 3",IF(COUNTIFS($AC$3:AC687,"Quên chấm công",$S$3:S687,S687)&gt;1,"Trừ 1/2 ngày lương",50000))))</f>
        <v/>
      </c>
      <c r="AH687" s="12" t="str">
        <f>IF(AF687=0,"",IF(COUNTIFS($AF$3:AF687,"&gt;0",$S$3:S687,S687)&gt;3,"Trừ toàn bộ chuyên cần tháng",""))</f>
        <v/>
      </c>
      <c r="AI687" s="12"/>
    </row>
    <row r="688" spans="1:35" x14ac:dyDescent="0.25">
      <c r="A688" s="4" t="s">
        <v>1006</v>
      </c>
      <c r="B688" s="1" t="s">
        <v>1007</v>
      </c>
      <c r="C688" s="1" t="s">
        <v>20</v>
      </c>
      <c r="D688" s="1" t="s">
        <v>123</v>
      </c>
      <c r="E688" s="1" t="s">
        <v>22</v>
      </c>
      <c r="F688" s="1" t="s">
        <v>23</v>
      </c>
      <c r="G688" s="1" t="s">
        <v>12</v>
      </c>
      <c r="H688" s="1" t="s">
        <v>1027</v>
      </c>
      <c r="I688" s="1" t="s">
        <v>24</v>
      </c>
      <c r="J688" s="1" t="s">
        <v>25</v>
      </c>
      <c r="K688" s="1" t="s">
        <v>25</v>
      </c>
      <c r="L688" s="1" t="s">
        <v>26</v>
      </c>
      <c r="M688" s="1" t="s">
        <v>25</v>
      </c>
      <c r="N688" s="1" t="s">
        <v>25</v>
      </c>
      <c r="O688" s="1" t="s">
        <v>25</v>
      </c>
      <c r="P688" s="1" t="s">
        <v>25</v>
      </c>
      <c r="Q688" s="1" t="s">
        <v>25</v>
      </c>
      <c r="R688" s="85" t="str">
        <f t="shared" si="40"/>
        <v>5945926</v>
      </c>
      <c r="S688" t="str">
        <f>VLOOKUP(A688,Data_NV!$A:$C,3,0)</f>
        <v>Nguyễn Thanh Phương</v>
      </c>
      <c r="T688" t="str">
        <f>VLOOKUP(A688,Data_NV!$A:$E,4,0)</f>
        <v>Vận Hành</v>
      </c>
      <c r="U688" s="82">
        <f>DATEVALUE(Table2[[#This Row],[Ngày]])</f>
        <v>45926</v>
      </c>
      <c r="V688" t="str">
        <f>VLOOKUP(A688,Data_NV!$A:$E,5,0)</f>
        <v>Đang làm việc</v>
      </c>
      <c r="W688" s="10">
        <f>VLOOKUP(A688,Data_NV!$A:$I,8,0)</f>
        <v>0.3125</v>
      </c>
      <c r="X688" s="10">
        <f>VLOOKUP(A688,Data_NV!$A:$I,9,0)</f>
        <v>0.6875</v>
      </c>
      <c r="Y688" s="10">
        <f>IFERROR(TIMEVALUE(Table2[[#This Row],[Vào]]),0)</f>
        <v>0.30790509259259258</v>
      </c>
      <c r="Z688" s="10">
        <f>IFERROR(TIMEVALUE(Table2[[#This Row],[Ra]]),0)</f>
        <v>0</v>
      </c>
      <c r="AA688" t="str">
        <f t="shared" si="41"/>
        <v>x</v>
      </c>
      <c r="AB688" s="105">
        <f t="shared" si="42"/>
        <v>0</v>
      </c>
      <c r="AC688" s="12" t="str">
        <f>IF(VLOOKUP(A688,Data_NV!$A:$I,7,0)="Không","",IF(OR(AND(Y688=0,Z688=0),AND(Y688&lt;&gt;0,Z688&lt;&gt;0)),"","Quên chấm công"))</f>
        <v/>
      </c>
      <c r="AD688" s="12">
        <f>IF(VLOOKUP(A688,Data_NV!$A:$I,7,0)="Không",0,IF(AND(Y688=0,Z688=0),0,IF(X688&lt;=Z688,0,ROUNDDOWN((X688-Z688)*24*60,0))))</f>
        <v>0</v>
      </c>
      <c r="AE688" s="12">
        <f>IF(VLOOKUP(A688,Data_NV!$A:$I,6,0)="Không",0,IF(Z688&lt;=X688,0,ROUNDDOWN((Z688-X688)*24*60,0)))</f>
        <v>0</v>
      </c>
      <c r="AF688" s="26">
        <f t="shared" si="43"/>
        <v>0</v>
      </c>
      <c r="AG688" s="27" t="str">
        <f>IF(AC688="","",IF(COUNTIFS($AC$3:AC688,"Quên chấm công",$S$3:S688,S688)&gt;3,"Không chấm công do vi phạm quá 3 lần",IF(COUNTIFS($AC$3:AC688,"Quên chấm công",$S$3:S688,S688)&gt;2,"Trừ toàn bộ chuyên cần tháng do vi phạm lần 3",IF(COUNTIFS($AC$3:AC688,"Quên chấm công",$S$3:S688,S688)&gt;1,"Trừ 1/2 ngày lương",50000))))</f>
        <v/>
      </c>
      <c r="AH688" s="12" t="str">
        <f>IF(AF688=0,"",IF(COUNTIFS($AF$3:AF688,"&gt;0",$S$3:S688,S688)&gt;3,"Trừ toàn bộ chuyên cần tháng",""))</f>
        <v/>
      </c>
      <c r="AI688" s="12"/>
    </row>
    <row r="689" spans="1:35" x14ac:dyDescent="0.25">
      <c r="A689" s="4" t="s">
        <v>1006</v>
      </c>
      <c r="B689" s="1" t="s">
        <v>1007</v>
      </c>
      <c r="C689" s="1" t="s">
        <v>20</v>
      </c>
      <c r="D689" s="1" t="s">
        <v>125</v>
      </c>
      <c r="E689" s="1" t="s">
        <v>22</v>
      </c>
      <c r="F689" s="1" t="s">
        <v>23</v>
      </c>
      <c r="G689" s="1" t="s">
        <v>12</v>
      </c>
      <c r="H689" s="1" t="s">
        <v>1028</v>
      </c>
      <c r="I689" s="1" t="s">
        <v>24</v>
      </c>
      <c r="J689" s="1" t="s">
        <v>25</v>
      </c>
      <c r="K689" s="1" t="s">
        <v>25</v>
      </c>
      <c r="L689" s="1" t="s">
        <v>26</v>
      </c>
      <c r="M689" s="1" t="s">
        <v>25</v>
      </c>
      <c r="N689" s="1" t="s">
        <v>25</v>
      </c>
      <c r="O689" s="1" t="s">
        <v>25</v>
      </c>
      <c r="P689" s="1" t="s">
        <v>25</v>
      </c>
      <c r="Q689" s="1" t="s">
        <v>25</v>
      </c>
      <c r="R689" s="85" t="str">
        <f t="shared" si="40"/>
        <v>5945927</v>
      </c>
      <c r="S689" t="str">
        <f>VLOOKUP(A689,Data_NV!$A:$C,3,0)</f>
        <v>Nguyễn Thanh Phương</v>
      </c>
      <c r="T689" t="str">
        <f>VLOOKUP(A689,Data_NV!$A:$E,4,0)</f>
        <v>Vận Hành</v>
      </c>
      <c r="U689" s="82">
        <f>DATEVALUE(Table2[[#This Row],[Ngày]])</f>
        <v>45927</v>
      </c>
      <c r="V689" t="str">
        <f>VLOOKUP(A689,Data_NV!$A:$E,5,0)</f>
        <v>Đang làm việc</v>
      </c>
      <c r="W689" s="10">
        <f>VLOOKUP(A689,Data_NV!$A:$I,8,0)</f>
        <v>0.3125</v>
      </c>
      <c r="X689" s="10">
        <f>VLOOKUP(A689,Data_NV!$A:$I,9,0)</f>
        <v>0.6875</v>
      </c>
      <c r="Y689" s="10">
        <f>IFERROR(TIMEVALUE(Table2[[#This Row],[Vào]]),0)</f>
        <v>0.30387731481481484</v>
      </c>
      <c r="Z689" s="10">
        <f>IFERROR(TIMEVALUE(Table2[[#This Row],[Ra]]),0)</f>
        <v>0</v>
      </c>
      <c r="AA689" t="str">
        <f t="shared" si="41"/>
        <v>x</v>
      </c>
      <c r="AB689" s="105">
        <f t="shared" si="42"/>
        <v>0</v>
      </c>
      <c r="AC689" s="12" t="str">
        <f>IF(VLOOKUP(A689,Data_NV!$A:$I,7,0)="Không","",IF(OR(AND(Y689=0,Z689=0),AND(Y689&lt;&gt;0,Z689&lt;&gt;0)),"","Quên chấm công"))</f>
        <v/>
      </c>
      <c r="AD689" s="12">
        <f>IF(VLOOKUP(A689,Data_NV!$A:$I,7,0)="Không",0,IF(AND(Y689=0,Z689=0),0,IF(X689&lt;=Z689,0,ROUNDDOWN((X689-Z689)*24*60,0))))</f>
        <v>0</v>
      </c>
      <c r="AE689" s="12">
        <f>IF(VLOOKUP(A689,Data_NV!$A:$I,6,0)="Không",0,IF(Z689&lt;=X689,0,ROUNDDOWN((Z689-X689)*24*60,0)))</f>
        <v>0</v>
      </c>
      <c r="AF689" s="26">
        <f t="shared" si="43"/>
        <v>0</v>
      </c>
      <c r="AG689" s="27" t="str">
        <f>IF(AC689="","",IF(COUNTIFS($AC$3:AC689,"Quên chấm công",$S$3:S689,S689)&gt;3,"Không chấm công do vi phạm quá 3 lần",IF(COUNTIFS($AC$3:AC689,"Quên chấm công",$S$3:S689,S689)&gt;2,"Trừ toàn bộ chuyên cần tháng do vi phạm lần 3",IF(COUNTIFS($AC$3:AC689,"Quên chấm công",$S$3:S689,S689)&gt;1,"Trừ 1/2 ngày lương",50000))))</f>
        <v/>
      </c>
      <c r="AH689" s="12" t="str">
        <f>IF(AF689=0,"",IF(COUNTIFS($AF$3:AF689,"&gt;0",$S$3:S689,S689)&gt;3,"Trừ toàn bộ chuyên cần tháng",""))</f>
        <v/>
      </c>
      <c r="AI689" s="12"/>
    </row>
    <row r="690" spans="1:35" x14ac:dyDescent="0.25">
      <c r="A690" s="4" t="s">
        <v>1006</v>
      </c>
      <c r="B690" s="1" t="s">
        <v>1007</v>
      </c>
      <c r="C690" s="1" t="s">
        <v>20</v>
      </c>
      <c r="D690" s="1" t="s">
        <v>130</v>
      </c>
      <c r="E690" s="1" t="s">
        <v>22</v>
      </c>
      <c r="F690" s="1" t="s">
        <v>23</v>
      </c>
      <c r="G690" s="1" t="s">
        <v>12</v>
      </c>
      <c r="H690" s="1" t="s">
        <v>24</v>
      </c>
      <c r="I690" s="1" t="s">
        <v>24</v>
      </c>
      <c r="J690" s="1" t="s">
        <v>25</v>
      </c>
      <c r="K690" s="1" t="s">
        <v>25</v>
      </c>
      <c r="L690" s="1" t="s">
        <v>26</v>
      </c>
      <c r="M690" s="1" t="s">
        <v>25</v>
      </c>
      <c r="N690" s="1" t="s">
        <v>25</v>
      </c>
      <c r="O690" s="1" t="s">
        <v>25</v>
      </c>
      <c r="P690" s="1" t="s">
        <v>25</v>
      </c>
      <c r="Q690" s="1" t="s">
        <v>25</v>
      </c>
      <c r="R690" s="85" t="str">
        <f t="shared" si="40"/>
        <v>5945928</v>
      </c>
      <c r="S690" t="str">
        <f>VLOOKUP(A690,Data_NV!$A:$C,3,0)</f>
        <v>Nguyễn Thanh Phương</v>
      </c>
      <c r="T690" t="str">
        <f>VLOOKUP(A690,Data_NV!$A:$E,4,0)</f>
        <v>Vận Hành</v>
      </c>
      <c r="U690" s="82">
        <f>DATEVALUE(Table2[[#This Row],[Ngày]])</f>
        <v>45928</v>
      </c>
      <c r="V690" t="str">
        <f>VLOOKUP(A690,Data_NV!$A:$E,5,0)</f>
        <v>Đang làm việc</v>
      </c>
      <c r="W690" s="10">
        <f>VLOOKUP(A690,Data_NV!$A:$I,8,0)</f>
        <v>0.3125</v>
      </c>
      <c r="X690" s="10">
        <f>VLOOKUP(A690,Data_NV!$A:$I,9,0)</f>
        <v>0.6875</v>
      </c>
      <c r="Y690" s="10">
        <f>IFERROR(TIMEVALUE(Table2[[#This Row],[Vào]]),0)</f>
        <v>0</v>
      </c>
      <c r="Z690" s="10">
        <f>IFERROR(TIMEVALUE(Table2[[#This Row],[Ra]]),0)</f>
        <v>0</v>
      </c>
      <c r="AA690" t="str">
        <f t="shared" si="41"/>
        <v>Chủ nhật</v>
      </c>
      <c r="AB690" s="105">
        <f t="shared" si="42"/>
        <v>0</v>
      </c>
      <c r="AC690" s="12" t="str">
        <f>IF(VLOOKUP(A690,Data_NV!$A:$I,7,0)="Không","",IF(OR(AND(Y690=0,Z690=0),AND(Y690&lt;&gt;0,Z690&lt;&gt;0)),"","Quên chấm công"))</f>
        <v/>
      </c>
      <c r="AD690" s="12">
        <f>IF(VLOOKUP(A690,Data_NV!$A:$I,7,0)="Không",0,IF(AND(Y690=0,Z690=0),0,IF(X690&lt;=Z690,0,ROUNDDOWN((X690-Z690)*24*60,0))))</f>
        <v>0</v>
      </c>
      <c r="AE690" s="12">
        <f>IF(VLOOKUP(A690,Data_NV!$A:$I,6,0)="Không",0,IF(Z690&lt;=X690,0,ROUNDDOWN((Z690-X690)*24*60,0)))</f>
        <v>0</v>
      </c>
      <c r="AF690" s="26">
        <f t="shared" si="43"/>
        <v>0</v>
      </c>
      <c r="AG690" s="27" t="str">
        <f>IF(AC690="","",IF(COUNTIFS($AC$3:AC690,"Quên chấm công",$S$3:S690,S690)&gt;3,"Không chấm công do vi phạm quá 3 lần",IF(COUNTIFS($AC$3:AC690,"Quên chấm công",$S$3:S690,S690)&gt;2,"Trừ toàn bộ chuyên cần tháng do vi phạm lần 3",IF(COUNTIFS($AC$3:AC690,"Quên chấm công",$S$3:S690,S690)&gt;1,"Trừ 1/2 ngày lương",50000))))</f>
        <v/>
      </c>
      <c r="AH690" s="12" t="str">
        <f>IF(AF690=0,"",IF(COUNTIFS($AF$3:AF690,"&gt;0",$S$3:S690,S690)&gt;3,"Trừ toàn bộ chuyên cần tháng",""))</f>
        <v/>
      </c>
      <c r="AI690" s="12"/>
    </row>
    <row r="691" spans="1:35" x14ac:dyDescent="0.25">
      <c r="A691" s="4" t="s">
        <v>1006</v>
      </c>
      <c r="B691" s="1" t="s">
        <v>1007</v>
      </c>
      <c r="C691" s="1" t="s">
        <v>20</v>
      </c>
      <c r="D691" s="1" t="s">
        <v>131</v>
      </c>
      <c r="E691" s="1" t="s">
        <v>22</v>
      </c>
      <c r="F691" s="1" t="s">
        <v>23</v>
      </c>
      <c r="G691" s="1" t="s">
        <v>12</v>
      </c>
      <c r="H691" s="1" t="s">
        <v>1029</v>
      </c>
      <c r="I691" s="1" t="s">
        <v>24</v>
      </c>
      <c r="J691" s="1" t="s">
        <v>25</v>
      </c>
      <c r="K691" s="1" t="s">
        <v>25</v>
      </c>
      <c r="L691" s="1" t="s">
        <v>26</v>
      </c>
      <c r="M691" s="1" t="s">
        <v>25</v>
      </c>
      <c r="N691" s="1" t="s">
        <v>25</v>
      </c>
      <c r="O691" s="1" t="s">
        <v>25</v>
      </c>
      <c r="P691" s="1" t="s">
        <v>25</v>
      </c>
      <c r="Q691" s="1" t="s">
        <v>25</v>
      </c>
      <c r="R691" s="85" t="str">
        <f t="shared" si="40"/>
        <v>5945929</v>
      </c>
      <c r="S691" t="str">
        <f>VLOOKUP(A691,Data_NV!$A:$C,3,0)</f>
        <v>Nguyễn Thanh Phương</v>
      </c>
      <c r="T691" t="str">
        <f>VLOOKUP(A691,Data_NV!$A:$E,4,0)</f>
        <v>Vận Hành</v>
      </c>
      <c r="U691" s="82">
        <f>DATEVALUE(Table2[[#This Row],[Ngày]])</f>
        <v>45929</v>
      </c>
      <c r="V691" t="str">
        <f>VLOOKUP(A691,Data_NV!$A:$E,5,0)</f>
        <v>Đang làm việc</v>
      </c>
      <c r="W691" s="10">
        <f>VLOOKUP(A691,Data_NV!$A:$I,8,0)</f>
        <v>0.3125</v>
      </c>
      <c r="X691" s="10">
        <f>VLOOKUP(A691,Data_NV!$A:$I,9,0)</f>
        <v>0.6875</v>
      </c>
      <c r="Y691" s="10">
        <f>IFERROR(TIMEVALUE(Table2[[#This Row],[Vào]]),0)</f>
        <v>0.29792824074074076</v>
      </c>
      <c r="Z691" s="10">
        <f>IFERROR(TIMEVALUE(Table2[[#This Row],[Ra]]),0)</f>
        <v>0</v>
      </c>
      <c r="AA691" t="str">
        <f t="shared" si="41"/>
        <v>x</v>
      </c>
      <c r="AB691" s="105">
        <f t="shared" si="42"/>
        <v>0</v>
      </c>
      <c r="AC691" s="12" t="str">
        <f>IF(VLOOKUP(A691,Data_NV!$A:$I,7,0)="Không","",IF(OR(AND(Y691=0,Z691=0),AND(Y691&lt;&gt;0,Z691&lt;&gt;0)),"","Quên chấm công"))</f>
        <v/>
      </c>
      <c r="AD691" s="12">
        <f>IF(VLOOKUP(A691,Data_NV!$A:$I,7,0)="Không",0,IF(AND(Y691=0,Z691=0),0,IF(X691&lt;=Z691,0,ROUNDDOWN((X691-Z691)*24*60,0))))</f>
        <v>0</v>
      </c>
      <c r="AE691" s="12">
        <f>IF(VLOOKUP(A691,Data_NV!$A:$I,6,0)="Không",0,IF(Z691&lt;=X691,0,ROUNDDOWN((Z691-X691)*24*60,0)))</f>
        <v>0</v>
      </c>
      <c r="AF691" s="26">
        <f t="shared" si="43"/>
        <v>0</v>
      </c>
      <c r="AG691" s="27" t="str">
        <f>IF(AC691="","",IF(COUNTIFS($AC$3:AC691,"Quên chấm công",$S$3:S691,S691)&gt;3,"Không chấm công do vi phạm quá 3 lần",IF(COUNTIFS($AC$3:AC691,"Quên chấm công",$S$3:S691,S691)&gt;2,"Trừ toàn bộ chuyên cần tháng do vi phạm lần 3",IF(COUNTIFS($AC$3:AC691,"Quên chấm công",$S$3:S691,S691)&gt;1,"Trừ 1/2 ngày lương",50000))))</f>
        <v/>
      </c>
      <c r="AH691" s="12" t="str">
        <f>IF(AF691=0,"",IF(COUNTIFS($AF$3:AF691,"&gt;0",$S$3:S691,S691)&gt;3,"Trừ toàn bộ chuyên cần tháng",""))</f>
        <v/>
      </c>
      <c r="AI691" s="12"/>
    </row>
    <row r="692" spans="1:35" x14ac:dyDescent="0.25">
      <c r="A692" s="4" t="s">
        <v>1006</v>
      </c>
      <c r="B692" s="1" t="s">
        <v>1007</v>
      </c>
      <c r="C692" s="1" t="s">
        <v>20</v>
      </c>
      <c r="D692" s="1" t="s">
        <v>136</v>
      </c>
      <c r="E692" s="1" t="s">
        <v>22</v>
      </c>
      <c r="F692" s="1" t="s">
        <v>23</v>
      </c>
      <c r="G692" s="1" t="s">
        <v>12</v>
      </c>
      <c r="H692" s="1" t="s">
        <v>1030</v>
      </c>
      <c r="I692" s="1" t="s">
        <v>24</v>
      </c>
      <c r="J692" s="1" t="s">
        <v>25</v>
      </c>
      <c r="K692" s="1" t="s">
        <v>25</v>
      </c>
      <c r="L692" s="1" t="s">
        <v>26</v>
      </c>
      <c r="M692" s="1" t="s">
        <v>25</v>
      </c>
      <c r="N692" s="1" t="s">
        <v>25</v>
      </c>
      <c r="O692" s="1" t="s">
        <v>25</v>
      </c>
      <c r="P692" s="1" t="s">
        <v>25</v>
      </c>
      <c r="Q692" s="1" t="s">
        <v>25</v>
      </c>
      <c r="R692" s="85" t="str">
        <f t="shared" si="40"/>
        <v>5945930</v>
      </c>
      <c r="S692" t="str">
        <f>VLOOKUP(A692,Data_NV!$A:$C,3,0)</f>
        <v>Nguyễn Thanh Phương</v>
      </c>
      <c r="T692" t="str">
        <f>VLOOKUP(A692,Data_NV!$A:$E,4,0)</f>
        <v>Vận Hành</v>
      </c>
      <c r="U692" s="82">
        <f>DATEVALUE(Table2[[#This Row],[Ngày]])</f>
        <v>45930</v>
      </c>
      <c r="V692" t="str">
        <f>VLOOKUP(A692,Data_NV!$A:$E,5,0)</f>
        <v>Đang làm việc</v>
      </c>
      <c r="W692" s="10">
        <f>VLOOKUP(A692,Data_NV!$A:$I,8,0)</f>
        <v>0.3125</v>
      </c>
      <c r="X692" s="10">
        <f>VLOOKUP(A692,Data_NV!$A:$I,9,0)</f>
        <v>0.6875</v>
      </c>
      <c r="Y692" s="10">
        <f>IFERROR(TIMEVALUE(Table2[[#This Row],[Vào]]),0)</f>
        <v>0.3036921296296296</v>
      </c>
      <c r="Z692" s="10">
        <f>IFERROR(TIMEVALUE(Table2[[#This Row],[Ra]]),0)</f>
        <v>0</v>
      </c>
      <c r="AA692" t="str">
        <f t="shared" si="41"/>
        <v>x</v>
      </c>
      <c r="AB692" s="105">
        <f t="shared" si="42"/>
        <v>0</v>
      </c>
      <c r="AC692" s="12" t="str">
        <f>IF(VLOOKUP(A692,Data_NV!$A:$I,7,0)="Không","",IF(OR(AND(Y692=0,Z692=0),AND(Y692&lt;&gt;0,Z692&lt;&gt;0)),"","Quên chấm công"))</f>
        <v/>
      </c>
      <c r="AD692" s="12">
        <f>IF(VLOOKUP(A692,Data_NV!$A:$I,7,0)="Không",0,IF(AND(Y692=0,Z692=0),0,IF(X692&lt;=Z692,0,ROUNDDOWN((X692-Z692)*24*60,0))))</f>
        <v>0</v>
      </c>
      <c r="AE692" s="12">
        <f>IF(VLOOKUP(A692,Data_NV!$A:$I,6,0)="Không",0,IF(Z692&lt;=X692,0,ROUNDDOWN((Z692-X692)*24*60,0)))</f>
        <v>0</v>
      </c>
      <c r="AF692" s="26">
        <f t="shared" si="43"/>
        <v>0</v>
      </c>
      <c r="AG692" s="27" t="str">
        <f>IF(AC692="","",IF(COUNTIFS($AC$3:AC692,"Quên chấm công",$S$3:S692,S692)&gt;3,"Không chấm công do vi phạm quá 3 lần",IF(COUNTIFS($AC$3:AC692,"Quên chấm công",$S$3:S692,S692)&gt;2,"Trừ toàn bộ chuyên cần tháng do vi phạm lần 3",IF(COUNTIFS($AC$3:AC692,"Quên chấm công",$S$3:S692,S692)&gt;1,"Trừ 1/2 ngày lương",50000))))</f>
        <v/>
      </c>
      <c r="AH692" s="12" t="str">
        <f>IF(AF692=0,"",IF(COUNTIFS($AF$3:AF692,"&gt;0",$S$3:S692,S692)&gt;3,"Trừ toàn bộ chuyên cần tháng",""))</f>
        <v/>
      </c>
      <c r="AI692" s="12"/>
    </row>
    <row r="693" spans="1:35" x14ac:dyDescent="0.25">
      <c r="A693" s="4" t="s">
        <v>1036</v>
      </c>
      <c r="B693" s="1" t="s">
        <v>1037</v>
      </c>
      <c r="C693" s="1" t="s">
        <v>20</v>
      </c>
      <c r="D693" s="1" t="s">
        <v>21</v>
      </c>
      <c r="E693" s="1" t="s">
        <v>22</v>
      </c>
      <c r="F693" s="1" t="s">
        <v>23</v>
      </c>
      <c r="G693" s="1" t="s">
        <v>12</v>
      </c>
      <c r="H693" s="1" t="s">
        <v>24</v>
      </c>
      <c r="I693" s="1" t="s">
        <v>24</v>
      </c>
      <c r="J693" s="1" t="s">
        <v>25</v>
      </c>
      <c r="K693" s="1" t="s">
        <v>25</v>
      </c>
      <c r="L693" s="1" t="s">
        <v>26</v>
      </c>
      <c r="M693" s="1" t="s">
        <v>25</v>
      </c>
      <c r="N693" s="1" t="s">
        <v>25</v>
      </c>
      <c r="O693" s="1" t="s">
        <v>25</v>
      </c>
      <c r="P693" s="1" t="s">
        <v>25</v>
      </c>
      <c r="Q693" s="1" t="s">
        <v>25</v>
      </c>
      <c r="R693" s="85" t="str">
        <f t="shared" si="40"/>
        <v>6245901</v>
      </c>
      <c r="S693" t="str">
        <f>VLOOKUP(A693,Data_NV!$A:$C,3,0)</f>
        <v>Nguyễn Thị Út Hương</v>
      </c>
      <c r="T693" t="str">
        <f>VLOOKUP(A693,Data_NV!$A:$E,4,0)</f>
        <v>Kế toán - Văn phòng</v>
      </c>
      <c r="U693" s="82">
        <f>DATEVALUE(Table2[[#This Row],[Ngày]])</f>
        <v>45901</v>
      </c>
      <c r="V693" t="str">
        <f>VLOOKUP(A693,Data_NV!$A:$E,5,0)</f>
        <v>Đang làm việc</v>
      </c>
      <c r="W693" s="10">
        <f>VLOOKUP(A693,Data_NV!$A:$I,8,0)</f>
        <v>0.33333333333333331</v>
      </c>
      <c r="X693" s="10">
        <f>VLOOKUP(A693,Data_NV!$A:$I,9,0)</f>
        <v>0.70833333333333337</v>
      </c>
      <c r="Y693" s="10">
        <f>IFERROR(TIMEVALUE(Table2[[#This Row],[Vào]]),0)</f>
        <v>0</v>
      </c>
      <c r="Z693" s="10">
        <f>IFERROR(TIMEVALUE(Table2[[#This Row],[Ra]]),0)</f>
        <v>0</v>
      </c>
      <c r="AA693" s="97" t="s">
        <v>1349</v>
      </c>
      <c r="AB693" s="105">
        <f t="shared" si="42"/>
        <v>0</v>
      </c>
      <c r="AC693" s="12" t="str">
        <f>IF(VLOOKUP(A693,Data_NV!$A:$I,7,0)="Không","",IF(OR(AND(Y693=0,Z693=0),AND(Y693&lt;&gt;0,Z693&lt;&gt;0)),"","Quên chấm công"))</f>
        <v/>
      </c>
      <c r="AD693" s="12">
        <f>IF(VLOOKUP(A693,Data_NV!$A:$I,7,0)="Không",0,IF(AND(Y693=0,Z693=0),0,IF(X693&lt;=Z693,0,ROUNDDOWN((X693-Z693)*24*60,0))))</f>
        <v>0</v>
      </c>
      <c r="AE693" s="12">
        <f>IF(VLOOKUP(A693,Data_NV!$A:$I,6,0)="Không",0,IF(Z693&lt;=X693,0,ROUNDDOWN((Z693-X693)*24*60,0)))</f>
        <v>0</v>
      </c>
      <c r="AF693" s="26">
        <f t="shared" si="43"/>
        <v>0</v>
      </c>
      <c r="AG693" s="27" t="str">
        <f>IF(AC693="","",IF(COUNTIFS($AC$3:AC693,"Quên chấm công",$S$3:S693,S693)&gt;3,"Không chấm công do vi phạm quá 3 lần",IF(COUNTIFS($AC$3:AC693,"Quên chấm công",$S$3:S693,S693)&gt;2,"Trừ toàn bộ chuyên cần tháng do vi phạm lần 3",IF(COUNTIFS($AC$3:AC693,"Quên chấm công",$S$3:S693,S693)&gt;1,"Trừ 1/2 ngày lương",50000))))</f>
        <v/>
      </c>
      <c r="AH693" s="12" t="str">
        <f>IF(AF693=0,"",IF(COUNTIFS($AF$3:AF693,"&gt;0",$S$3:S693,S693)&gt;3,"Trừ toàn bộ chuyên cần tháng",""))</f>
        <v/>
      </c>
      <c r="AI693" s="98" t="s">
        <v>1369</v>
      </c>
    </row>
    <row r="694" spans="1:35" x14ac:dyDescent="0.25">
      <c r="A694" s="4" t="s">
        <v>1036</v>
      </c>
      <c r="B694" s="1" t="s">
        <v>1037</v>
      </c>
      <c r="C694" s="1" t="s">
        <v>20</v>
      </c>
      <c r="D694" s="1" t="s">
        <v>27</v>
      </c>
      <c r="E694" s="1" t="s">
        <v>22</v>
      </c>
      <c r="F694" s="1" t="s">
        <v>23</v>
      </c>
      <c r="G694" s="1" t="s">
        <v>12</v>
      </c>
      <c r="H694" s="1" t="s">
        <v>24</v>
      </c>
      <c r="I694" s="1" t="s">
        <v>24</v>
      </c>
      <c r="J694" s="1" t="s">
        <v>25</v>
      </c>
      <c r="K694" s="1" t="s">
        <v>25</v>
      </c>
      <c r="L694" s="1" t="s">
        <v>26</v>
      </c>
      <c r="M694" s="1" t="s">
        <v>25</v>
      </c>
      <c r="N694" s="1" t="s">
        <v>25</v>
      </c>
      <c r="O694" s="1" t="s">
        <v>25</v>
      </c>
      <c r="P694" s="1" t="s">
        <v>25</v>
      </c>
      <c r="Q694" s="1" t="s">
        <v>25</v>
      </c>
      <c r="R694" s="85" t="str">
        <f t="shared" si="40"/>
        <v>6245902</v>
      </c>
      <c r="S694" t="str">
        <f>VLOOKUP(A694,Data_NV!$A:$C,3,0)</f>
        <v>Nguyễn Thị Út Hương</v>
      </c>
      <c r="T694" t="str">
        <f>VLOOKUP(A694,Data_NV!$A:$E,4,0)</f>
        <v>Kế toán - Văn phòng</v>
      </c>
      <c r="U694" s="82">
        <f>DATEVALUE(Table2[[#This Row],[Ngày]])</f>
        <v>45902</v>
      </c>
      <c r="V694" t="str">
        <f>VLOOKUP(A694,Data_NV!$A:$E,5,0)</f>
        <v>Đang làm việc</v>
      </c>
      <c r="W694" s="10">
        <f>VLOOKUP(A694,Data_NV!$A:$I,8,0)</f>
        <v>0.33333333333333331</v>
      </c>
      <c r="X694" s="10">
        <f>VLOOKUP(A694,Data_NV!$A:$I,9,0)</f>
        <v>0.70833333333333337</v>
      </c>
      <c r="Y694" s="10">
        <f>IFERROR(TIMEVALUE(Table2[[#This Row],[Vào]]),0)</f>
        <v>0</v>
      </c>
      <c r="Z694" s="10">
        <f>IFERROR(TIMEVALUE(Table2[[#This Row],[Ra]]),0)</f>
        <v>0</v>
      </c>
      <c r="AA694" s="97" t="s">
        <v>1349</v>
      </c>
      <c r="AB694" s="105">
        <f t="shared" si="42"/>
        <v>0</v>
      </c>
      <c r="AC694" s="12" t="str">
        <f>IF(VLOOKUP(A694,Data_NV!$A:$I,7,0)="Không","",IF(OR(AND(Y694=0,Z694=0),AND(Y694&lt;&gt;0,Z694&lt;&gt;0)),"","Quên chấm công"))</f>
        <v/>
      </c>
      <c r="AD694" s="12">
        <f>IF(VLOOKUP(A694,Data_NV!$A:$I,7,0)="Không",0,IF(AND(Y694=0,Z694=0),0,IF(X694&lt;=Z694,0,ROUNDDOWN((X694-Z694)*24*60,0))))</f>
        <v>0</v>
      </c>
      <c r="AE694" s="12">
        <f>IF(VLOOKUP(A694,Data_NV!$A:$I,6,0)="Không",0,IF(Z694&lt;=X694,0,ROUNDDOWN((Z694-X694)*24*60,0)))</f>
        <v>0</v>
      </c>
      <c r="AF694" s="26">
        <f t="shared" si="43"/>
        <v>0</v>
      </c>
      <c r="AG694" s="27" t="str">
        <f>IF(AC694="","",IF(COUNTIFS($AC$3:AC694,"Quên chấm công",$S$3:S694,S694)&gt;3,"Không chấm công do vi phạm quá 3 lần",IF(COUNTIFS($AC$3:AC694,"Quên chấm công",$S$3:S694,S694)&gt;2,"Trừ toàn bộ chuyên cần tháng do vi phạm lần 3",IF(COUNTIFS($AC$3:AC694,"Quên chấm công",$S$3:S694,S694)&gt;1,"Trừ 1/2 ngày lương",50000))))</f>
        <v/>
      </c>
      <c r="AH694" s="12" t="str">
        <f>IF(AF694=0,"",IF(COUNTIFS($AF$3:AF694,"&gt;0",$S$3:S694,S694)&gt;3,"Trừ toàn bộ chuyên cần tháng",""))</f>
        <v/>
      </c>
      <c r="AI694" s="98" t="s">
        <v>1369</v>
      </c>
    </row>
    <row r="695" spans="1:35" x14ac:dyDescent="0.25">
      <c r="A695" s="4" t="s">
        <v>1036</v>
      </c>
      <c r="B695" s="1" t="s">
        <v>1037</v>
      </c>
      <c r="C695" s="1" t="s">
        <v>20</v>
      </c>
      <c r="D695" s="1" t="s">
        <v>28</v>
      </c>
      <c r="E695" s="1" t="s">
        <v>22</v>
      </c>
      <c r="F695" s="1" t="s">
        <v>23</v>
      </c>
      <c r="G695" s="1" t="s">
        <v>12</v>
      </c>
      <c r="H695" s="1" t="s">
        <v>24</v>
      </c>
      <c r="I695" s="1" t="s">
        <v>24</v>
      </c>
      <c r="J695" s="1" t="s">
        <v>25</v>
      </c>
      <c r="K695" s="1" t="s">
        <v>25</v>
      </c>
      <c r="L695" s="1" t="s">
        <v>26</v>
      </c>
      <c r="M695" s="1" t="s">
        <v>25</v>
      </c>
      <c r="N695" s="1" t="s">
        <v>25</v>
      </c>
      <c r="O695" s="1" t="s">
        <v>25</v>
      </c>
      <c r="P695" s="1" t="s">
        <v>25</v>
      </c>
      <c r="Q695" s="1" t="s">
        <v>25</v>
      </c>
      <c r="R695" s="85" t="str">
        <f t="shared" si="40"/>
        <v>6245903</v>
      </c>
      <c r="S695" t="str">
        <f>VLOOKUP(A695,Data_NV!$A:$C,3,0)</f>
        <v>Nguyễn Thị Út Hương</v>
      </c>
      <c r="T695" t="str">
        <f>VLOOKUP(A695,Data_NV!$A:$E,4,0)</f>
        <v>Kế toán - Văn phòng</v>
      </c>
      <c r="U695" s="82">
        <f>DATEVALUE(Table2[[#This Row],[Ngày]])</f>
        <v>45903</v>
      </c>
      <c r="V695" t="str">
        <f>VLOOKUP(A695,Data_NV!$A:$E,5,0)</f>
        <v>Đang làm việc</v>
      </c>
      <c r="W695" s="10">
        <f>VLOOKUP(A695,Data_NV!$A:$I,8,0)</f>
        <v>0.33333333333333331</v>
      </c>
      <c r="X695" s="10">
        <f>VLOOKUP(A695,Data_NV!$A:$I,9,0)</f>
        <v>0.70833333333333337</v>
      </c>
      <c r="Y695" s="10">
        <f>IFERROR(TIMEVALUE(Table2[[#This Row],[Vào]]),0)</f>
        <v>0</v>
      </c>
      <c r="Z695" s="10">
        <f>IFERROR(TIMEVALUE(Table2[[#This Row],[Ra]]),0)</f>
        <v>0</v>
      </c>
      <c r="AA695" t="str">
        <f t="shared" si="41"/>
        <v/>
      </c>
      <c r="AB695" s="105">
        <f t="shared" si="42"/>
        <v>0</v>
      </c>
      <c r="AC695" s="12" t="str">
        <f>IF(VLOOKUP(A695,Data_NV!$A:$I,7,0)="Không","",IF(OR(AND(Y695=0,Z695=0),AND(Y695&lt;&gt;0,Z695&lt;&gt;0)),"","Quên chấm công"))</f>
        <v/>
      </c>
      <c r="AD695" s="12">
        <f>IF(VLOOKUP(A695,Data_NV!$A:$I,7,0)="Không",0,IF(AND(Y695=0,Z695=0),0,IF(X695&lt;=Z695,0,ROUNDDOWN((X695-Z695)*24*60,0))))</f>
        <v>0</v>
      </c>
      <c r="AE695" s="12">
        <f>IF(VLOOKUP(A695,Data_NV!$A:$I,6,0)="Không",0,IF(Z695&lt;=X695,0,ROUNDDOWN((Z695-X695)*24*60,0)))</f>
        <v>0</v>
      </c>
      <c r="AF695" s="26">
        <f t="shared" si="43"/>
        <v>0</v>
      </c>
      <c r="AG695" s="27" t="str">
        <f>IF(AC695="","",IF(COUNTIFS($AC$3:AC695,"Quên chấm công",$S$3:S695,S695)&gt;3,"Không chấm công do vi phạm quá 3 lần",IF(COUNTIFS($AC$3:AC695,"Quên chấm công",$S$3:S695,S695)&gt;2,"Trừ toàn bộ chuyên cần tháng do vi phạm lần 3",IF(COUNTIFS($AC$3:AC695,"Quên chấm công",$S$3:S695,S695)&gt;1,"Trừ 1/2 ngày lương",50000))))</f>
        <v/>
      </c>
      <c r="AH695" s="12" t="str">
        <f>IF(AF695=0,"",IF(COUNTIFS($AF$3:AF695,"&gt;0",$S$3:S695,S695)&gt;3,"Trừ toàn bộ chuyên cần tháng",""))</f>
        <v/>
      </c>
      <c r="AI695" s="12" t="s">
        <v>1410</v>
      </c>
    </row>
    <row r="696" spans="1:35" x14ac:dyDescent="0.25">
      <c r="A696" s="4" t="s">
        <v>1036</v>
      </c>
      <c r="B696" s="1" t="s">
        <v>1037</v>
      </c>
      <c r="C696" s="1" t="s">
        <v>20</v>
      </c>
      <c r="D696" s="1" t="s">
        <v>35</v>
      </c>
      <c r="E696" s="1" t="s">
        <v>22</v>
      </c>
      <c r="F696" s="1" t="s">
        <v>23</v>
      </c>
      <c r="G696" s="1" t="s">
        <v>10</v>
      </c>
      <c r="H696" s="1" t="s">
        <v>1038</v>
      </c>
      <c r="I696" s="1" t="s">
        <v>1039</v>
      </c>
      <c r="J696" s="1" t="s">
        <v>634</v>
      </c>
      <c r="K696" s="1" t="s">
        <v>624</v>
      </c>
      <c r="L696" s="1" t="s">
        <v>314</v>
      </c>
      <c r="M696" s="1" t="s">
        <v>624</v>
      </c>
      <c r="N696" s="1" t="s">
        <v>25</v>
      </c>
      <c r="O696" s="1" t="s">
        <v>881</v>
      </c>
      <c r="P696" s="1" t="s">
        <v>25</v>
      </c>
      <c r="Q696" s="1" t="s">
        <v>25</v>
      </c>
      <c r="R696" s="85" t="str">
        <f t="shared" si="40"/>
        <v>6245904</v>
      </c>
      <c r="S696" t="str">
        <f>VLOOKUP(A696,Data_NV!$A:$C,3,0)</f>
        <v>Nguyễn Thị Út Hương</v>
      </c>
      <c r="T696" t="str">
        <f>VLOOKUP(A696,Data_NV!$A:$E,4,0)</f>
        <v>Kế toán - Văn phòng</v>
      </c>
      <c r="U696" s="82">
        <f>DATEVALUE(Table2[[#This Row],[Ngày]])</f>
        <v>45904</v>
      </c>
      <c r="V696" t="str">
        <f>VLOOKUP(A696,Data_NV!$A:$E,5,0)</f>
        <v>Đang làm việc</v>
      </c>
      <c r="W696" s="10">
        <f>VLOOKUP(A696,Data_NV!$A:$I,8,0)</f>
        <v>0.33333333333333331</v>
      </c>
      <c r="X696" s="10">
        <f>VLOOKUP(A696,Data_NV!$A:$I,9,0)</f>
        <v>0.70833333333333337</v>
      </c>
      <c r="Y696" s="10">
        <f>IFERROR(TIMEVALUE(Table2[[#This Row],[Vào]]),0)</f>
        <v>0.34734953703703703</v>
      </c>
      <c r="Z696" s="10">
        <f>IFERROR(TIMEVALUE(Table2[[#This Row],[Ra]]),0)</f>
        <v>0.72075231481481483</v>
      </c>
      <c r="AA696" t="str">
        <f t="shared" si="41"/>
        <v>x</v>
      </c>
      <c r="AB696" s="105">
        <f t="shared" si="42"/>
        <v>20.183333333333344</v>
      </c>
      <c r="AC696" s="12" t="str">
        <f>IF(VLOOKUP(A696,Data_NV!$A:$I,7,0)="Không","",IF(OR(AND(Y696=0,Z696=0),AND(Y696&lt;&gt;0,Z696&lt;&gt;0)),"","Quên chấm công"))</f>
        <v/>
      </c>
      <c r="AD696" s="12">
        <f>IF(VLOOKUP(A696,Data_NV!$A:$I,7,0)="Không",0,IF(AND(Y696=0,Z696=0),0,IF(X696&lt;=Z696,0,ROUNDDOWN((X696-Z696)*24*60,0))))</f>
        <v>0</v>
      </c>
      <c r="AE696" s="12">
        <f>IF(VLOOKUP(A696,Data_NV!$A:$I,6,0)="Không",0,IF(Z696&lt;=X696,0,ROUNDDOWN((Z696-X696)*24*60,0)))</f>
        <v>17</v>
      </c>
      <c r="AF696" s="26">
        <f t="shared" si="43"/>
        <v>50000</v>
      </c>
      <c r="AG696" s="27" t="str">
        <f>IF(AC696="","",IF(COUNTIFS($AC$3:AC696,"Quên chấm công",$S$3:S696,S696)&gt;3,"Không chấm công do vi phạm quá 3 lần",IF(COUNTIFS($AC$3:AC696,"Quên chấm công",$S$3:S696,S696)&gt;2,"Trừ toàn bộ chuyên cần tháng do vi phạm lần 3",IF(COUNTIFS($AC$3:AC696,"Quên chấm công",$S$3:S696,S696)&gt;1,"Trừ 1/2 ngày lương",50000))))</f>
        <v/>
      </c>
      <c r="AH696" s="12" t="str">
        <f>IF(AF696=0,"",IF(COUNTIFS($AF$3:AF696,"&gt;0",$S$3:S696,S696)&gt;3,"Trừ toàn bộ chuyên cần tháng",""))</f>
        <v/>
      </c>
      <c r="AI696" s="12"/>
    </row>
    <row r="697" spans="1:35" x14ac:dyDescent="0.25">
      <c r="A697" s="4" t="s">
        <v>1036</v>
      </c>
      <c r="B697" s="1" t="s">
        <v>1037</v>
      </c>
      <c r="C697" s="1" t="s">
        <v>20</v>
      </c>
      <c r="D697" s="1" t="s">
        <v>37</v>
      </c>
      <c r="E697" s="1" t="s">
        <v>22</v>
      </c>
      <c r="F697" s="1" t="s">
        <v>23</v>
      </c>
      <c r="G697" s="1" t="s">
        <v>10</v>
      </c>
      <c r="H697" s="1" t="s">
        <v>1040</v>
      </c>
      <c r="I697" s="1" t="s">
        <v>1041</v>
      </c>
      <c r="J697" s="1" t="s">
        <v>887</v>
      </c>
      <c r="K697" s="1" t="s">
        <v>1042</v>
      </c>
      <c r="L697" s="1" t="s">
        <v>25</v>
      </c>
      <c r="M697" s="1" t="s">
        <v>26</v>
      </c>
      <c r="N697" s="1" t="s">
        <v>25</v>
      </c>
      <c r="O697" s="1" t="s">
        <v>881</v>
      </c>
      <c r="P697" s="1" t="s">
        <v>25</v>
      </c>
      <c r="Q697" s="1" t="s">
        <v>25</v>
      </c>
      <c r="R697" s="85" t="str">
        <f t="shared" si="40"/>
        <v>6245905</v>
      </c>
      <c r="S697" t="str">
        <f>VLOOKUP(A697,Data_NV!$A:$C,3,0)</f>
        <v>Nguyễn Thị Út Hương</v>
      </c>
      <c r="T697" t="str">
        <f>VLOOKUP(A697,Data_NV!$A:$E,4,0)</f>
        <v>Kế toán - Văn phòng</v>
      </c>
      <c r="U697" s="82">
        <f>DATEVALUE(Table2[[#This Row],[Ngày]])</f>
        <v>45905</v>
      </c>
      <c r="V697" t="str">
        <f>VLOOKUP(A697,Data_NV!$A:$E,5,0)</f>
        <v>Đang làm việc</v>
      </c>
      <c r="W697" s="10">
        <f>VLOOKUP(A697,Data_NV!$A:$I,8,0)</f>
        <v>0.33333333333333331</v>
      </c>
      <c r="X697" s="10">
        <f>VLOOKUP(A697,Data_NV!$A:$I,9,0)</f>
        <v>0.70833333333333337</v>
      </c>
      <c r="Y697" s="10">
        <f>IFERROR(TIMEVALUE(Table2[[#This Row],[Vào]]),0)</f>
        <v>0.34480324074074076</v>
      </c>
      <c r="Z697" s="10">
        <f>IFERROR(TIMEVALUE(Table2[[#This Row],[Ra]]),0)</f>
        <v>0.72050925925925924</v>
      </c>
      <c r="AA697" t="str">
        <f t="shared" si="41"/>
        <v>x</v>
      </c>
      <c r="AB697" s="105">
        <f t="shared" si="42"/>
        <v>16.516666666666715</v>
      </c>
      <c r="AC697" s="12" t="str">
        <f>IF(VLOOKUP(A697,Data_NV!$A:$I,7,0)="Không","",IF(OR(AND(Y697=0,Z697=0),AND(Y697&lt;&gt;0,Z697&lt;&gt;0)),"","Quên chấm công"))</f>
        <v/>
      </c>
      <c r="AD697" s="12">
        <f>IF(VLOOKUP(A697,Data_NV!$A:$I,7,0)="Không",0,IF(AND(Y697=0,Z697=0),0,IF(X697&lt;=Z697,0,ROUNDDOWN((X697-Z697)*24*60,0))))</f>
        <v>0</v>
      </c>
      <c r="AE697" s="12">
        <f>IF(VLOOKUP(A697,Data_NV!$A:$I,6,0)="Không",0,IF(Z697&lt;=X697,0,ROUNDDOWN((Z697-X697)*24*60,0)))</f>
        <v>17</v>
      </c>
      <c r="AF697" s="26">
        <f t="shared" si="43"/>
        <v>50000</v>
      </c>
      <c r="AG697" s="27" t="str">
        <f>IF(AC697="","",IF(COUNTIFS($AC$3:AC697,"Quên chấm công",$S$3:S697,S697)&gt;3,"Không chấm công do vi phạm quá 3 lần",IF(COUNTIFS($AC$3:AC697,"Quên chấm công",$S$3:S697,S697)&gt;2,"Trừ toàn bộ chuyên cần tháng do vi phạm lần 3",IF(COUNTIFS($AC$3:AC697,"Quên chấm công",$S$3:S697,S697)&gt;1,"Trừ 1/2 ngày lương",50000))))</f>
        <v/>
      </c>
      <c r="AH697" s="12" t="str">
        <f>IF(AF697=0,"",IF(COUNTIFS($AF$3:AF697,"&gt;0",$S$3:S697,S697)&gt;3,"Trừ toàn bộ chuyên cần tháng",""))</f>
        <v/>
      </c>
      <c r="AI697" s="12"/>
    </row>
    <row r="698" spans="1:35" x14ac:dyDescent="0.25">
      <c r="A698" s="4" t="s">
        <v>1036</v>
      </c>
      <c r="B698" s="1" t="s">
        <v>1037</v>
      </c>
      <c r="C698" s="1" t="s">
        <v>20</v>
      </c>
      <c r="D698" s="1" t="s">
        <v>42</v>
      </c>
      <c r="E698" s="1" t="s">
        <v>22</v>
      </c>
      <c r="F698" s="1" t="s">
        <v>23</v>
      </c>
      <c r="G698" s="1" t="s">
        <v>29</v>
      </c>
      <c r="H698" s="1" t="s">
        <v>1043</v>
      </c>
      <c r="I698" s="1" t="s">
        <v>1044</v>
      </c>
      <c r="J698" s="1" t="s">
        <v>25</v>
      </c>
      <c r="K698" s="1" t="s">
        <v>1045</v>
      </c>
      <c r="L698" s="1" t="s">
        <v>25</v>
      </c>
      <c r="M698" s="1" t="s">
        <v>26</v>
      </c>
      <c r="N698" s="1" t="s">
        <v>25</v>
      </c>
      <c r="O698" s="1" t="s">
        <v>1046</v>
      </c>
      <c r="P698" s="1" t="s">
        <v>25</v>
      </c>
      <c r="Q698" s="1" t="s">
        <v>25</v>
      </c>
      <c r="R698" s="85" t="str">
        <f t="shared" si="40"/>
        <v>6245906</v>
      </c>
      <c r="S698" t="str">
        <f>VLOOKUP(A698,Data_NV!$A:$C,3,0)</f>
        <v>Nguyễn Thị Út Hương</v>
      </c>
      <c r="T698" t="str">
        <f>VLOOKUP(A698,Data_NV!$A:$E,4,0)</f>
        <v>Kế toán - Văn phòng</v>
      </c>
      <c r="U698" s="82">
        <f>DATEVALUE(Table2[[#This Row],[Ngày]])</f>
        <v>45906</v>
      </c>
      <c r="V698" t="str">
        <f>VLOOKUP(A698,Data_NV!$A:$E,5,0)</f>
        <v>Đang làm việc</v>
      </c>
      <c r="W698" s="10">
        <f>VLOOKUP(A698,Data_NV!$A:$I,8,0)</f>
        <v>0.33333333333333331</v>
      </c>
      <c r="X698" s="10">
        <f>VLOOKUP(A698,Data_NV!$A:$I,9,0)</f>
        <v>0.70833333333333337</v>
      </c>
      <c r="Y698" s="10">
        <f>IFERROR(TIMEVALUE(Table2[[#This Row],[Vào]]),0)</f>
        <v>0.32480324074074074</v>
      </c>
      <c r="Z698" s="10">
        <f>IFERROR(TIMEVALUE(Table2[[#This Row],[Ra]]),0)</f>
        <v>0.72471064814814812</v>
      </c>
      <c r="AA698" t="str">
        <f t="shared" si="41"/>
        <v>x</v>
      </c>
      <c r="AB698" s="105">
        <f t="shared" si="42"/>
        <v>0</v>
      </c>
      <c r="AC698" s="12" t="str">
        <f>IF(VLOOKUP(A698,Data_NV!$A:$I,7,0)="Không","",IF(OR(AND(Y698=0,Z698=0),AND(Y698&lt;&gt;0,Z698&lt;&gt;0)),"","Quên chấm công"))</f>
        <v/>
      </c>
      <c r="AD698" s="12">
        <f>IF(VLOOKUP(A698,Data_NV!$A:$I,7,0)="Không",0,IF(AND(Y698=0,Z698=0),0,IF(X698&lt;=Z698,0,ROUNDDOWN((X698-Z698)*24*60,0))))</f>
        <v>0</v>
      </c>
      <c r="AE698" s="12">
        <f>IF(VLOOKUP(A698,Data_NV!$A:$I,6,0)="Không",0,IF(Z698&lt;=X698,0,ROUNDDOWN((Z698-X698)*24*60,0)))</f>
        <v>23</v>
      </c>
      <c r="AF698" s="26">
        <f t="shared" si="43"/>
        <v>0</v>
      </c>
      <c r="AG698" s="27" t="str">
        <f>IF(AC698="","",IF(COUNTIFS($AC$3:AC698,"Quên chấm công",$S$3:S698,S698)&gt;3,"Không chấm công do vi phạm quá 3 lần",IF(COUNTIFS($AC$3:AC698,"Quên chấm công",$S$3:S698,S698)&gt;2,"Trừ toàn bộ chuyên cần tháng do vi phạm lần 3",IF(COUNTIFS($AC$3:AC698,"Quên chấm công",$S$3:S698,S698)&gt;1,"Trừ 1/2 ngày lương",50000))))</f>
        <v/>
      </c>
      <c r="AH698" s="12" t="str">
        <f>IF(AF698=0,"",IF(COUNTIFS($AF$3:AF698,"&gt;0",$S$3:S698,S698)&gt;3,"Trừ toàn bộ chuyên cần tháng",""))</f>
        <v/>
      </c>
      <c r="AI698" s="12"/>
    </row>
    <row r="699" spans="1:35" x14ac:dyDescent="0.25">
      <c r="A699" s="4" t="s">
        <v>1036</v>
      </c>
      <c r="B699" s="1" t="s">
        <v>1037</v>
      </c>
      <c r="C699" s="1" t="s">
        <v>20</v>
      </c>
      <c r="D699" s="1" t="s">
        <v>47</v>
      </c>
      <c r="E699" s="1" t="s">
        <v>22</v>
      </c>
      <c r="F699" s="1" t="s">
        <v>23</v>
      </c>
      <c r="G699" s="1" t="s">
        <v>12</v>
      </c>
      <c r="H699" s="1" t="s">
        <v>24</v>
      </c>
      <c r="I699" s="1" t="s">
        <v>24</v>
      </c>
      <c r="J699" s="1" t="s">
        <v>25</v>
      </c>
      <c r="K699" s="1" t="s">
        <v>25</v>
      </c>
      <c r="L699" s="1" t="s">
        <v>26</v>
      </c>
      <c r="M699" s="1" t="s">
        <v>25</v>
      </c>
      <c r="N699" s="1" t="s">
        <v>25</v>
      </c>
      <c r="O699" s="1" t="s">
        <v>25</v>
      </c>
      <c r="P699" s="1" t="s">
        <v>25</v>
      </c>
      <c r="Q699" s="1" t="s">
        <v>25</v>
      </c>
      <c r="R699" s="85" t="str">
        <f t="shared" si="40"/>
        <v>6245907</v>
      </c>
      <c r="S699" t="str">
        <f>VLOOKUP(A699,Data_NV!$A:$C,3,0)</f>
        <v>Nguyễn Thị Út Hương</v>
      </c>
      <c r="T699" t="str">
        <f>VLOOKUP(A699,Data_NV!$A:$E,4,0)</f>
        <v>Kế toán - Văn phòng</v>
      </c>
      <c r="U699" s="82">
        <f>DATEVALUE(Table2[[#This Row],[Ngày]])</f>
        <v>45907</v>
      </c>
      <c r="V699" t="str">
        <f>VLOOKUP(A699,Data_NV!$A:$E,5,0)</f>
        <v>Đang làm việc</v>
      </c>
      <c r="W699" s="10">
        <f>VLOOKUP(A699,Data_NV!$A:$I,8,0)</f>
        <v>0.33333333333333331</v>
      </c>
      <c r="X699" s="10">
        <f>VLOOKUP(A699,Data_NV!$A:$I,9,0)</f>
        <v>0.70833333333333337</v>
      </c>
      <c r="Y699" s="10">
        <f>IFERROR(TIMEVALUE(Table2[[#This Row],[Vào]]),0)</f>
        <v>0</v>
      </c>
      <c r="Z699" s="10">
        <f>IFERROR(TIMEVALUE(Table2[[#This Row],[Ra]]),0)</f>
        <v>0</v>
      </c>
      <c r="AA699" t="str">
        <f t="shared" si="41"/>
        <v>Chủ nhật</v>
      </c>
      <c r="AB699" s="105">
        <f t="shared" si="42"/>
        <v>0</v>
      </c>
      <c r="AC699" s="12" t="str">
        <f>IF(VLOOKUP(A699,Data_NV!$A:$I,7,0)="Không","",IF(OR(AND(Y699=0,Z699=0),AND(Y699&lt;&gt;0,Z699&lt;&gt;0)),"","Quên chấm công"))</f>
        <v/>
      </c>
      <c r="AD699" s="12">
        <f>IF(VLOOKUP(A699,Data_NV!$A:$I,7,0)="Không",0,IF(AND(Y699=0,Z699=0),0,IF(X699&lt;=Z699,0,ROUNDDOWN((X699-Z699)*24*60,0))))</f>
        <v>0</v>
      </c>
      <c r="AE699" s="12">
        <f>IF(VLOOKUP(A699,Data_NV!$A:$I,6,0)="Không",0,IF(Z699&lt;=X699,0,ROUNDDOWN((Z699-X699)*24*60,0)))</f>
        <v>0</v>
      </c>
      <c r="AF699" s="26">
        <f t="shared" si="43"/>
        <v>0</v>
      </c>
      <c r="AG699" s="27" t="str">
        <f>IF(AC699="","",IF(COUNTIFS($AC$3:AC699,"Quên chấm công",$S$3:S699,S699)&gt;3,"Không chấm công do vi phạm quá 3 lần",IF(COUNTIFS($AC$3:AC699,"Quên chấm công",$S$3:S699,S699)&gt;2,"Trừ toàn bộ chuyên cần tháng do vi phạm lần 3",IF(COUNTIFS($AC$3:AC699,"Quên chấm công",$S$3:S699,S699)&gt;1,"Trừ 1/2 ngày lương",50000))))</f>
        <v/>
      </c>
      <c r="AH699" s="12" t="str">
        <f>IF(AF699=0,"",IF(COUNTIFS($AF$3:AF699,"&gt;0",$S$3:S699,S699)&gt;3,"Trừ toàn bộ chuyên cần tháng",""))</f>
        <v/>
      </c>
      <c r="AI699" s="12"/>
    </row>
    <row r="700" spans="1:35" x14ac:dyDescent="0.25">
      <c r="A700" s="4" t="s">
        <v>1036</v>
      </c>
      <c r="B700" s="1" t="s">
        <v>1037</v>
      </c>
      <c r="C700" s="1" t="s">
        <v>20</v>
      </c>
      <c r="D700" s="1" t="s">
        <v>48</v>
      </c>
      <c r="E700" s="1" t="s">
        <v>22</v>
      </c>
      <c r="F700" s="1" t="s">
        <v>23</v>
      </c>
      <c r="G700" s="1" t="s">
        <v>10</v>
      </c>
      <c r="H700" s="1" t="s">
        <v>1047</v>
      </c>
      <c r="I700" s="1" t="s">
        <v>1048</v>
      </c>
      <c r="J700" s="1" t="s">
        <v>25</v>
      </c>
      <c r="K700" s="1" t="s">
        <v>264</v>
      </c>
      <c r="L700" s="1" t="s">
        <v>25</v>
      </c>
      <c r="M700" s="1" t="s">
        <v>26</v>
      </c>
      <c r="N700" s="1" t="s">
        <v>25</v>
      </c>
      <c r="O700" s="1" t="s">
        <v>560</v>
      </c>
      <c r="P700" s="1" t="s">
        <v>25</v>
      </c>
      <c r="Q700" s="1" t="s">
        <v>25</v>
      </c>
      <c r="R700" s="85" t="str">
        <f t="shared" si="40"/>
        <v>6245908</v>
      </c>
      <c r="S700" t="str">
        <f>VLOOKUP(A700,Data_NV!$A:$C,3,0)</f>
        <v>Nguyễn Thị Út Hương</v>
      </c>
      <c r="T700" t="str">
        <f>VLOOKUP(A700,Data_NV!$A:$E,4,0)</f>
        <v>Kế toán - Văn phòng</v>
      </c>
      <c r="U700" s="82">
        <f>DATEVALUE(Table2[[#This Row],[Ngày]])</f>
        <v>45908</v>
      </c>
      <c r="V700" t="str">
        <f>VLOOKUP(A700,Data_NV!$A:$E,5,0)</f>
        <v>Đang làm việc</v>
      </c>
      <c r="W700" s="10">
        <f>VLOOKUP(A700,Data_NV!$A:$I,8,0)</f>
        <v>0.33333333333333331</v>
      </c>
      <c r="X700" s="10">
        <f>VLOOKUP(A700,Data_NV!$A:$I,9,0)</f>
        <v>0.70833333333333337</v>
      </c>
      <c r="Y700" s="10">
        <f>IFERROR(TIMEVALUE(Table2[[#This Row],[Vào]]),0)</f>
        <v>0.3336689814814815</v>
      </c>
      <c r="Z700" s="10">
        <f>IFERROR(TIMEVALUE(Table2[[#This Row],[Ra]]),0)</f>
        <v>0.7351388888888889</v>
      </c>
      <c r="AA700" t="str">
        <f t="shared" si="41"/>
        <v>x</v>
      </c>
      <c r="AB700" s="105">
        <f t="shared" si="42"/>
        <v>0.48333333333338224</v>
      </c>
      <c r="AC700" s="12" t="str">
        <f>IF(VLOOKUP(A700,Data_NV!$A:$I,7,0)="Không","",IF(OR(AND(Y700=0,Z700=0),AND(Y700&lt;&gt;0,Z700&lt;&gt;0)),"","Quên chấm công"))</f>
        <v/>
      </c>
      <c r="AD700" s="12">
        <f>IF(VLOOKUP(A700,Data_NV!$A:$I,7,0)="Không",0,IF(AND(Y700=0,Z700=0),0,IF(X700&lt;=Z700,0,ROUNDDOWN((X700-Z700)*24*60,0))))</f>
        <v>0</v>
      </c>
      <c r="AE700" s="12">
        <f>IF(VLOOKUP(A700,Data_NV!$A:$I,6,0)="Không",0,IF(Z700&lt;=X700,0,ROUNDDOWN((Z700-X700)*24*60,0)))</f>
        <v>38</v>
      </c>
      <c r="AF700" s="26">
        <f t="shared" si="43"/>
        <v>0</v>
      </c>
      <c r="AG700" s="27" t="str">
        <f>IF(AC700="","",IF(COUNTIFS($AC$3:AC700,"Quên chấm công",$S$3:S700,S700)&gt;3,"Không chấm công do vi phạm quá 3 lần",IF(COUNTIFS($AC$3:AC700,"Quên chấm công",$S$3:S700,S700)&gt;2,"Trừ toàn bộ chuyên cần tháng do vi phạm lần 3",IF(COUNTIFS($AC$3:AC700,"Quên chấm công",$S$3:S700,S700)&gt;1,"Trừ 1/2 ngày lương",50000))))</f>
        <v/>
      </c>
      <c r="AH700" s="12" t="str">
        <f>IF(AF700=0,"",IF(COUNTIFS($AF$3:AF700,"&gt;0",$S$3:S700,S700)&gt;3,"Trừ toàn bộ chuyên cần tháng",""))</f>
        <v/>
      </c>
      <c r="AI700" s="12"/>
    </row>
    <row r="701" spans="1:35" x14ac:dyDescent="0.25">
      <c r="A701" s="4" t="s">
        <v>1036</v>
      </c>
      <c r="B701" s="1" t="s">
        <v>1037</v>
      </c>
      <c r="C701" s="1" t="s">
        <v>20</v>
      </c>
      <c r="D701" s="1" t="s">
        <v>53</v>
      </c>
      <c r="E701" s="1" t="s">
        <v>22</v>
      </c>
      <c r="F701" s="1" t="s">
        <v>23</v>
      </c>
      <c r="G701" s="1" t="s">
        <v>10</v>
      </c>
      <c r="H701" s="1" t="s">
        <v>1049</v>
      </c>
      <c r="I701" s="1" t="s">
        <v>1050</v>
      </c>
      <c r="J701" s="1" t="s">
        <v>25</v>
      </c>
      <c r="K701" s="1" t="s">
        <v>477</v>
      </c>
      <c r="L701" s="1" t="s">
        <v>25</v>
      </c>
      <c r="M701" s="1" t="s">
        <v>26</v>
      </c>
      <c r="N701" s="1" t="s">
        <v>25</v>
      </c>
      <c r="O701" s="1" t="s">
        <v>478</v>
      </c>
      <c r="P701" s="1" t="s">
        <v>25</v>
      </c>
      <c r="Q701" s="1" t="s">
        <v>25</v>
      </c>
      <c r="R701" s="85" t="str">
        <f t="shared" si="40"/>
        <v>6245909</v>
      </c>
      <c r="S701" t="str">
        <f>VLOOKUP(A701,Data_NV!$A:$C,3,0)</f>
        <v>Nguyễn Thị Út Hương</v>
      </c>
      <c r="T701" t="str">
        <f>VLOOKUP(A701,Data_NV!$A:$E,4,0)</f>
        <v>Kế toán - Văn phòng</v>
      </c>
      <c r="U701" s="82">
        <f>DATEVALUE(Table2[[#This Row],[Ngày]])</f>
        <v>45909</v>
      </c>
      <c r="V701" t="str">
        <f>VLOOKUP(A701,Data_NV!$A:$E,5,0)</f>
        <v>Đang làm việc</v>
      </c>
      <c r="W701" s="10">
        <f>VLOOKUP(A701,Data_NV!$A:$I,8,0)</f>
        <v>0.33333333333333331</v>
      </c>
      <c r="X701" s="10">
        <f>VLOOKUP(A701,Data_NV!$A:$I,9,0)</f>
        <v>0.70833333333333337</v>
      </c>
      <c r="Y701" s="10">
        <f>IFERROR(TIMEVALUE(Table2[[#This Row],[Vào]]),0)</f>
        <v>0.33354166666666668</v>
      </c>
      <c r="Z701" s="10">
        <f>IFERROR(TIMEVALUE(Table2[[#This Row],[Ra]]),0)</f>
        <v>0.73888888888888893</v>
      </c>
      <c r="AA701" t="str">
        <f t="shared" si="41"/>
        <v>x</v>
      </c>
      <c r="AB701" s="105">
        <f t="shared" si="42"/>
        <v>0.3000000000000469</v>
      </c>
      <c r="AC701" s="12" t="str">
        <f>IF(VLOOKUP(A701,Data_NV!$A:$I,7,0)="Không","",IF(OR(AND(Y701=0,Z701=0),AND(Y701&lt;&gt;0,Z701&lt;&gt;0)),"","Quên chấm công"))</f>
        <v/>
      </c>
      <c r="AD701" s="12">
        <f>IF(VLOOKUP(A701,Data_NV!$A:$I,7,0)="Không",0,IF(AND(Y701=0,Z701=0),0,IF(X701&lt;=Z701,0,ROUNDDOWN((X701-Z701)*24*60,0))))</f>
        <v>0</v>
      </c>
      <c r="AE701" s="12">
        <f>IF(VLOOKUP(A701,Data_NV!$A:$I,6,0)="Không",0,IF(Z701&lt;=X701,0,ROUNDDOWN((Z701-X701)*24*60,0)))</f>
        <v>44</v>
      </c>
      <c r="AF701" s="26">
        <f t="shared" si="43"/>
        <v>0</v>
      </c>
      <c r="AG701" s="27" t="str">
        <f>IF(AC701="","",IF(COUNTIFS($AC$3:AC701,"Quên chấm công",$S$3:S701,S701)&gt;3,"Không chấm công do vi phạm quá 3 lần",IF(COUNTIFS($AC$3:AC701,"Quên chấm công",$S$3:S701,S701)&gt;2,"Trừ toàn bộ chuyên cần tháng do vi phạm lần 3",IF(COUNTIFS($AC$3:AC701,"Quên chấm công",$S$3:S701,S701)&gt;1,"Trừ 1/2 ngày lương",50000))))</f>
        <v/>
      </c>
      <c r="AH701" s="12" t="str">
        <f>IF(AF701=0,"",IF(COUNTIFS($AF$3:AF701,"&gt;0",$S$3:S701,S701)&gt;3,"Trừ toàn bộ chuyên cần tháng",""))</f>
        <v/>
      </c>
      <c r="AI701" s="12"/>
    </row>
    <row r="702" spans="1:35" x14ac:dyDescent="0.25">
      <c r="A702" s="4" t="s">
        <v>1036</v>
      </c>
      <c r="B702" s="1" t="s">
        <v>1037</v>
      </c>
      <c r="C702" s="1" t="s">
        <v>20</v>
      </c>
      <c r="D702" s="1" t="s">
        <v>58</v>
      </c>
      <c r="E702" s="1" t="s">
        <v>22</v>
      </c>
      <c r="F702" s="1" t="s">
        <v>23</v>
      </c>
      <c r="G702" s="1" t="s">
        <v>29</v>
      </c>
      <c r="H702" s="1" t="s">
        <v>1051</v>
      </c>
      <c r="I702" s="1" t="s">
        <v>1052</v>
      </c>
      <c r="J702" s="1" t="s">
        <v>25</v>
      </c>
      <c r="K702" s="1" t="s">
        <v>477</v>
      </c>
      <c r="L702" s="1" t="s">
        <v>25</v>
      </c>
      <c r="M702" s="1" t="s">
        <v>26</v>
      </c>
      <c r="N702" s="1" t="s">
        <v>25</v>
      </c>
      <c r="O702" s="1" t="s">
        <v>478</v>
      </c>
      <c r="P702" s="1" t="s">
        <v>25</v>
      </c>
      <c r="Q702" s="1" t="s">
        <v>25</v>
      </c>
      <c r="R702" s="85" t="str">
        <f t="shared" si="40"/>
        <v>6245910</v>
      </c>
      <c r="S702" t="str">
        <f>VLOOKUP(A702,Data_NV!$A:$C,3,0)</f>
        <v>Nguyễn Thị Út Hương</v>
      </c>
      <c r="T702" t="str">
        <f>VLOOKUP(A702,Data_NV!$A:$E,4,0)</f>
        <v>Kế toán - Văn phòng</v>
      </c>
      <c r="U702" s="82">
        <f>DATEVALUE(Table2[[#This Row],[Ngày]])</f>
        <v>45910</v>
      </c>
      <c r="V702" t="str">
        <f>VLOOKUP(A702,Data_NV!$A:$E,5,0)</f>
        <v>Đang làm việc</v>
      </c>
      <c r="W702" s="10">
        <f>VLOOKUP(A702,Data_NV!$A:$I,8,0)</f>
        <v>0.33333333333333331</v>
      </c>
      <c r="X702" s="10">
        <f>VLOOKUP(A702,Data_NV!$A:$I,9,0)</f>
        <v>0.70833333333333337</v>
      </c>
      <c r="Y702" s="10">
        <f>IFERROR(TIMEVALUE(Table2[[#This Row],[Vào]]),0)</f>
        <v>0.33298611111111109</v>
      </c>
      <c r="Z702" s="10">
        <f>IFERROR(TIMEVALUE(Table2[[#This Row],[Ra]]),0)</f>
        <v>0.73872685185185183</v>
      </c>
      <c r="AA702" t="str">
        <f t="shared" si="41"/>
        <v>x</v>
      </c>
      <c r="AB702" s="105">
        <f t="shared" si="42"/>
        <v>0</v>
      </c>
      <c r="AC702" s="12" t="str">
        <f>IF(VLOOKUP(A702,Data_NV!$A:$I,7,0)="Không","",IF(OR(AND(Y702=0,Z702=0),AND(Y702&lt;&gt;0,Z702&lt;&gt;0)),"","Quên chấm công"))</f>
        <v/>
      </c>
      <c r="AD702" s="12">
        <f>IF(VLOOKUP(A702,Data_NV!$A:$I,7,0)="Không",0,IF(AND(Y702=0,Z702=0),0,IF(X702&lt;=Z702,0,ROUNDDOWN((X702-Z702)*24*60,0))))</f>
        <v>0</v>
      </c>
      <c r="AE702" s="12">
        <f>IF(VLOOKUP(A702,Data_NV!$A:$I,6,0)="Không",0,IF(Z702&lt;=X702,0,ROUNDDOWN((Z702-X702)*24*60,0)))</f>
        <v>43</v>
      </c>
      <c r="AF702" s="26">
        <f t="shared" si="43"/>
        <v>0</v>
      </c>
      <c r="AG702" s="27" t="str">
        <f>IF(AC702="","",IF(COUNTIFS($AC$3:AC702,"Quên chấm công",$S$3:S702,S702)&gt;3,"Không chấm công do vi phạm quá 3 lần",IF(COUNTIFS($AC$3:AC702,"Quên chấm công",$S$3:S702,S702)&gt;2,"Trừ toàn bộ chuyên cần tháng do vi phạm lần 3",IF(COUNTIFS($AC$3:AC702,"Quên chấm công",$S$3:S702,S702)&gt;1,"Trừ 1/2 ngày lương",50000))))</f>
        <v/>
      </c>
      <c r="AH702" s="12" t="str">
        <f>IF(AF702=0,"",IF(COUNTIFS($AF$3:AF702,"&gt;0",$S$3:S702,S702)&gt;3,"Trừ toàn bộ chuyên cần tháng",""))</f>
        <v/>
      </c>
      <c r="AI702" s="12"/>
    </row>
    <row r="703" spans="1:35" x14ac:dyDescent="0.25">
      <c r="A703" s="4" t="s">
        <v>1036</v>
      </c>
      <c r="B703" s="1" t="s">
        <v>1037</v>
      </c>
      <c r="C703" s="1" t="s">
        <v>20</v>
      </c>
      <c r="D703" s="1" t="s">
        <v>63</v>
      </c>
      <c r="E703" s="1" t="s">
        <v>22</v>
      </c>
      <c r="F703" s="1" t="s">
        <v>23</v>
      </c>
      <c r="G703" s="1" t="s">
        <v>10</v>
      </c>
      <c r="H703" s="1" t="s">
        <v>1053</v>
      </c>
      <c r="I703" s="1" t="s">
        <v>1054</v>
      </c>
      <c r="J703" s="1" t="s">
        <v>314</v>
      </c>
      <c r="K703" s="1" t="s">
        <v>329</v>
      </c>
      <c r="L703" s="1" t="s">
        <v>25</v>
      </c>
      <c r="M703" s="1" t="s">
        <v>26</v>
      </c>
      <c r="N703" s="1" t="s">
        <v>25</v>
      </c>
      <c r="O703" s="1" t="s">
        <v>478</v>
      </c>
      <c r="P703" s="1" t="s">
        <v>25</v>
      </c>
      <c r="Q703" s="1" t="s">
        <v>25</v>
      </c>
      <c r="R703" s="85" t="str">
        <f t="shared" si="40"/>
        <v>6245911</v>
      </c>
      <c r="S703" t="str">
        <f>VLOOKUP(A703,Data_NV!$A:$C,3,0)</f>
        <v>Nguyễn Thị Út Hương</v>
      </c>
      <c r="T703" t="str">
        <f>VLOOKUP(A703,Data_NV!$A:$E,4,0)</f>
        <v>Kế toán - Văn phòng</v>
      </c>
      <c r="U703" s="82">
        <f>DATEVALUE(Table2[[#This Row],[Ngày]])</f>
        <v>45911</v>
      </c>
      <c r="V703" t="str">
        <f>VLOOKUP(A703,Data_NV!$A:$E,5,0)</f>
        <v>Đang làm việc</v>
      </c>
      <c r="W703" s="10">
        <f>VLOOKUP(A703,Data_NV!$A:$I,8,0)</f>
        <v>0.33333333333333331</v>
      </c>
      <c r="X703" s="10">
        <f>VLOOKUP(A703,Data_NV!$A:$I,9,0)</f>
        <v>0.70833333333333337</v>
      </c>
      <c r="Y703" s="10">
        <f>IFERROR(TIMEVALUE(Table2[[#This Row],[Vào]]),0)</f>
        <v>0.3346412037037037</v>
      </c>
      <c r="Z703" s="10">
        <f>IFERROR(TIMEVALUE(Table2[[#This Row],[Ra]]),0)</f>
        <v>0.73903935185185188</v>
      </c>
      <c r="AA703" t="str">
        <f t="shared" si="41"/>
        <v>x</v>
      </c>
      <c r="AB703" s="105">
        <f t="shared" si="42"/>
        <v>1.8833333333333613</v>
      </c>
      <c r="AC703" s="12" t="str">
        <f>IF(VLOOKUP(A703,Data_NV!$A:$I,7,0)="Không","",IF(OR(AND(Y703=0,Z703=0),AND(Y703&lt;&gt;0,Z703&lt;&gt;0)),"","Quên chấm công"))</f>
        <v/>
      </c>
      <c r="AD703" s="12">
        <f>IF(VLOOKUP(A703,Data_NV!$A:$I,7,0)="Không",0,IF(AND(Y703=0,Z703=0),0,IF(X703&lt;=Z703,0,ROUNDDOWN((X703-Z703)*24*60,0))))</f>
        <v>0</v>
      </c>
      <c r="AE703" s="12">
        <f>IF(VLOOKUP(A703,Data_NV!$A:$I,6,0)="Không",0,IF(Z703&lt;=X703,0,ROUNDDOWN((Z703-X703)*24*60,0)))</f>
        <v>44</v>
      </c>
      <c r="AF703" s="26">
        <f t="shared" si="43"/>
        <v>0</v>
      </c>
      <c r="AG703" s="27" t="str">
        <f>IF(AC703="","",IF(COUNTIFS($AC$3:AC703,"Quên chấm công",$S$3:S703,S703)&gt;3,"Không chấm công do vi phạm quá 3 lần",IF(COUNTIFS($AC$3:AC703,"Quên chấm công",$S$3:S703,S703)&gt;2,"Trừ toàn bộ chuyên cần tháng do vi phạm lần 3",IF(COUNTIFS($AC$3:AC703,"Quên chấm công",$S$3:S703,S703)&gt;1,"Trừ 1/2 ngày lương",50000))))</f>
        <v/>
      </c>
      <c r="AH703" s="12" t="str">
        <f>IF(AF703=0,"",IF(COUNTIFS($AF$3:AF703,"&gt;0",$S$3:S703,S703)&gt;3,"Trừ toàn bộ chuyên cần tháng",""))</f>
        <v/>
      </c>
      <c r="AI703" s="12"/>
    </row>
    <row r="704" spans="1:35" x14ac:dyDescent="0.25">
      <c r="A704" s="4" t="s">
        <v>1036</v>
      </c>
      <c r="B704" s="1" t="s">
        <v>1037</v>
      </c>
      <c r="C704" s="1" t="s">
        <v>20</v>
      </c>
      <c r="D704" s="1" t="s">
        <v>67</v>
      </c>
      <c r="E704" s="1" t="s">
        <v>22</v>
      </c>
      <c r="F704" s="1" t="s">
        <v>23</v>
      </c>
      <c r="G704" s="1" t="s">
        <v>10</v>
      </c>
      <c r="H704" s="1" t="s">
        <v>721</v>
      </c>
      <c r="I704" s="1" t="s">
        <v>1055</v>
      </c>
      <c r="J704" s="1" t="s">
        <v>251</v>
      </c>
      <c r="K704" s="1" t="s">
        <v>139</v>
      </c>
      <c r="L704" s="1" t="s">
        <v>25</v>
      </c>
      <c r="M704" s="1" t="s">
        <v>26</v>
      </c>
      <c r="N704" s="1" t="s">
        <v>25</v>
      </c>
      <c r="O704" s="1" t="s">
        <v>129</v>
      </c>
      <c r="P704" s="1" t="s">
        <v>25</v>
      </c>
      <c r="Q704" s="1" t="s">
        <v>25</v>
      </c>
      <c r="R704" s="85" t="str">
        <f t="shared" si="40"/>
        <v>6245912</v>
      </c>
      <c r="S704" t="str">
        <f>VLOOKUP(A704,Data_NV!$A:$C,3,0)</f>
        <v>Nguyễn Thị Út Hương</v>
      </c>
      <c r="T704" t="str">
        <f>VLOOKUP(A704,Data_NV!$A:$E,4,0)</f>
        <v>Kế toán - Văn phòng</v>
      </c>
      <c r="U704" s="82">
        <f>DATEVALUE(Table2[[#This Row],[Ngày]])</f>
        <v>45912</v>
      </c>
      <c r="V704" t="str">
        <f>VLOOKUP(A704,Data_NV!$A:$E,5,0)</f>
        <v>Đang làm việc</v>
      </c>
      <c r="W704" s="10">
        <f>VLOOKUP(A704,Data_NV!$A:$I,8,0)</f>
        <v>0.33333333333333331</v>
      </c>
      <c r="X704" s="10">
        <f>VLOOKUP(A704,Data_NV!$A:$I,9,0)</f>
        <v>0.70833333333333337</v>
      </c>
      <c r="Y704" s="10">
        <f>IFERROR(TIMEVALUE(Table2[[#This Row],[Vào]]),0)</f>
        <v>0.33643518518518517</v>
      </c>
      <c r="Z704" s="10">
        <f>IFERROR(TIMEVALUE(Table2[[#This Row],[Ra]]),0)</f>
        <v>0.73623842592592592</v>
      </c>
      <c r="AA704" t="str">
        <f t="shared" si="41"/>
        <v>x</v>
      </c>
      <c r="AB704" s="105">
        <f t="shared" si="42"/>
        <v>4.4666666666666721</v>
      </c>
      <c r="AC704" s="12" t="str">
        <f>IF(VLOOKUP(A704,Data_NV!$A:$I,7,0)="Không","",IF(OR(AND(Y704=0,Z704=0),AND(Y704&lt;&gt;0,Z704&lt;&gt;0)),"","Quên chấm công"))</f>
        <v/>
      </c>
      <c r="AD704" s="12">
        <f>IF(VLOOKUP(A704,Data_NV!$A:$I,7,0)="Không",0,IF(AND(Y704=0,Z704=0),0,IF(X704&lt;=Z704,0,ROUNDDOWN((X704-Z704)*24*60,0))))</f>
        <v>0</v>
      </c>
      <c r="AE704" s="12">
        <f>IF(VLOOKUP(A704,Data_NV!$A:$I,6,0)="Không",0,IF(Z704&lt;=X704,0,ROUNDDOWN((Z704-X704)*24*60,0)))</f>
        <v>40</v>
      </c>
      <c r="AF704" s="26">
        <f t="shared" si="43"/>
        <v>0</v>
      </c>
      <c r="AG704" s="27" t="str">
        <f>IF(AC704="","",IF(COUNTIFS($AC$3:AC704,"Quên chấm công",$S$3:S704,S704)&gt;3,"Không chấm công do vi phạm quá 3 lần",IF(COUNTIFS($AC$3:AC704,"Quên chấm công",$S$3:S704,S704)&gt;2,"Trừ toàn bộ chuyên cần tháng do vi phạm lần 3",IF(COUNTIFS($AC$3:AC704,"Quên chấm công",$S$3:S704,S704)&gt;1,"Trừ 1/2 ngày lương",50000))))</f>
        <v/>
      </c>
      <c r="AH704" s="12" t="str">
        <f>IF(AF704=0,"",IF(COUNTIFS($AF$3:AF704,"&gt;0",$S$3:S704,S704)&gt;3,"Trừ toàn bộ chuyên cần tháng",""))</f>
        <v/>
      </c>
      <c r="AI704" s="12"/>
    </row>
    <row r="705" spans="1:35" x14ac:dyDescent="0.25">
      <c r="A705" s="4" t="s">
        <v>1036</v>
      </c>
      <c r="B705" s="1" t="s">
        <v>1037</v>
      </c>
      <c r="C705" s="1" t="s">
        <v>20</v>
      </c>
      <c r="D705" s="1" t="s">
        <v>69</v>
      </c>
      <c r="E705" s="1" t="s">
        <v>22</v>
      </c>
      <c r="F705" s="1" t="s">
        <v>23</v>
      </c>
      <c r="G705" s="1" t="s">
        <v>10</v>
      </c>
      <c r="H705" s="1" t="s">
        <v>1056</v>
      </c>
      <c r="I705" s="1" t="s">
        <v>1057</v>
      </c>
      <c r="J705" s="1" t="s">
        <v>691</v>
      </c>
      <c r="K705" s="1" t="s">
        <v>1058</v>
      </c>
      <c r="L705" s="1" t="s">
        <v>25</v>
      </c>
      <c r="M705" s="1" t="s">
        <v>26</v>
      </c>
      <c r="N705" s="1" t="s">
        <v>25</v>
      </c>
      <c r="O705" s="1" t="s">
        <v>281</v>
      </c>
      <c r="P705" s="1" t="s">
        <v>25</v>
      </c>
      <c r="Q705" s="1" t="s">
        <v>25</v>
      </c>
      <c r="R705" s="85" t="str">
        <f t="shared" si="40"/>
        <v>6245913</v>
      </c>
      <c r="S705" t="str">
        <f>VLOOKUP(A705,Data_NV!$A:$C,3,0)</f>
        <v>Nguyễn Thị Út Hương</v>
      </c>
      <c r="T705" t="str">
        <f>VLOOKUP(A705,Data_NV!$A:$E,4,0)</f>
        <v>Kế toán - Văn phòng</v>
      </c>
      <c r="U705" s="82">
        <f>DATEVALUE(Table2[[#This Row],[Ngày]])</f>
        <v>45913</v>
      </c>
      <c r="V705" t="str">
        <f>VLOOKUP(A705,Data_NV!$A:$E,5,0)</f>
        <v>Đang làm việc</v>
      </c>
      <c r="W705" s="10">
        <f>VLOOKUP(A705,Data_NV!$A:$I,8,0)</f>
        <v>0.33333333333333331</v>
      </c>
      <c r="X705" s="10">
        <f>VLOOKUP(A705,Data_NV!$A:$I,9,0)</f>
        <v>0.70833333333333337</v>
      </c>
      <c r="Y705" s="10">
        <f>IFERROR(TIMEVALUE(Table2[[#This Row],[Vào]]),0)</f>
        <v>0.33568287037037037</v>
      </c>
      <c r="Z705" s="10">
        <f>IFERROR(TIMEVALUE(Table2[[#This Row],[Ra]]),0)</f>
        <v>0.72565972222222219</v>
      </c>
      <c r="AA705" t="str">
        <f t="shared" si="41"/>
        <v>x</v>
      </c>
      <c r="AB705" s="105">
        <f t="shared" si="42"/>
        <v>3.383333333333356</v>
      </c>
      <c r="AC705" s="12" t="str">
        <f>IF(VLOOKUP(A705,Data_NV!$A:$I,7,0)="Không","",IF(OR(AND(Y705=0,Z705=0),AND(Y705&lt;&gt;0,Z705&lt;&gt;0)),"","Quên chấm công"))</f>
        <v/>
      </c>
      <c r="AD705" s="12">
        <f>IF(VLOOKUP(A705,Data_NV!$A:$I,7,0)="Không",0,IF(AND(Y705=0,Z705=0),0,IF(X705&lt;=Z705,0,ROUNDDOWN((X705-Z705)*24*60,0))))</f>
        <v>0</v>
      </c>
      <c r="AE705" s="12">
        <f>IF(VLOOKUP(A705,Data_NV!$A:$I,6,0)="Không",0,IF(Z705&lt;=X705,0,ROUNDDOWN((Z705-X705)*24*60,0)))</f>
        <v>24</v>
      </c>
      <c r="AF705" s="26">
        <f t="shared" si="43"/>
        <v>0</v>
      </c>
      <c r="AG705" s="27" t="str">
        <f>IF(AC705="","",IF(COUNTIFS($AC$3:AC705,"Quên chấm công",$S$3:S705,S705)&gt;3,"Không chấm công do vi phạm quá 3 lần",IF(COUNTIFS($AC$3:AC705,"Quên chấm công",$S$3:S705,S705)&gt;2,"Trừ toàn bộ chuyên cần tháng do vi phạm lần 3",IF(COUNTIFS($AC$3:AC705,"Quên chấm công",$S$3:S705,S705)&gt;1,"Trừ 1/2 ngày lương",50000))))</f>
        <v/>
      </c>
      <c r="AH705" s="12" t="str">
        <f>IF(AF705=0,"",IF(COUNTIFS($AF$3:AF705,"&gt;0",$S$3:S705,S705)&gt;3,"Trừ toàn bộ chuyên cần tháng",""))</f>
        <v/>
      </c>
      <c r="AI705" s="12"/>
    </row>
    <row r="706" spans="1:35" x14ac:dyDescent="0.25">
      <c r="A706" s="4" t="s">
        <v>1036</v>
      </c>
      <c r="B706" s="1" t="s">
        <v>1037</v>
      </c>
      <c r="C706" s="1" t="s">
        <v>20</v>
      </c>
      <c r="D706" s="1" t="s">
        <v>74</v>
      </c>
      <c r="E706" s="1" t="s">
        <v>22</v>
      </c>
      <c r="F706" s="1" t="s">
        <v>23</v>
      </c>
      <c r="G706" s="1" t="s">
        <v>12</v>
      </c>
      <c r="H706" s="1" t="s">
        <v>24</v>
      </c>
      <c r="I706" s="1" t="s">
        <v>24</v>
      </c>
      <c r="J706" s="1" t="s">
        <v>25</v>
      </c>
      <c r="K706" s="1" t="s">
        <v>25</v>
      </c>
      <c r="L706" s="1" t="s">
        <v>26</v>
      </c>
      <c r="M706" s="1" t="s">
        <v>25</v>
      </c>
      <c r="N706" s="1" t="s">
        <v>25</v>
      </c>
      <c r="O706" s="1" t="s">
        <v>25</v>
      </c>
      <c r="P706" s="1" t="s">
        <v>25</v>
      </c>
      <c r="Q706" s="1" t="s">
        <v>25</v>
      </c>
      <c r="R706" s="85" t="str">
        <f t="shared" si="40"/>
        <v>6245914</v>
      </c>
      <c r="S706" t="str">
        <f>VLOOKUP(A706,Data_NV!$A:$C,3,0)</f>
        <v>Nguyễn Thị Út Hương</v>
      </c>
      <c r="T706" t="str">
        <f>VLOOKUP(A706,Data_NV!$A:$E,4,0)</f>
        <v>Kế toán - Văn phòng</v>
      </c>
      <c r="U706" s="82">
        <f>DATEVALUE(Table2[[#This Row],[Ngày]])</f>
        <v>45914</v>
      </c>
      <c r="V706" t="str">
        <f>VLOOKUP(A706,Data_NV!$A:$E,5,0)</f>
        <v>Đang làm việc</v>
      </c>
      <c r="W706" s="10">
        <f>VLOOKUP(A706,Data_NV!$A:$I,8,0)</f>
        <v>0.33333333333333331</v>
      </c>
      <c r="X706" s="10">
        <f>VLOOKUP(A706,Data_NV!$A:$I,9,0)</f>
        <v>0.70833333333333337</v>
      </c>
      <c r="Y706" s="10">
        <f>IFERROR(TIMEVALUE(Table2[[#This Row],[Vào]]),0)</f>
        <v>0</v>
      </c>
      <c r="Z706" s="10">
        <f>IFERROR(TIMEVALUE(Table2[[#This Row],[Ra]]),0)</f>
        <v>0</v>
      </c>
      <c r="AA706" t="str">
        <f t="shared" si="41"/>
        <v>Chủ nhật</v>
      </c>
      <c r="AB706" s="105">
        <f t="shared" si="42"/>
        <v>0</v>
      </c>
      <c r="AC706" s="12" t="str">
        <f>IF(VLOOKUP(A706,Data_NV!$A:$I,7,0)="Không","",IF(OR(AND(Y706=0,Z706=0),AND(Y706&lt;&gt;0,Z706&lt;&gt;0)),"","Quên chấm công"))</f>
        <v/>
      </c>
      <c r="AD706" s="12">
        <f>IF(VLOOKUP(A706,Data_NV!$A:$I,7,0)="Không",0,IF(AND(Y706=0,Z706=0),0,IF(X706&lt;=Z706,0,ROUNDDOWN((X706-Z706)*24*60,0))))</f>
        <v>0</v>
      </c>
      <c r="AE706" s="12">
        <f>IF(VLOOKUP(A706,Data_NV!$A:$I,6,0)="Không",0,IF(Z706&lt;=X706,0,ROUNDDOWN((Z706-X706)*24*60,0)))</f>
        <v>0</v>
      </c>
      <c r="AF706" s="26">
        <f t="shared" si="43"/>
        <v>0</v>
      </c>
      <c r="AG706" s="27" t="str">
        <f>IF(AC706="","",IF(COUNTIFS($AC$3:AC706,"Quên chấm công",$S$3:S706,S706)&gt;3,"Không chấm công do vi phạm quá 3 lần",IF(COUNTIFS($AC$3:AC706,"Quên chấm công",$S$3:S706,S706)&gt;2,"Trừ toàn bộ chuyên cần tháng do vi phạm lần 3",IF(COUNTIFS($AC$3:AC706,"Quên chấm công",$S$3:S706,S706)&gt;1,"Trừ 1/2 ngày lương",50000))))</f>
        <v/>
      </c>
      <c r="AH706" s="12" t="str">
        <f>IF(AF706=0,"",IF(COUNTIFS($AF$3:AF706,"&gt;0",$S$3:S706,S706)&gt;3,"Trừ toàn bộ chuyên cần tháng",""))</f>
        <v/>
      </c>
      <c r="AI706" s="12"/>
    </row>
    <row r="707" spans="1:35" x14ac:dyDescent="0.25">
      <c r="A707" s="4" t="s">
        <v>1036</v>
      </c>
      <c r="B707" s="1" t="s">
        <v>1037</v>
      </c>
      <c r="C707" s="1" t="s">
        <v>20</v>
      </c>
      <c r="D707" s="1" t="s">
        <v>75</v>
      </c>
      <c r="E707" s="1" t="s">
        <v>22</v>
      </c>
      <c r="F707" s="1" t="s">
        <v>23</v>
      </c>
      <c r="G707" s="1" t="s">
        <v>29</v>
      </c>
      <c r="H707" s="1" t="s">
        <v>941</v>
      </c>
      <c r="I707" s="1" t="s">
        <v>1059</v>
      </c>
      <c r="J707" s="1" t="s">
        <v>25</v>
      </c>
      <c r="K707" s="1" t="s">
        <v>477</v>
      </c>
      <c r="L707" s="1" t="s">
        <v>25</v>
      </c>
      <c r="M707" s="1" t="s">
        <v>26</v>
      </c>
      <c r="N707" s="1" t="s">
        <v>25</v>
      </c>
      <c r="O707" s="1" t="s">
        <v>478</v>
      </c>
      <c r="P707" s="1" t="s">
        <v>25</v>
      </c>
      <c r="Q707" s="1" t="s">
        <v>25</v>
      </c>
      <c r="R707" s="85" t="str">
        <f t="shared" ref="R707:R770" si="44">A707&amp;U707</f>
        <v>6245915</v>
      </c>
      <c r="S707" t="str">
        <f>VLOOKUP(A707,Data_NV!$A:$C,3,0)</f>
        <v>Nguyễn Thị Út Hương</v>
      </c>
      <c r="T707" t="str">
        <f>VLOOKUP(A707,Data_NV!$A:$E,4,0)</f>
        <v>Kế toán - Văn phòng</v>
      </c>
      <c r="U707" s="82">
        <f>DATEVALUE(Table2[[#This Row],[Ngày]])</f>
        <v>45915</v>
      </c>
      <c r="V707" t="str">
        <f>VLOOKUP(A707,Data_NV!$A:$E,5,0)</f>
        <v>Đang làm việc</v>
      </c>
      <c r="W707" s="10">
        <f>VLOOKUP(A707,Data_NV!$A:$I,8,0)</f>
        <v>0.33333333333333331</v>
      </c>
      <c r="X707" s="10">
        <f>VLOOKUP(A707,Data_NV!$A:$I,9,0)</f>
        <v>0.70833333333333337</v>
      </c>
      <c r="Y707" s="10">
        <f>IFERROR(TIMEVALUE(Table2[[#This Row],[Vào]]),0)</f>
        <v>0.33244212962962966</v>
      </c>
      <c r="Z707" s="10">
        <f>IFERROR(TIMEVALUE(Table2[[#This Row],[Ra]]),0)</f>
        <v>0.7391550925925926</v>
      </c>
      <c r="AA707" t="str">
        <f t="shared" ref="AA707:AA770" si="45">IF(TEXT($U707,"ddd")="CN","Chủ nhật",IF(OR(AND(Y707=0,Z707=0),AG707="Không chấm công do vi phạm quá 3 lần"),"",IF(OR(AG707="Trừ 1/2 ngày lương",AF707="Trừ 1/2 ngày lương",AB707&gt;=60),"1/2","x")))</f>
        <v>x</v>
      </c>
      <c r="AB707" s="105">
        <f t="shared" ref="AB707:AB770" si="46">IF(Y707&lt;=W707,0,(Y707-W707)*24*60)</f>
        <v>0</v>
      </c>
      <c r="AC707" s="12" t="str">
        <f>IF(VLOOKUP(A707,Data_NV!$A:$I,7,0)="Không","",IF(OR(AND(Y707=0,Z707=0),AND(Y707&lt;&gt;0,Z707&lt;&gt;0)),"","Quên chấm công"))</f>
        <v/>
      </c>
      <c r="AD707" s="12">
        <f>IF(VLOOKUP(A707,Data_NV!$A:$I,7,0)="Không",0,IF(AND(Y707=0,Z707=0),0,IF(X707&lt;=Z707,0,ROUNDDOWN((X707-Z707)*24*60,0))))</f>
        <v>0</v>
      </c>
      <c r="AE707" s="12">
        <f>IF(VLOOKUP(A707,Data_NV!$A:$I,6,0)="Không",0,IF(Z707&lt;=X707,0,ROUNDDOWN((Z707-X707)*24*60,0)))</f>
        <v>44</v>
      </c>
      <c r="AF707" s="26">
        <f t="shared" ref="AF707:AF770" si="47">IF(AB707&gt;60,"Trừ 1/2 ngày lương",IF(AB707&gt;15,50000,IF(AB707&gt;6,30000,0)))</f>
        <v>0</v>
      </c>
      <c r="AG707" s="27" t="str">
        <f>IF(AC707="","",IF(COUNTIFS($AC$3:AC707,"Quên chấm công",$S$3:S707,S707)&gt;3,"Không chấm công do vi phạm quá 3 lần",IF(COUNTIFS($AC$3:AC707,"Quên chấm công",$S$3:S707,S707)&gt;2,"Trừ toàn bộ chuyên cần tháng do vi phạm lần 3",IF(COUNTIFS($AC$3:AC707,"Quên chấm công",$S$3:S707,S707)&gt;1,"Trừ 1/2 ngày lương",50000))))</f>
        <v/>
      </c>
      <c r="AH707" s="12" t="str">
        <f>IF(AF707=0,"",IF(COUNTIFS($AF$3:AF707,"&gt;0",$S$3:S707,S707)&gt;3,"Trừ toàn bộ chuyên cần tháng",""))</f>
        <v/>
      </c>
      <c r="AI707" s="12"/>
    </row>
    <row r="708" spans="1:35" x14ac:dyDescent="0.25">
      <c r="A708" s="4" t="s">
        <v>1036</v>
      </c>
      <c r="B708" s="1" t="s">
        <v>1037</v>
      </c>
      <c r="C708" s="1" t="s">
        <v>20</v>
      </c>
      <c r="D708" s="1" t="s">
        <v>80</v>
      </c>
      <c r="E708" s="1" t="s">
        <v>22</v>
      </c>
      <c r="F708" s="1" t="s">
        <v>999</v>
      </c>
      <c r="G708" s="1" t="s">
        <v>29</v>
      </c>
      <c r="H708" s="1" t="s">
        <v>622</v>
      </c>
      <c r="I708" s="1" t="s">
        <v>1060</v>
      </c>
      <c r="J708" s="1" t="s">
        <v>25</v>
      </c>
      <c r="K708" s="1" t="s">
        <v>1061</v>
      </c>
      <c r="L708" s="1" t="s">
        <v>25</v>
      </c>
      <c r="M708" s="1" t="s">
        <v>1000</v>
      </c>
      <c r="N708" s="1" t="s">
        <v>25</v>
      </c>
      <c r="O708" s="1" t="s">
        <v>25</v>
      </c>
      <c r="P708" s="1" t="s">
        <v>25</v>
      </c>
      <c r="Q708" s="1" t="s">
        <v>25</v>
      </c>
      <c r="R708" s="85" t="str">
        <f t="shared" si="44"/>
        <v>6245916</v>
      </c>
      <c r="S708" t="str">
        <f>VLOOKUP(A708,Data_NV!$A:$C,3,0)</f>
        <v>Nguyễn Thị Út Hương</v>
      </c>
      <c r="T708" t="str">
        <f>VLOOKUP(A708,Data_NV!$A:$E,4,0)</f>
        <v>Kế toán - Văn phòng</v>
      </c>
      <c r="U708" s="82">
        <f>DATEVALUE(Table2[[#This Row],[Ngày]])</f>
        <v>45916</v>
      </c>
      <c r="V708" t="str">
        <f>VLOOKUP(A708,Data_NV!$A:$E,5,0)</f>
        <v>Đang làm việc</v>
      </c>
      <c r="W708" s="10">
        <f>VLOOKUP(A708,Data_NV!$A:$I,8,0)</f>
        <v>0.33333333333333331</v>
      </c>
      <c r="X708" s="10">
        <f>VLOOKUP(A708,Data_NV!$A:$I,9,0)</f>
        <v>0.70833333333333337</v>
      </c>
      <c r="Y708" s="10">
        <f>IFERROR(TIMEVALUE(Table2[[#This Row],[Vào]]),0)</f>
        <v>0.33114583333333331</v>
      </c>
      <c r="Z708" s="10">
        <f>IFERROR(TIMEVALUE(Table2[[#This Row],[Ra]]),0)</f>
        <v>0.50446759259259255</v>
      </c>
      <c r="AA708" s="100" t="s">
        <v>1353</v>
      </c>
      <c r="AB708" s="105">
        <f t="shared" si="46"/>
        <v>0</v>
      </c>
      <c r="AC708" s="12" t="str">
        <f>IF(VLOOKUP(A708,Data_NV!$A:$I,7,0)="Không","",IF(OR(AND(Y708=0,Z708=0),AND(Y708&lt;&gt;0,Z708&lt;&gt;0)),"","Quên chấm công"))</f>
        <v/>
      </c>
      <c r="AD708" s="12">
        <f>IF(VLOOKUP(A708,Data_NV!$A:$I,7,0)="Không",0,IF(AND(Y708=0,Z708=0),0,IF(X708&lt;=Z708,0,ROUNDDOWN((X708-Z708)*24*60,0))))</f>
        <v>293</v>
      </c>
      <c r="AE708" s="12">
        <f>IF(VLOOKUP(A708,Data_NV!$A:$I,6,0)="Không",0,IF(Z708&lt;=X708,0,ROUNDDOWN((Z708-X708)*24*60,0)))</f>
        <v>0</v>
      </c>
      <c r="AF708" s="26">
        <f t="shared" si="47"/>
        <v>0</v>
      </c>
      <c r="AG708" s="27" t="str">
        <f>IF(AC708="","",IF(COUNTIFS($AC$3:AC708,"Quên chấm công",$S$3:S708,S708)&gt;3,"Không chấm công do vi phạm quá 3 lần",IF(COUNTIFS($AC$3:AC708,"Quên chấm công",$S$3:S708,S708)&gt;2,"Trừ toàn bộ chuyên cần tháng do vi phạm lần 3",IF(COUNTIFS($AC$3:AC708,"Quên chấm công",$S$3:S708,S708)&gt;1,"Trừ 1/2 ngày lương",50000))))</f>
        <v/>
      </c>
      <c r="AH708" s="12" t="str">
        <f>IF(AF708=0,"",IF(COUNTIFS($AF$3:AF708,"&gt;0",$S$3:S708,S708)&gt;3,"Trừ toàn bộ chuyên cần tháng",""))</f>
        <v/>
      </c>
      <c r="AI708" s="12" t="s">
        <v>1411</v>
      </c>
    </row>
    <row r="709" spans="1:35" x14ac:dyDescent="0.25">
      <c r="A709" s="4" t="s">
        <v>1036</v>
      </c>
      <c r="B709" s="1" t="s">
        <v>1037</v>
      </c>
      <c r="C709" s="1" t="s">
        <v>20</v>
      </c>
      <c r="D709" s="1" t="s">
        <v>85</v>
      </c>
      <c r="E709" s="1" t="s">
        <v>22</v>
      </c>
      <c r="F709" s="1" t="s">
        <v>23</v>
      </c>
      <c r="G709" s="1" t="s">
        <v>29</v>
      </c>
      <c r="H709" s="1" t="s">
        <v>1062</v>
      </c>
      <c r="I709" s="1" t="s">
        <v>1063</v>
      </c>
      <c r="J709" s="1" t="s">
        <v>25</v>
      </c>
      <c r="K709" s="1" t="s">
        <v>559</v>
      </c>
      <c r="L709" s="1" t="s">
        <v>25</v>
      </c>
      <c r="M709" s="1" t="s">
        <v>26</v>
      </c>
      <c r="N709" s="1" t="s">
        <v>25</v>
      </c>
      <c r="O709" s="1" t="s">
        <v>560</v>
      </c>
      <c r="P709" s="1" t="s">
        <v>25</v>
      </c>
      <c r="Q709" s="1" t="s">
        <v>25</v>
      </c>
      <c r="R709" s="85" t="str">
        <f t="shared" si="44"/>
        <v>6245917</v>
      </c>
      <c r="S709" t="str">
        <f>VLOOKUP(A709,Data_NV!$A:$C,3,0)</f>
        <v>Nguyễn Thị Út Hương</v>
      </c>
      <c r="T709" t="str">
        <f>VLOOKUP(A709,Data_NV!$A:$E,4,0)</f>
        <v>Kế toán - Văn phòng</v>
      </c>
      <c r="U709" s="82">
        <f>DATEVALUE(Table2[[#This Row],[Ngày]])</f>
        <v>45917</v>
      </c>
      <c r="V709" t="str">
        <f>VLOOKUP(A709,Data_NV!$A:$E,5,0)</f>
        <v>Đang làm việc</v>
      </c>
      <c r="W709" s="10">
        <f>VLOOKUP(A709,Data_NV!$A:$I,8,0)</f>
        <v>0.33333333333333331</v>
      </c>
      <c r="X709" s="10">
        <f>VLOOKUP(A709,Data_NV!$A:$I,9,0)</f>
        <v>0.70833333333333337</v>
      </c>
      <c r="Y709" s="10">
        <f>IFERROR(TIMEVALUE(Table2[[#This Row],[Vào]]),0)</f>
        <v>0.33171296296296299</v>
      </c>
      <c r="Z709" s="10">
        <f>IFERROR(TIMEVALUE(Table2[[#This Row],[Ra]]),0)</f>
        <v>0.73524305555555558</v>
      </c>
      <c r="AA709" t="str">
        <f t="shared" si="45"/>
        <v>x</v>
      </c>
      <c r="AB709" s="105">
        <f t="shared" si="46"/>
        <v>0</v>
      </c>
      <c r="AC709" s="12" t="str">
        <f>IF(VLOOKUP(A709,Data_NV!$A:$I,7,0)="Không","",IF(OR(AND(Y709=0,Z709=0),AND(Y709&lt;&gt;0,Z709&lt;&gt;0)),"","Quên chấm công"))</f>
        <v/>
      </c>
      <c r="AD709" s="12">
        <f>IF(VLOOKUP(A709,Data_NV!$A:$I,7,0)="Không",0,IF(AND(Y709=0,Z709=0),0,IF(X709&lt;=Z709,0,ROUNDDOWN((X709-Z709)*24*60,0))))</f>
        <v>0</v>
      </c>
      <c r="AE709" s="12">
        <f>IF(VLOOKUP(A709,Data_NV!$A:$I,6,0)="Không",0,IF(Z709&lt;=X709,0,ROUNDDOWN((Z709-X709)*24*60,0)))</f>
        <v>38</v>
      </c>
      <c r="AF709" s="26">
        <f t="shared" si="47"/>
        <v>0</v>
      </c>
      <c r="AG709" s="27" t="str">
        <f>IF(AC709="","",IF(COUNTIFS($AC$3:AC709,"Quên chấm công",$S$3:S709,S709)&gt;3,"Không chấm công do vi phạm quá 3 lần",IF(COUNTIFS($AC$3:AC709,"Quên chấm công",$S$3:S709,S709)&gt;2,"Trừ toàn bộ chuyên cần tháng do vi phạm lần 3",IF(COUNTIFS($AC$3:AC709,"Quên chấm công",$S$3:S709,S709)&gt;1,"Trừ 1/2 ngày lương",50000))))</f>
        <v/>
      </c>
      <c r="AH709" s="12" t="str">
        <f>IF(AF709=0,"",IF(COUNTIFS($AF$3:AF709,"&gt;0",$S$3:S709,S709)&gt;3,"Trừ toàn bộ chuyên cần tháng",""))</f>
        <v/>
      </c>
      <c r="AI709" s="12"/>
    </row>
    <row r="710" spans="1:35" x14ac:dyDescent="0.25">
      <c r="A710" s="4" t="s">
        <v>1036</v>
      </c>
      <c r="B710" s="1" t="s">
        <v>1037</v>
      </c>
      <c r="C710" s="1" t="s">
        <v>20</v>
      </c>
      <c r="D710" s="1" t="s">
        <v>90</v>
      </c>
      <c r="E710" s="1" t="s">
        <v>22</v>
      </c>
      <c r="F710" s="1" t="s">
        <v>23</v>
      </c>
      <c r="G710" s="1" t="s">
        <v>29</v>
      </c>
      <c r="H710" s="1" t="s">
        <v>1064</v>
      </c>
      <c r="I710" s="1" t="s">
        <v>1065</v>
      </c>
      <c r="J710" s="1" t="s">
        <v>25</v>
      </c>
      <c r="K710" s="1" t="s">
        <v>1066</v>
      </c>
      <c r="L710" s="1" t="s">
        <v>25</v>
      </c>
      <c r="M710" s="1" t="s">
        <v>26</v>
      </c>
      <c r="N710" s="1" t="s">
        <v>25</v>
      </c>
      <c r="O710" s="1" t="s">
        <v>613</v>
      </c>
      <c r="P710" s="1" t="s">
        <v>25</v>
      </c>
      <c r="Q710" s="1" t="s">
        <v>25</v>
      </c>
      <c r="R710" s="85" t="str">
        <f t="shared" si="44"/>
        <v>6245918</v>
      </c>
      <c r="S710" t="str">
        <f>VLOOKUP(A710,Data_NV!$A:$C,3,0)</f>
        <v>Nguyễn Thị Út Hương</v>
      </c>
      <c r="T710" t="str">
        <f>VLOOKUP(A710,Data_NV!$A:$E,4,0)</f>
        <v>Kế toán - Văn phòng</v>
      </c>
      <c r="U710" s="82">
        <f>DATEVALUE(Table2[[#This Row],[Ngày]])</f>
        <v>45918</v>
      </c>
      <c r="V710" t="str">
        <f>VLOOKUP(A710,Data_NV!$A:$E,5,0)</f>
        <v>Đang làm việc</v>
      </c>
      <c r="W710" s="10">
        <f>VLOOKUP(A710,Data_NV!$A:$I,8,0)</f>
        <v>0.33333333333333331</v>
      </c>
      <c r="X710" s="10">
        <f>VLOOKUP(A710,Data_NV!$A:$I,9,0)</f>
        <v>0.70833333333333337</v>
      </c>
      <c r="Y710" s="10">
        <f>IFERROR(TIMEVALUE(Table2[[#This Row],[Vào]]),0)</f>
        <v>0.3308564814814815</v>
      </c>
      <c r="Z710" s="10">
        <f>IFERROR(TIMEVALUE(Table2[[#This Row],[Ra]]),0)</f>
        <v>0.72956018518518517</v>
      </c>
      <c r="AA710" t="str">
        <f t="shared" si="45"/>
        <v>x</v>
      </c>
      <c r="AB710" s="105">
        <f t="shared" si="46"/>
        <v>0</v>
      </c>
      <c r="AC710" s="12" t="str">
        <f>IF(VLOOKUP(A710,Data_NV!$A:$I,7,0)="Không","",IF(OR(AND(Y710=0,Z710=0),AND(Y710&lt;&gt;0,Z710&lt;&gt;0)),"","Quên chấm công"))</f>
        <v/>
      </c>
      <c r="AD710" s="12">
        <f>IF(VLOOKUP(A710,Data_NV!$A:$I,7,0)="Không",0,IF(AND(Y710=0,Z710=0),0,IF(X710&lt;=Z710,0,ROUNDDOWN((X710-Z710)*24*60,0))))</f>
        <v>0</v>
      </c>
      <c r="AE710" s="12">
        <f>IF(VLOOKUP(A710,Data_NV!$A:$I,6,0)="Không",0,IF(Z710&lt;=X710,0,ROUNDDOWN((Z710-X710)*24*60,0)))</f>
        <v>30</v>
      </c>
      <c r="AF710" s="26">
        <f t="shared" si="47"/>
        <v>0</v>
      </c>
      <c r="AG710" s="27" t="str">
        <f>IF(AC710="","",IF(COUNTIFS($AC$3:AC710,"Quên chấm công",$S$3:S710,S710)&gt;3,"Không chấm công do vi phạm quá 3 lần",IF(COUNTIFS($AC$3:AC710,"Quên chấm công",$S$3:S710,S710)&gt;2,"Trừ toàn bộ chuyên cần tháng do vi phạm lần 3",IF(COUNTIFS($AC$3:AC710,"Quên chấm công",$S$3:S710,S710)&gt;1,"Trừ 1/2 ngày lương",50000))))</f>
        <v/>
      </c>
      <c r="AH710" s="12" t="str">
        <f>IF(AF710=0,"",IF(COUNTIFS($AF$3:AF710,"&gt;0",$S$3:S710,S710)&gt;3,"Trừ toàn bộ chuyên cần tháng",""))</f>
        <v/>
      </c>
      <c r="AI710" s="12"/>
    </row>
    <row r="711" spans="1:35" x14ac:dyDescent="0.25">
      <c r="A711" s="4" t="s">
        <v>1036</v>
      </c>
      <c r="B711" s="1" t="s">
        <v>1037</v>
      </c>
      <c r="C711" s="1" t="s">
        <v>20</v>
      </c>
      <c r="D711" s="1" t="s">
        <v>95</v>
      </c>
      <c r="E711" s="1" t="s">
        <v>22</v>
      </c>
      <c r="F711" s="1" t="s">
        <v>23</v>
      </c>
      <c r="G711" s="1" t="s">
        <v>29</v>
      </c>
      <c r="H711" s="1" t="s">
        <v>1067</v>
      </c>
      <c r="I711" s="1" t="s">
        <v>1068</v>
      </c>
      <c r="J711" s="1" t="s">
        <v>25</v>
      </c>
      <c r="K711" s="1" t="s">
        <v>1069</v>
      </c>
      <c r="L711" s="1" t="s">
        <v>25</v>
      </c>
      <c r="M711" s="1" t="s">
        <v>26</v>
      </c>
      <c r="N711" s="1" t="s">
        <v>25</v>
      </c>
      <c r="O711" s="1" t="s">
        <v>407</v>
      </c>
      <c r="P711" s="1" t="s">
        <v>25</v>
      </c>
      <c r="Q711" s="1" t="s">
        <v>25</v>
      </c>
      <c r="R711" s="85" t="str">
        <f t="shared" si="44"/>
        <v>6245919</v>
      </c>
      <c r="S711" t="str">
        <f>VLOOKUP(A711,Data_NV!$A:$C,3,0)</f>
        <v>Nguyễn Thị Út Hương</v>
      </c>
      <c r="T711" t="str">
        <f>VLOOKUP(A711,Data_NV!$A:$E,4,0)</f>
        <v>Kế toán - Văn phòng</v>
      </c>
      <c r="U711" s="82">
        <f>DATEVALUE(Table2[[#This Row],[Ngày]])</f>
        <v>45919</v>
      </c>
      <c r="V711" t="str">
        <f>VLOOKUP(A711,Data_NV!$A:$E,5,0)</f>
        <v>Đang làm việc</v>
      </c>
      <c r="W711" s="10">
        <f>VLOOKUP(A711,Data_NV!$A:$I,8,0)</f>
        <v>0.33333333333333331</v>
      </c>
      <c r="X711" s="10">
        <f>VLOOKUP(A711,Data_NV!$A:$I,9,0)</f>
        <v>0.70833333333333337</v>
      </c>
      <c r="Y711" s="10">
        <f>IFERROR(TIMEVALUE(Table2[[#This Row],[Vào]]),0)</f>
        <v>0.33148148148148149</v>
      </c>
      <c r="Z711" s="10">
        <f>IFERROR(TIMEVALUE(Table2[[#This Row],[Ra]]),0)</f>
        <v>0.73413194444444441</v>
      </c>
      <c r="AA711" t="str">
        <f t="shared" si="45"/>
        <v>x</v>
      </c>
      <c r="AB711" s="105">
        <f t="shared" si="46"/>
        <v>0</v>
      </c>
      <c r="AC711" s="12" t="str">
        <f>IF(VLOOKUP(A711,Data_NV!$A:$I,7,0)="Không","",IF(OR(AND(Y711=0,Z711=0),AND(Y711&lt;&gt;0,Z711&lt;&gt;0)),"","Quên chấm công"))</f>
        <v/>
      </c>
      <c r="AD711" s="12">
        <f>IF(VLOOKUP(A711,Data_NV!$A:$I,7,0)="Không",0,IF(AND(Y711=0,Z711=0),0,IF(X711&lt;=Z711,0,ROUNDDOWN((X711-Z711)*24*60,0))))</f>
        <v>0</v>
      </c>
      <c r="AE711" s="12">
        <f>IF(VLOOKUP(A711,Data_NV!$A:$I,6,0)="Không",0,IF(Z711&lt;=X711,0,ROUNDDOWN((Z711-X711)*24*60,0)))</f>
        <v>37</v>
      </c>
      <c r="AF711" s="26">
        <f t="shared" si="47"/>
        <v>0</v>
      </c>
      <c r="AG711" s="27" t="str">
        <f>IF(AC711="","",IF(COUNTIFS($AC$3:AC711,"Quên chấm công",$S$3:S711,S711)&gt;3,"Không chấm công do vi phạm quá 3 lần",IF(COUNTIFS($AC$3:AC711,"Quên chấm công",$S$3:S711,S711)&gt;2,"Trừ toàn bộ chuyên cần tháng do vi phạm lần 3",IF(COUNTIFS($AC$3:AC711,"Quên chấm công",$S$3:S711,S711)&gt;1,"Trừ 1/2 ngày lương",50000))))</f>
        <v/>
      </c>
      <c r="AH711" s="12" t="str">
        <f>IF(AF711=0,"",IF(COUNTIFS($AF$3:AF711,"&gt;0",$S$3:S711,S711)&gt;3,"Trừ toàn bộ chuyên cần tháng",""))</f>
        <v/>
      </c>
      <c r="AI711" s="12"/>
    </row>
    <row r="712" spans="1:35" x14ac:dyDescent="0.25">
      <c r="A712" s="4" t="s">
        <v>1036</v>
      </c>
      <c r="B712" s="1" t="s">
        <v>1037</v>
      </c>
      <c r="C712" s="1" t="s">
        <v>20</v>
      </c>
      <c r="D712" s="1" t="s">
        <v>100</v>
      </c>
      <c r="E712" s="1" t="s">
        <v>22</v>
      </c>
      <c r="F712" s="1" t="s">
        <v>23</v>
      </c>
      <c r="G712" s="1" t="s">
        <v>29</v>
      </c>
      <c r="H712" s="1" t="s">
        <v>1001</v>
      </c>
      <c r="I712" s="1" t="s">
        <v>1070</v>
      </c>
      <c r="J712" s="1" t="s">
        <v>25</v>
      </c>
      <c r="K712" s="1" t="s">
        <v>713</v>
      </c>
      <c r="L712" s="1" t="s">
        <v>25</v>
      </c>
      <c r="M712" s="1" t="s">
        <v>26</v>
      </c>
      <c r="N712" s="1" t="s">
        <v>25</v>
      </c>
      <c r="O712" s="1" t="s">
        <v>923</v>
      </c>
      <c r="P712" s="1" t="s">
        <v>25</v>
      </c>
      <c r="Q712" s="1" t="s">
        <v>25</v>
      </c>
      <c r="R712" s="85" t="str">
        <f t="shared" si="44"/>
        <v>6245920</v>
      </c>
      <c r="S712" t="str">
        <f>VLOOKUP(A712,Data_NV!$A:$C,3,0)</f>
        <v>Nguyễn Thị Út Hương</v>
      </c>
      <c r="T712" t="str">
        <f>VLOOKUP(A712,Data_NV!$A:$E,4,0)</f>
        <v>Kế toán - Văn phòng</v>
      </c>
      <c r="U712" s="82">
        <f>DATEVALUE(Table2[[#This Row],[Ngày]])</f>
        <v>45920</v>
      </c>
      <c r="V712" t="str">
        <f>VLOOKUP(A712,Data_NV!$A:$E,5,0)</f>
        <v>Đang làm việc</v>
      </c>
      <c r="W712" s="10">
        <f>VLOOKUP(A712,Data_NV!$A:$I,8,0)</f>
        <v>0.33333333333333331</v>
      </c>
      <c r="X712" s="10">
        <f>VLOOKUP(A712,Data_NV!$A:$I,9,0)</f>
        <v>0.70833333333333337</v>
      </c>
      <c r="Y712" s="10">
        <f>IFERROR(TIMEVALUE(Table2[[#This Row],[Vào]]),0)</f>
        <v>0.32989583333333333</v>
      </c>
      <c r="Z712" s="10">
        <f>IFERROR(TIMEVALUE(Table2[[#This Row],[Ra]]),0)</f>
        <v>0.73053240740740744</v>
      </c>
      <c r="AA712" t="str">
        <f t="shared" si="45"/>
        <v>x</v>
      </c>
      <c r="AB712" s="105">
        <f t="shared" si="46"/>
        <v>0</v>
      </c>
      <c r="AC712" s="12" t="str">
        <f>IF(VLOOKUP(A712,Data_NV!$A:$I,7,0)="Không","",IF(OR(AND(Y712=0,Z712=0),AND(Y712&lt;&gt;0,Z712&lt;&gt;0)),"","Quên chấm công"))</f>
        <v/>
      </c>
      <c r="AD712" s="12">
        <f>IF(VLOOKUP(A712,Data_NV!$A:$I,7,0)="Không",0,IF(AND(Y712=0,Z712=0),0,IF(X712&lt;=Z712,0,ROUNDDOWN((X712-Z712)*24*60,0))))</f>
        <v>0</v>
      </c>
      <c r="AE712" s="12">
        <f>IF(VLOOKUP(A712,Data_NV!$A:$I,6,0)="Không",0,IF(Z712&lt;=X712,0,ROUNDDOWN((Z712-X712)*24*60,0)))</f>
        <v>31</v>
      </c>
      <c r="AF712" s="26">
        <f t="shared" si="47"/>
        <v>0</v>
      </c>
      <c r="AG712" s="27" t="str">
        <f>IF(AC712="","",IF(COUNTIFS($AC$3:AC712,"Quên chấm công",$S$3:S712,S712)&gt;3,"Không chấm công do vi phạm quá 3 lần",IF(COUNTIFS($AC$3:AC712,"Quên chấm công",$S$3:S712,S712)&gt;2,"Trừ toàn bộ chuyên cần tháng do vi phạm lần 3",IF(COUNTIFS($AC$3:AC712,"Quên chấm công",$S$3:S712,S712)&gt;1,"Trừ 1/2 ngày lương",50000))))</f>
        <v/>
      </c>
      <c r="AH712" s="12" t="str">
        <f>IF(AF712=0,"",IF(COUNTIFS($AF$3:AF712,"&gt;0",$S$3:S712,S712)&gt;3,"Trừ toàn bộ chuyên cần tháng",""))</f>
        <v/>
      </c>
      <c r="AI712" s="12"/>
    </row>
    <row r="713" spans="1:35" x14ac:dyDescent="0.25">
      <c r="A713" s="4" t="s">
        <v>1036</v>
      </c>
      <c r="B713" s="1" t="s">
        <v>1037</v>
      </c>
      <c r="C713" s="1" t="s">
        <v>20</v>
      </c>
      <c r="D713" s="1" t="s">
        <v>105</v>
      </c>
      <c r="E713" s="1" t="s">
        <v>22</v>
      </c>
      <c r="F713" s="1" t="s">
        <v>23</v>
      </c>
      <c r="G713" s="1" t="s">
        <v>12</v>
      </c>
      <c r="H713" s="1" t="s">
        <v>24</v>
      </c>
      <c r="I713" s="1" t="s">
        <v>24</v>
      </c>
      <c r="J713" s="1" t="s">
        <v>25</v>
      </c>
      <c r="K713" s="1" t="s">
        <v>25</v>
      </c>
      <c r="L713" s="1" t="s">
        <v>26</v>
      </c>
      <c r="M713" s="1" t="s">
        <v>25</v>
      </c>
      <c r="N713" s="1" t="s">
        <v>25</v>
      </c>
      <c r="O713" s="1" t="s">
        <v>25</v>
      </c>
      <c r="P713" s="1" t="s">
        <v>25</v>
      </c>
      <c r="Q713" s="1" t="s">
        <v>25</v>
      </c>
      <c r="R713" s="85" t="str">
        <f t="shared" si="44"/>
        <v>6245921</v>
      </c>
      <c r="S713" t="str">
        <f>VLOOKUP(A713,Data_NV!$A:$C,3,0)</f>
        <v>Nguyễn Thị Út Hương</v>
      </c>
      <c r="T713" t="str">
        <f>VLOOKUP(A713,Data_NV!$A:$E,4,0)</f>
        <v>Kế toán - Văn phòng</v>
      </c>
      <c r="U713" s="82">
        <f>DATEVALUE(Table2[[#This Row],[Ngày]])</f>
        <v>45921</v>
      </c>
      <c r="V713" t="str">
        <f>VLOOKUP(A713,Data_NV!$A:$E,5,0)</f>
        <v>Đang làm việc</v>
      </c>
      <c r="W713" s="10">
        <f>VLOOKUP(A713,Data_NV!$A:$I,8,0)</f>
        <v>0.33333333333333331</v>
      </c>
      <c r="X713" s="10">
        <f>VLOOKUP(A713,Data_NV!$A:$I,9,0)</f>
        <v>0.70833333333333337</v>
      </c>
      <c r="Y713" s="10">
        <f>IFERROR(TIMEVALUE(Table2[[#This Row],[Vào]]),0)</f>
        <v>0</v>
      </c>
      <c r="Z713" s="10">
        <f>IFERROR(TIMEVALUE(Table2[[#This Row],[Ra]]),0)</f>
        <v>0</v>
      </c>
      <c r="AA713" t="str">
        <f t="shared" si="45"/>
        <v>Chủ nhật</v>
      </c>
      <c r="AB713" s="105">
        <f t="shared" si="46"/>
        <v>0</v>
      </c>
      <c r="AC713" s="12" t="str">
        <f>IF(VLOOKUP(A713,Data_NV!$A:$I,7,0)="Không","",IF(OR(AND(Y713=0,Z713=0),AND(Y713&lt;&gt;0,Z713&lt;&gt;0)),"","Quên chấm công"))</f>
        <v/>
      </c>
      <c r="AD713" s="12">
        <f>IF(VLOOKUP(A713,Data_NV!$A:$I,7,0)="Không",0,IF(AND(Y713=0,Z713=0),0,IF(X713&lt;=Z713,0,ROUNDDOWN((X713-Z713)*24*60,0))))</f>
        <v>0</v>
      </c>
      <c r="AE713" s="12">
        <f>IF(VLOOKUP(A713,Data_NV!$A:$I,6,0)="Không",0,IF(Z713&lt;=X713,0,ROUNDDOWN((Z713-X713)*24*60,0)))</f>
        <v>0</v>
      </c>
      <c r="AF713" s="26">
        <f t="shared" si="47"/>
        <v>0</v>
      </c>
      <c r="AG713" s="27" t="str">
        <f>IF(AC713="","",IF(COUNTIFS($AC$3:AC713,"Quên chấm công",$S$3:S713,S713)&gt;3,"Không chấm công do vi phạm quá 3 lần",IF(COUNTIFS($AC$3:AC713,"Quên chấm công",$S$3:S713,S713)&gt;2,"Trừ toàn bộ chuyên cần tháng do vi phạm lần 3",IF(COUNTIFS($AC$3:AC713,"Quên chấm công",$S$3:S713,S713)&gt;1,"Trừ 1/2 ngày lương",50000))))</f>
        <v/>
      </c>
      <c r="AH713" s="12" t="str">
        <f>IF(AF713=0,"",IF(COUNTIFS($AF$3:AF713,"&gt;0",$S$3:S713,S713)&gt;3,"Trừ toàn bộ chuyên cần tháng",""))</f>
        <v/>
      </c>
      <c r="AI713" s="12"/>
    </row>
    <row r="714" spans="1:35" x14ac:dyDescent="0.25">
      <c r="A714" s="4" t="s">
        <v>1036</v>
      </c>
      <c r="B714" s="1" t="s">
        <v>1037</v>
      </c>
      <c r="C714" s="1" t="s">
        <v>20</v>
      </c>
      <c r="D714" s="1" t="s">
        <v>106</v>
      </c>
      <c r="E714" s="1" t="s">
        <v>22</v>
      </c>
      <c r="F714" s="1" t="s">
        <v>23</v>
      </c>
      <c r="G714" s="1" t="s">
        <v>29</v>
      </c>
      <c r="H714" s="1" t="s">
        <v>1071</v>
      </c>
      <c r="I714" s="1" t="s">
        <v>1072</v>
      </c>
      <c r="J714" s="1" t="s">
        <v>25</v>
      </c>
      <c r="K714" s="1" t="s">
        <v>72</v>
      </c>
      <c r="L714" s="1" t="s">
        <v>25</v>
      </c>
      <c r="M714" s="1" t="s">
        <v>26</v>
      </c>
      <c r="N714" s="1" t="s">
        <v>25</v>
      </c>
      <c r="O714" s="1" t="s">
        <v>73</v>
      </c>
      <c r="P714" s="1" t="s">
        <v>25</v>
      </c>
      <c r="Q714" s="1" t="s">
        <v>25</v>
      </c>
      <c r="R714" s="85" t="str">
        <f t="shared" si="44"/>
        <v>6245922</v>
      </c>
      <c r="S714" t="str">
        <f>VLOOKUP(A714,Data_NV!$A:$C,3,0)</f>
        <v>Nguyễn Thị Út Hương</v>
      </c>
      <c r="T714" t="str">
        <f>VLOOKUP(A714,Data_NV!$A:$E,4,0)</f>
        <v>Kế toán - Văn phòng</v>
      </c>
      <c r="U714" s="82">
        <f>DATEVALUE(Table2[[#This Row],[Ngày]])</f>
        <v>45922</v>
      </c>
      <c r="V714" t="str">
        <f>VLOOKUP(A714,Data_NV!$A:$E,5,0)</f>
        <v>Đang làm việc</v>
      </c>
      <c r="W714" s="10">
        <f>VLOOKUP(A714,Data_NV!$A:$I,8,0)</f>
        <v>0.33333333333333331</v>
      </c>
      <c r="X714" s="10">
        <f>VLOOKUP(A714,Data_NV!$A:$I,9,0)</f>
        <v>0.70833333333333337</v>
      </c>
      <c r="Y714" s="10">
        <f>IFERROR(TIMEVALUE(Table2[[#This Row],[Vào]]),0)</f>
        <v>0.33050925925925928</v>
      </c>
      <c r="Z714" s="10">
        <f>IFERROR(TIMEVALUE(Table2[[#This Row],[Ra]]),0)</f>
        <v>0.74677083333333338</v>
      </c>
      <c r="AA714" t="str">
        <f t="shared" si="45"/>
        <v>x</v>
      </c>
      <c r="AB714" s="105">
        <f t="shared" si="46"/>
        <v>0</v>
      </c>
      <c r="AC714" s="12" t="str">
        <f>IF(VLOOKUP(A714,Data_NV!$A:$I,7,0)="Không","",IF(OR(AND(Y714=0,Z714=0),AND(Y714&lt;&gt;0,Z714&lt;&gt;0)),"","Quên chấm công"))</f>
        <v/>
      </c>
      <c r="AD714" s="12">
        <f>IF(VLOOKUP(A714,Data_NV!$A:$I,7,0)="Không",0,IF(AND(Y714=0,Z714=0),0,IF(X714&lt;=Z714,0,ROUNDDOWN((X714-Z714)*24*60,0))))</f>
        <v>0</v>
      </c>
      <c r="AE714" s="12">
        <f>IF(VLOOKUP(A714,Data_NV!$A:$I,6,0)="Không",0,IF(Z714&lt;=X714,0,ROUNDDOWN((Z714-X714)*24*60,0)))</f>
        <v>55</v>
      </c>
      <c r="AF714" s="26">
        <f t="shared" si="47"/>
        <v>0</v>
      </c>
      <c r="AG714" s="27" t="str">
        <f>IF(AC714="","",IF(COUNTIFS($AC$3:AC714,"Quên chấm công",$S$3:S714,S714)&gt;3,"Không chấm công do vi phạm quá 3 lần",IF(COUNTIFS($AC$3:AC714,"Quên chấm công",$S$3:S714,S714)&gt;2,"Trừ toàn bộ chuyên cần tháng do vi phạm lần 3",IF(COUNTIFS($AC$3:AC714,"Quên chấm công",$S$3:S714,S714)&gt;1,"Trừ 1/2 ngày lương",50000))))</f>
        <v/>
      </c>
      <c r="AH714" s="12" t="str">
        <f>IF(AF714=0,"",IF(COUNTIFS($AF$3:AF714,"&gt;0",$S$3:S714,S714)&gt;3,"Trừ toàn bộ chuyên cần tháng",""))</f>
        <v/>
      </c>
      <c r="AI714" s="12"/>
    </row>
    <row r="715" spans="1:35" x14ac:dyDescent="0.25">
      <c r="A715" s="4" t="s">
        <v>1036</v>
      </c>
      <c r="B715" s="1" t="s">
        <v>1037</v>
      </c>
      <c r="C715" s="1" t="s">
        <v>20</v>
      </c>
      <c r="D715" s="1" t="s">
        <v>111</v>
      </c>
      <c r="E715" s="1" t="s">
        <v>22</v>
      </c>
      <c r="F715" s="1" t="s">
        <v>23</v>
      </c>
      <c r="G715" s="1" t="s">
        <v>29</v>
      </c>
      <c r="H715" s="1" t="s">
        <v>1073</v>
      </c>
      <c r="I715" s="1" t="s">
        <v>1074</v>
      </c>
      <c r="J715" s="1" t="s">
        <v>25</v>
      </c>
      <c r="K715" s="1" t="s">
        <v>268</v>
      </c>
      <c r="L715" s="1" t="s">
        <v>25</v>
      </c>
      <c r="M715" s="1" t="s">
        <v>26</v>
      </c>
      <c r="N715" s="1" t="s">
        <v>25</v>
      </c>
      <c r="O715" s="1" t="s">
        <v>241</v>
      </c>
      <c r="P715" s="1" t="s">
        <v>25</v>
      </c>
      <c r="Q715" s="1" t="s">
        <v>25</v>
      </c>
      <c r="R715" s="85" t="str">
        <f t="shared" si="44"/>
        <v>6245923</v>
      </c>
      <c r="S715" t="str">
        <f>VLOOKUP(A715,Data_NV!$A:$C,3,0)</f>
        <v>Nguyễn Thị Út Hương</v>
      </c>
      <c r="T715" t="str">
        <f>VLOOKUP(A715,Data_NV!$A:$E,4,0)</f>
        <v>Kế toán - Văn phòng</v>
      </c>
      <c r="U715" s="82">
        <f>DATEVALUE(Table2[[#This Row],[Ngày]])</f>
        <v>45923</v>
      </c>
      <c r="V715" t="str">
        <f>VLOOKUP(A715,Data_NV!$A:$E,5,0)</f>
        <v>Đang làm việc</v>
      </c>
      <c r="W715" s="10">
        <f>VLOOKUP(A715,Data_NV!$A:$I,8,0)</f>
        <v>0.33333333333333331</v>
      </c>
      <c r="X715" s="10">
        <f>VLOOKUP(A715,Data_NV!$A:$I,9,0)</f>
        <v>0.70833333333333337</v>
      </c>
      <c r="Y715" s="10">
        <f>IFERROR(TIMEVALUE(Table2[[#This Row],[Vào]]),0)</f>
        <v>0.33131944444444444</v>
      </c>
      <c r="Z715" s="10">
        <f>IFERROR(TIMEVALUE(Table2[[#This Row],[Ra]]),0)</f>
        <v>0.71574074074074079</v>
      </c>
      <c r="AA715" t="str">
        <f t="shared" si="45"/>
        <v>x</v>
      </c>
      <c r="AB715" s="105">
        <f t="shared" si="46"/>
        <v>0</v>
      </c>
      <c r="AC715" s="12" t="str">
        <f>IF(VLOOKUP(A715,Data_NV!$A:$I,7,0)="Không","",IF(OR(AND(Y715=0,Z715=0),AND(Y715&lt;&gt;0,Z715&lt;&gt;0)),"","Quên chấm công"))</f>
        <v/>
      </c>
      <c r="AD715" s="12">
        <f>IF(VLOOKUP(A715,Data_NV!$A:$I,7,0)="Không",0,IF(AND(Y715=0,Z715=0),0,IF(X715&lt;=Z715,0,ROUNDDOWN((X715-Z715)*24*60,0))))</f>
        <v>0</v>
      </c>
      <c r="AE715" s="12">
        <f>IF(VLOOKUP(A715,Data_NV!$A:$I,6,0)="Không",0,IF(Z715&lt;=X715,0,ROUNDDOWN((Z715-X715)*24*60,0)))</f>
        <v>10</v>
      </c>
      <c r="AF715" s="26">
        <f t="shared" si="47"/>
        <v>0</v>
      </c>
      <c r="AG715" s="27" t="str">
        <f>IF(AC715="","",IF(COUNTIFS($AC$3:AC715,"Quên chấm công",$S$3:S715,S715)&gt;3,"Không chấm công do vi phạm quá 3 lần",IF(COUNTIFS($AC$3:AC715,"Quên chấm công",$S$3:S715,S715)&gt;2,"Trừ toàn bộ chuyên cần tháng do vi phạm lần 3",IF(COUNTIFS($AC$3:AC715,"Quên chấm công",$S$3:S715,S715)&gt;1,"Trừ 1/2 ngày lương",50000))))</f>
        <v/>
      </c>
      <c r="AH715" s="12" t="str">
        <f>IF(AF715=0,"",IF(COUNTIFS($AF$3:AF715,"&gt;0",$S$3:S715,S715)&gt;3,"Trừ toàn bộ chuyên cần tháng",""))</f>
        <v/>
      </c>
      <c r="AI715" s="12"/>
    </row>
    <row r="716" spans="1:35" x14ac:dyDescent="0.25">
      <c r="A716" s="4" t="s">
        <v>1036</v>
      </c>
      <c r="B716" s="1" t="s">
        <v>1037</v>
      </c>
      <c r="C716" s="1" t="s">
        <v>20</v>
      </c>
      <c r="D716" s="1" t="s">
        <v>116</v>
      </c>
      <c r="E716" s="1" t="s">
        <v>22</v>
      </c>
      <c r="F716" s="1" t="s">
        <v>23</v>
      </c>
      <c r="G716" s="1" t="s">
        <v>10</v>
      </c>
      <c r="H716" s="1" t="s">
        <v>1075</v>
      </c>
      <c r="I716" s="1" t="s">
        <v>1076</v>
      </c>
      <c r="J716" s="1" t="s">
        <v>358</v>
      </c>
      <c r="K716" s="1" t="s">
        <v>329</v>
      </c>
      <c r="L716" s="1" t="s">
        <v>25</v>
      </c>
      <c r="M716" s="1" t="s">
        <v>26</v>
      </c>
      <c r="N716" s="1" t="s">
        <v>25</v>
      </c>
      <c r="O716" s="1" t="s">
        <v>66</v>
      </c>
      <c r="P716" s="1" t="s">
        <v>25</v>
      </c>
      <c r="Q716" s="1" t="s">
        <v>25</v>
      </c>
      <c r="R716" s="85" t="str">
        <f t="shared" si="44"/>
        <v>6245924</v>
      </c>
      <c r="S716" t="str">
        <f>VLOOKUP(A716,Data_NV!$A:$C,3,0)</f>
        <v>Nguyễn Thị Út Hương</v>
      </c>
      <c r="T716" t="str">
        <f>VLOOKUP(A716,Data_NV!$A:$E,4,0)</f>
        <v>Kế toán - Văn phòng</v>
      </c>
      <c r="U716" s="82">
        <f>DATEVALUE(Table2[[#This Row],[Ngày]])</f>
        <v>45924</v>
      </c>
      <c r="V716" t="str">
        <f>VLOOKUP(A716,Data_NV!$A:$E,5,0)</f>
        <v>Đang làm việc</v>
      </c>
      <c r="W716" s="10">
        <f>VLOOKUP(A716,Data_NV!$A:$I,8,0)</f>
        <v>0.33333333333333331</v>
      </c>
      <c r="X716" s="10">
        <f>VLOOKUP(A716,Data_NV!$A:$I,9,0)</f>
        <v>0.70833333333333337</v>
      </c>
      <c r="Y716" s="10">
        <f>IFERROR(TIMEVALUE(Table2[[#This Row],[Vào]]),0)</f>
        <v>0.33373842592592595</v>
      </c>
      <c r="Z716" s="10">
        <f>IFERROR(TIMEVALUE(Table2[[#This Row],[Ra]]),0)</f>
        <v>0.73769675925925926</v>
      </c>
      <c r="AA716" t="str">
        <f t="shared" si="45"/>
        <v>x</v>
      </c>
      <c r="AB716" s="105">
        <f t="shared" si="46"/>
        <v>0.58333333333339787</v>
      </c>
      <c r="AC716" s="12" t="str">
        <f>IF(VLOOKUP(A716,Data_NV!$A:$I,7,0)="Không","",IF(OR(AND(Y716=0,Z716=0),AND(Y716&lt;&gt;0,Z716&lt;&gt;0)),"","Quên chấm công"))</f>
        <v/>
      </c>
      <c r="AD716" s="12">
        <f>IF(VLOOKUP(A716,Data_NV!$A:$I,7,0)="Không",0,IF(AND(Y716=0,Z716=0),0,IF(X716&lt;=Z716,0,ROUNDDOWN((X716-Z716)*24*60,0))))</f>
        <v>0</v>
      </c>
      <c r="AE716" s="12">
        <f>IF(VLOOKUP(A716,Data_NV!$A:$I,6,0)="Không",0,IF(Z716&lt;=X716,0,ROUNDDOWN((Z716-X716)*24*60,0)))</f>
        <v>42</v>
      </c>
      <c r="AF716" s="26">
        <f t="shared" si="47"/>
        <v>0</v>
      </c>
      <c r="AG716" s="27" t="str">
        <f>IF(AC716="","",IF(COUNTIFS($AC$3:AC716,"Quên chấm công",$S$3:S716,S716)&gt;3,"Không chấm công do vi phạm quá 3 lần",IF(COUNTIFS($AC$3:AC716,"Quên chấm công",$S$3:S716,S716)&gt;2,"Trừ toàn bộ chuyên cần tháng do vi phạm lần 3",IF(COUNTIFS($AC$3:AC716,"Quên chấm công",$S$3:S716,S716)&gt;1,"Trừ 1/2 ngày lương",50000))))</f>
        <v/>
      </c>
      <c r="AH716" s="12" t="str">
        <f>IF(AF716=0,"",IF(COUNTIFS($AF$3:AF716,"&gt;0",$S$3:S716,S716)&gt;3,"Trừ toàn bộ chuyên cần tháng",""))</f>
        <v/>
      </c>
      <c r="AI716" s="12"/>
    </row>
    <row r="717" spans="1:35" x14ac:dyDescent="0.25">
      <c r="A717" s="4" t="s">
        <v>1036</v>
      </c>
      <c r="B717" s="1" t="s">
        <v>1037</v>
      </c>
      <c r="C717" s="1" t="s">
        <v>20</v>
      </c>
      <c r="D717" s="1" t="s">
        <v>121</v>
      </c>
      <c r="E717" s="1" t="s">
        <v>22</v>
      </c>
      <c r="F717" s="1" t="s">
        <v>23</v>
      </c>
      <c r="G717" s="1" t="s">
        <v>29</v>
      </c>
      <c r="H717" s="1" t="s">
        <v>1077</v>
      </c>
      <c r="I717" s="1" t="s">
        <v>1078</v>
      </c>
      <c r="J717" s="1" t="s">
        <v>25</v>
      </c>
      <c r="K717" s="1" t="s">
        <v>559</v>
      </c>
      <c r="L717" s="1" t="s">
        <v>25</v>
      </c>
      <c r="M717" s="1" t="s">
        <v>26</v>
      </c>
      <c r="N717" s="1" t="s">
        <v>25</v>
      </c>
      <c r="O717" s="1" t="s">
        <v>560</v>
      </c>
      <c r="P717" s="1" t="s">
        <v>25</v>
      </c>
      <c r="Q717" s="1" t="s">
        <v>25</v>
      </c>
      <c r="R717" s="85" t="str">
        <f t="shared" si="44"/>
        <v>6245925</v>
      </c>
      <c r="S717" t="str">
        <f>VLOOKUP(A717,Data_NV!$A:$C,3,0)</f>
        <v>Nguyễn Thị Út Hương</v>
      </c>
      <c r="T717" t="str">
        <f>VLOOKUP(A717,Data_NV!$A:$E,4,0)</f>
        <v>Kế toán - Văn phòng</v>
      </c>
      <c r="U717" s="82">
        <f>DATEVALUE(Table2[[#This Row],[Ngày]])</f>
        <v>45925</v>
      </c>
      <c r="V717" t="str">
        <f>VLOOKUP(A717,Data_NV!$A:$E,5,0)</f>
        <v>Đang làm việc</v>
      </c>
      <c r="W717" s="10">
        <f>VLOOKUP(A717,Data_NV!$A:$I,8,0)</f>
        <v>0.33333333333333331</v>
      </c>
      <c r="X717" s="10">
        <f>VLOOKUP(A717,Data_NV!$A:$I,9,0)</f>
        <v>0.70833333333333337</v>
      </c>
      <c r="Y717" s="10">
        <f>IFERROR(TIMEVALUE(Table2[[#This Row],[Vào]]),0)</f>
        <v>0.32697916666666665</v>
      </c>
      <c r="Z717" s="10">
        <f>IFERROR(TIMEVALUE(Table2[[#This Row],[Ra]]),0)</f>
        <v>0.73559027777777775</v>
      </c>
      <c r="AA717" t="str">
        <f t="shared" si="45"/>
        <v>x</v>
      </c>
      <c r="AB717" s="105">
        <f t="shared" si="46"/>
        <v>0</v>
      </c>
      <c r="AC717" s="12" t="str">
        <f>IF(VLOOKUP(A717,Data_NV!$A:$I,7,0)="Không","",IF(OR(AND(Y717=0,Z717=0),AND(Y717&lt;&gt;0,Z717&lt;&gt;0)),"","Quên chấm công"))</f>
        <v/>
      </c>
      <c r="AD717" s="12">
        <f>IF(VLOOKUP(A717,Data_NV!$A:$I,7,0)="Không",0,IF(AND(Y717=0,Z717=0),0,IF(X717&lt;=Z717,0,ROUNDDOWN((X717-Z717)*24*60,0))))</f>
        <v>0</v>
      </c>
      <c r="AE717" s="12">
        <f>IF(VLOOKUP(A717,Data_NV!$A:$I,6,0)="Không",0,IF(Z717&lt;=X717,0,ROUNDDOWN((Z717-X717)*24*60,0)))</f>
        <v>39</v>
      </c>
      <c r="AF717" s="26">
        <f t="shared" si="47"/>
        <v>0</v>
      </c>
      <c r="AG717" s="27" t="str">
        <f>IF(AC717="","",IF(COUNTIFS($AC$3:AC717,"Quên chấm công",$S$3:S717,S717)&gt;3,"Không chấm công do vi phạm quá 3 lần",IF(COUNTIFS($AC$3:AC717,"Quên chấm công",$S$3:S717,S717)&gt;2,"Trừ toàn bộ chuyên cần tháng do vi phạm lần 3",IF(COUNTIFS($AC$3:AC717,"Quên chấm công",$S$3:S717,S717)&gt;1,"Trừ 1/2 ngày lương",50000))))</f>
        <v/>
      </c>
      <c r="AH717" s="12" t="str">
        <f>IF(AF717=0,"",IF(COUNTIFS($AF$3:AF717,"&gt;0",$S$3:S717,S717)&gt;3,"Trừ toàn bộ chuyên cần tháng",""))</f>
        <v/>
      </c>
      <c r="AI717" s="12"/>
    </row>
    <row r="718" spans="1:35" x14ac:dyDescent="0.25">
      <c r="A718" s="4" t="s">
        <v>1036</v>
      </c>
      <c r="B718" s="1" t="s">
        <v>1037</v>
      </c>
      <c r="C718" s="1" t="s">
        <v>20</v>
      </c>
      <c r="D718" s="1" t="s">
        <v>123</v>
      </c>
      <c r="E718" s="1" t="s">
        <v>22</v>
      </c>
      <c r="F718" s="1" t="s">
        <v>23</v>
      </c>
      <c r="G718" s="1" t="s">
        <v>29</v>
      </c>
      <c r="H718" s="1" t="s">
        <v>1079</v>
      </c>
      <c r="I718" s="1" t="s">
        <v>1080</v>
      </c>
      <c r="J718" s="1" t="s">
        <v>25</v>
      </c>
      <c r="K718" s="1" t="s">
        <v>1081</v>
      </c>
      <c r="L718" s="1" t="s">
        <v>25</v>
      </c>
      <c r="M718" s="1" t="s">
        <v>26</v>
      </c>
      <c r="N718" s="1" t="s">
        <v>25</v>
      </c>
      <c r="O718" s="1" t="s">
        <v>397</v>
      </c>
      <c r="P718" s="1" t="s">
        <v>25</v>
      </c>
      <c r="Q718" s="1" t="s">
        <v>25</v>
      </c>
      <c r="R718" s="85" t="str">
        <f t="shared" si="44"/>
        <v>6245926</v>
      </c>
      <c r="S718" t="str">
        <f>VLOOKUP(A718,Data_NV!$A:$C,3,0)</f>
        <v>Nguyễn Thị Út Hương</v>
      </c>
      <c r="T718" t="str">
        <f>VLOOKUP(A718,Data_NV!$A:$E,4,0)</f>
        <v>Kế toán - Văn phòng</v>
      </c>
      <c r="U718" s="82">
        <f>DATEVALUE(Table2[[#This Row],[Ngày]])</f>
        <v>45926</v>
      </c>
      <c r="V718" t="str">
        <f>VLOOKUP(A718,Data_NV!$A:$E,5,0)</f>
        <v>Đang làm việc</v>
      </c>
      <c r="W718" s="10">
        <f>VLOOKUP(A718,Data_NV!$A:$I,8,0)</f>
        <v>0.33333333333333331</v>
      </c>
      <c r="X718" s="10">
        <f>VLOOKUP(A718,Data_NV!$A:$I,9,0)</f>
        <v>0.70833333333333337</v>
      </c>
      <c r="Y718" s="10">
        <f>IFERROR(TIMEVALUE(Table2[[#This Row],[Vào]]),0)</f>
        <v>0.33250000000000002</v>
      </c>
      <c r="Z718" s="10">
        <f>IFERROR(TIMEVALUE(Table2[[#This Row],[Ra]]),0)</f>
        <v>0.73142361111111109</v>
      </c>
      <c r="AA718" t="str">
        <f t="shared" si="45"/>
        <v>x</v>
      </c>
      <c r="AB718" s="105">
        <f t="shared" si="46"/>
        <v>0</v>
      </c>
      <c r="AC718" s="12" t="str">
        <f>IF(VLOOKUP(A718,Data_NV!$A:$I,7,0)="Không","",IF(OR(AND(Y718=0,Z718=0),AND(Y718&lt;&gt;0,Z718&lt;&gt;0)),"","Quên chấm công"))</f>
        <v/>
      </c>
      <c r="AD718" s="12">
        <f>IF(VLOOKUP(A718,Data_NV!$A:$I,7,0)="Không",0,IF(AND(Y718=0,Z718=0),0,IF(X718&lt;=Z718,0,ROUNDDOWN((X718-Z718)*24*60,0))))</f>
        <v>0</v>
      </c>
      <c r="AE718" s="12">
        <f>IF(VLOOKUP(A718,Data_NV!$A:$I,6,0)="Không",0,IF(Z718&lt;=X718,0,ROUNDDOWN((Z718-X718)*24*60,0)))</f>
        <v>33</v>
      </c>
      <c r="AF718" s="26">
        <f t="shared" si="47"/>
        <v>0</v>
      </c>
      <c r="AG718" s="27" t="str">
        <f>IF(AC718="","",IF(COUNTIFS($AC$3:AC718,"Quên chấm công",$S$3:S718,S718)&gt;3,"Không chấm công do vi phạm quá 3 lần",IF(COUNTIFS($AC$3:AC718,"Quên chấm công",$S$3:S718,S718)&gt;2,"Trừ toàn bộ chuyên cần tháng do vi phạm lần 3",IF(COUNTIFS($AC$3:AC718,"Quên chấm công",$S$3:S718,S718)&gt;1,"Trừ 1/2 ngày lương",50000))))</f>
        <v/>
      </c>
      <c r="AH718" s="12" t="str">
        <f>IF(AF718=0,"",IF(COUNTIFS($AF$3:AF718,"&gt;0",$S$3:S718,S718)&gt;3,"Trừ toàn bộ chuyên cần tháng",""))</f>
        <v/>
      </c>
      <c r="AI718" s="12"/>
    </row>
    <row r="719" spans="1:35" x14ac:dyDescent="0.25">
      <c r="A719" s="4" t="s">
        <v>1036</v>
      </c>
      <c r="B719" s="1" t="s">
        <v>1037</v>
      </c>
      <c r="C719" s="1" t="s">
        <v>20</v>
      </c>
      <c r="D719" s="1" t="s">
        <v>125</v>
      </c>
      <c r="E719" s="1" t="s">
        <v>22</v>
      </c>
      <c r="F719" s="1" t="s">
        <v>23</v>
      </c>
      <c r="G719" s="1" t="s">
        <v>10</v>
      </c>
      <c r="H719" s="1" t="s">
        <v>942</v>
      </c>
      <c r="I719" s="1" t="s">
        <v>1082</v>
      </c>
      <c r="J719" s="1" t="s">
        <v>25</v>
      </c>
      <c r="K719" s="1" t="s">
        <v>1081</v>
      </c>
      <c r="L719" s="1" t="s">
        <v>25</v>
      </c>
      <c r="M719" s="1" t="s">
        <v>26</v>
      </c>
      <c r="N719" s="1" t="s">
        <v>25</v>
      </c>
      <c r="O719" s="1" t="s">
        <v>1083</v>
      </c>
      <c r="P719" s="1" t="s">
        <v>25</v>
      </c>
      <c r="Q719" s="1" t="s">
        <v>25</v>
      </c>
      <c r="R719" s="85" t="str">
        <f t="shared" si="44"/>
        <v>6245927</v>
      </c>
      <c r="S719" t="str">
        <f>VLOOKUP(A719,Data_NV!$A:$C,3,0)</f>
        <v>Nguyễn Thị Út Hương</v>
      </c>
      <c r="T719" t="str">
        <f>VLOOKUP(A719,Data_NV!$A:$E,4,0)</f>
        <v>Kế toán - Văn phòng</v>
      </c>
      <c r="U719" s="82">
        <f>DATEVALUE(Table2[[#This Row],[Ngày]])</f>
        <v>45927</v>
      </c>
      <c r="V719" t="str">
        <f>VLOOKUP(A719,Data_NV!$A:$E,5,0)</f>
        <v>Đang làm việc</v>
      </c>
      <c r="W719" s="10">
        <f>VLOOKUP(A719,Data_NV!$A:$I,8,0)</f>
        <v>0.33333333333333331</v>
      </c>
      <c r="X719" s="10">
        <f>VLOOKUP(A719,Data_NV!$A:$I,9,0)</f>
        <v>0.70833333333333337</v>
      </c>
      <c r="Y719" s="10">
        <f>IFERROR(TIMEVALUE(Table2[[#This Row],[Vào]]),0)</f>
        <v>0.3336574074074074</v>
      </c>
      <c r="Z719" s="10">
        <f>IFERROR(TIMEVALUE(Table2[[#This Row],[Ra]]),0)</f>
        <v>0.73162037037037042</v>
      </c>
      <c r="AA719" t="str">
        <f t="shared" si="45"/>
        <v>x</v>
      </c>
      <c r="AB719" s="105">
        <f t="shared" si="46"/>
        <v>0.46666666666668633</v>
      </c>
      <c r="AC719" s="12" t="str">
        <f>IF(VLOOKUP(A719,Data_NV!$A:$I,7,0)="Không","",IF(OR(AND(Y719=0,Z719=0),AND(Y719&lt;&gt;0,Z719&lt;&gt;0)),"","Quên chấm công"))</f>
        <v/>
      </c>
      <c r="AD719" s="12">
        <f>IF(VLOOKUP(A719,Data_NV!$A:$I,7,0)="Không",0,IF(AND(Y719=0,Z719=0),0,IF(X719&lt;=Z719,0,ROUNDDOWN((X719-Z719)*24*60,0))))</f>
        <v>0</v>
      </c>
      <c r="AE719" s="12">
        <f>IF(VLOOKUP(A719,Data_NV!$A:$I,6,0)="Không",0,IF(Z719&lt;=X719,0,ROUNDDOWN((Z719-X719)*24*60,0)))</f>
        <v>33</v>
      </c>
      <c r="AF719" s="26">
        <f t="shared" si="47"/>
        <v>0</v>
      </c>
      <c r="AG719" s="27" t="str">
        <f>IF(AC719="","",IF(COUNTIFS($AC$3:AC719,"Quên chấm công",$S$3:S719,S719)&gt;3,"Không chấm công do vi phạm quá 3 lần",IF(COUNTIFS($AC$3:AC719,"Quên chấm công",$S$3:S719,S719)&gt;2,"Trừ toàn bộ chuyên cần tháng do vi phạm lần 3",IF(COUNTIFS($AC$3:AC719,"Quên chấm công",$S$3:S719,S719)&gt;1,"Trừ 1/2 ngày lương",50000))))</f>
        <v/>
      </c>
      <c r="AH719" s="12" t="str">
        <f>IF(AF719=0,"",IF(COUNTIFS($AF$3:AF719,"&gt;0",$S$3:S719,S719)&gt;3,"Trừ toàn bộ chuyên cần tháng",""))</f>
        <v/>
      </c>
      <c r="AI719" s="12"/>
    </row>
    <row r="720" spans="1:35" x14ac:dyDescent="0.25">
      <c r="A720" s="4" t="s">
        <v>1036</v>
      </c>
      <c r="B720" s="1" t="s">
        <v>1037</v>
      </c>
      <c r="C720" s="1" t="s">
        <v>20</v>
      </c>
      <c r="D720" s="1" t="s">
        <v>130</v>
      </c>
      <c r="E720" s="1" t="s">
        <v>22</v>
      </c>
      <c r="F720" s="1" t="s">
        <v>23</v>
      </c>
      <c r="G720" s="1" t="s">
        <v>12</v>
      </c>
      <c r="H720" s="1" t="s">
        <v>24</v>
      </c>
      <c r="I720" s="1" t="s">
        <v>24</v>
      </c>
      <c r="J720" s="1" t="s">
        <v>25</v>
      </c>
      <c r="K720" s="1" t="s">
        <v>25</v>
      </c>
      <c r="L720" s="1" t="s">
        <v>26</v>
      </c>
      <c r="M720" s="1" t="s">
        <v>25</v>
      </c>
      <c r="N720" s="1" t="s">
        <v>25</v>
      </c>
      <c r="O720" s="1" t="s">
        <v>25</v>
      </c>
      <c r="P720" s="1" t="s">
        <v>25</v>
      </c>
      <c r="Q720" s="1" t="s">
        <v>25</v>
      </c>
      <c r="R720" s="85" t="str">
        <f t="shared" si="44"/>
        <v>6245928</v>
      </c>
      <c r="S720" t="str">
        <f>VLOOKUP(A720,Data_NV!$A:$C,3,0)</f>
        <v>Nguyễn Thị Út Hương</v>
      </c>
      <c r="T720" t="str">
        <f>VLOOKUP(A720,Data_NV!$A:$E,4,0)</f>
        <v>Kế toán - Văn phòng</v>
      </c>
      <c r="U720" s="82">
        <f>DATEVALUE(Table2[[#This Row],[Ngày]])</f>
        <v>45928</v>
      </c>
      <c r="V720" t="str">
        <f>VLOOKUP(A720,Data_NV!$A:$E,5,0)</f>
        <v>Đang làm việc</v>
      </c>
      <c r="W720" s="10">
        <f>VLOOKUP(A720,Data_NV!$A:$I,8,0)</f>
        <v>0.33333333333333331</v>
      </c>
      <c r="X720" s="10">
        <f>VLOOKUP(A720,Data_NV!$A:$I,9,0)</f>
        <v>0.70833333333333337</v>
      </c>
      <c r="Y720" s="10">
        <f>IFERROR(TIMEVALUE(Table2[[#This Row],[Vào]]),0)</f>
        <v>0</v>
      </c>
      <c r="Z720" s="10">
        <f>IFERROR(TIMEVALUE(Table2[[#This Row],[Ra]]),0)</f>
        <v>0</v>
      </c>
      <c r="AA720" t="str">
        <f t="shared" si="45"/>
        <v>Chủ nhật</v>
      </c>
      <c r="AB720" s="105">
        <f t="shared" si="46"/>
        <v>0</v>
      </c>
      <c r="AC720" s="12" t="str">
        <f>IF(VLOOKUP(A720,Data_NV!$A:$I,7,0)="Không","",IF(OR(AND(Y720=0,Z720=0),AND(Y720&lt;&gt;0,Z720&lt;&gt;0)),"","Quên chấm công"))</f>
        <v/>
      </c>
      <c r="AD720" s="12">
        <f>IF(VLOOKUP(A720,Data_NV!$A:$I,7,0)="Không",0,IF(AND(Y720=0,Z720=0),0,IF(X720&lt;=Z720,0,ROUNDDOWN((X720-Z720)*24*60,0))))</f>
        <v>0</v>
      </c>
      <c r="AE720" s="12">
        <f>IF(VLOOKUP(A720,Data_NV!$A:$I,6,0)="Không",0,IF(Z720&lt;=X720,0,ROUNDDOWN((Z720-X720)*24*60,0)))</f>
        <v>0</v>
      </c>
      <c r="AF720" s="26">
        <f t="shared" si="47"/>
        <v>0</v>
      </c>
      <c r="AG720" s="27" t="str">
        <f>IF(AC720="","",IF(COUNTIFS($AC$3:AC720,"Quên chấm công",$S$3:S720,S720)&gt;3,"Không chấm công do vi phạm quá 3 lần",IF(COUNTIFS($AC$3:AC720,"Quên chấm công",$S$3:S720,S720)&gt;2,"Trừ toàn bộ chuyên cần tháng do vi phạm lần 3",IF(COUNTIFS($AC$3:AC720,"Quên chấm công",$S$3:S720,S720)&gt;1,"Trừ 1/2 ngày lương",50000))))</f>
        <v/>
      </c>
      <c r="AH720" s="12" t="str">
        <f>IF(AF720=0,"",IF(COUNTIFS($AF$3:AF720,"&gt;0",$S$3:S720,S720)&gt;3,"Trừ toàn bộ chuyên cần tháng",""))</f>
        <v/>
      </c>
      <c r="AI720" s="12"/>
    </row>
    <row r="721" spans="1:35" x14ac:dyDescent="0.25">
      <c r="A721" s="4" t="s">
        <v>1036</v>
      </c>
      <c r="B721" s="1" t="s">
        <v>1037</v>
      </c>
      <c r="C721" s="1" t="s">
        <v>20</v>
      </c>
      <c r="D721" s="1" t="s">
        <v>131</v>
      </c>
      <c r="E721" s="1" t="s">
        <v>22</v>
      </c>
      <c r="F721" s="1" t="s">
        <v>23</v>
      </c>
      <c r="G721" s="1" t="s">
        <v>10</v>
      </c>
      <c r="H721" s="1" t="s">
        <v>1084</v>
      </c>
      <c r="I721" s="1" t="s">
        <v>1085</v>
      </c>
      <c r="J721" s="1" t="s">
        <v>887</v>
      </c>
      <c r="K721" s="1" t="s">
        <v>980</v>
      </c>
      <c r="L721" s="1" t="s">
        <v>25</v>
      </c>
      <c r="M721" s="1" t="s">
        <v>26</v>
      </c>
      <c r="N721" s="1" t="s">
        <v>25</v>
      </c>
      <c r="O721" s="1" t="s">
        <v>397</v>
      </c>
      <c r="P721" s="1" t="s">
        <v>25</v>
      </c>
      <c r="Q721" s="1" t="s">
        <v>25</v>
      </c>
      <c r="R721" s="85" t="str">
        <f t="shared" si="44"/>
        <v>6245929</v>
      </c>
      <c r="S721" t="str">
        <f>VLOOKUP(A721,Data_NV!$A:$C,3,0)</f>
        <v>Nguyễn Thị Út Hương</v>
      </c>
      <c r="T721" t="str">
        <f>VLOOKUP(A721,Data_NV!$A:$E,4,0)</f>
        <v>Kế toán - Văn phòng</v>
      </c>
      <c r="U721" s="82">
        <f>DATEVALUE(Table2[[#This Row],[Ngày]])</f>
        <v>45929</v>
      </c>
      <c r="V721" t="str">
        <f>VLOOKUP(A721,Data_NV!$A:$E,5,0)</f>
        <v>Đang làm việc</v>
      </c>
      <c r="W721" s="10">
        <f>VLOOKUP(A721,Data_NV!$A:$I,8,0)</f>
        <v>0.33333333333333331</v>
      </c>
      <c r="X721" s="10">
        <f>VLOOKUP(A721,Data_NV!$A:$I,9,0)</f>
        <v>0.70833333333333337</v>
      </c>
      <c r="Y721" s="10">
        <f>IFERROR(TIMEVALUE(Table2[[#This Row],[Vào]]),0)</f>
        <v>0.34505787037037039</v>
      </c>
      <c r="Z721" s="10">
        <f>IFERROR(TIMEVALUE(Table2[[#This Row],[Ra]]),0)</f>
        <v>0.73141203703703705</v>
      </c>
      <c r="AA721" t="str">
        <f t="shared" si="45"/>
        <v>x</v>
      </c>
      <c r="AB721" s="105">
        <f t="shared" si="46"/>
        <v>16.88333333333339</v>
      </c>
      <c r="AC721" s="12" t="str">
        <f>IF(VLOOKUP(A721,Data_NV!$A:$I,7,0)="Không","",IF(OR(AND(Y721=0,Z721=0),AND(Y721&lt;&gt;0,Z721&lt;&gt;0)),"","Quên chấm công"))</f>
        <v/>
      </c>
      <c r="AD721" s="12">
        <f>IF(VLOOKUP(A721,Data_NV!$A:$I,7,0)="Không",0,IF(AND(Y721=0,Z721=0),0,IF(X721&lt;=Z721,0,ROUNDDOWN((X721-Z721)*24*60,0))))</f>
        <v>0</v>
      </c>
      <c r="AE721" s="12">
        <f>IF(VLOOKUP(A721,Data_NV!$A:$I,6,0)="Không",0,IF(Z721&lt;=X721,0,ROUNDDOWN((Z721-X721)*24*60,0)))</f>
        <v>33</v>
      </c>
      <c r="AF721" s="26">
        <f t="shared" si="47"/>
        <v>50000</v>
      </c>
      <c r="AG721" s="27" t="str">
        <f>IF(AC721="","",IF(COUNTIFS($AC$3:AC721,"Quên chấm công",$S$3:S721,S721)&gt;3,"Không chấm công do vi phạm quá 3 lần",IF(COUNTIFS($AC$3:AC721,"Quên chấm công",$S$3:S721,S721)&gt;2,"Trừ toàn bộ chuyên cần tháng do vi phạm lần 3",IF(COUNTIFS($AC$3:AC721,"Quên chấm công",$S$3:S721,S721)&gt;1,"Trừ 1/2 ngày lương",50000))))</f>
        <v/>
      </c>
      <c r="AH721" s="12" t="str">
        <f>IF(AF721=0,"",IF(COUNTIFS($AF$3:AF721,"&gt;0",$S$3:S721,S721)&gt;3,"Trừ toàn bộ chuyên cần tháng",""))</f>
        <v/>
      </c>
      <c r="AI721" s="12"/>
    </row>
    <row r="722" spans="1:35" x14ac:dyDescent="0.25">
      <c r="A722" s="4" t="s">
        <v>1036</v>
      </c>
      <c r="B722" s="1" t="s">
        <v>1037</v>
      </c>
      <c r="C722" s="1" t="s">
        <v>20</v>
      </c>
      <c r="D722" s="1" t="s">
        <v>136</v>
      </c>
      <c r="E722" s="1" t="s">
        <v>22</v>
      </c>
      <c r="F722" s="1" t="s">
        <v>23</v>
      </c>
      <c r="G722" s="1" t="s">
        <v>29</v>
      </c>
      <c r="H722" s="1" t="s">
        <v>1086</v>
      </c>
      <c r="I722" s="1" t="s">
        <v>1087</v>
      </c>
      <c r="J722" s="1" t="s">
        <v>25</v>
      </c>
      <c r="K722" s="1" t="s">
        <v>980</v>
      </c>
      <c r="L722" s="1" t="s">
        <v>25</v>
      </c>
      <c r="M722" s="1" t="s">
        <v>26</v>
      </c>
      <c r="N722" s="1" t="s">
        <v>25</v>
      </c>
      <c r="O722" s="1" t="s">
        <v>981</v>
      </c>
      <c r="P722" s="1" t="s">
        <v>25</v>
      </c>
      <c r="Q722" s="1" t="s">
        <v>25</v>
      </c>
      <c r="R722" s="85" t="str">
        <f t="shared" si="44"/>
        <v>6245930</v>
      </c>
      <c r="S722" t="str">
        <f>VLOOKUP(A722,Data_NV!$A:$C,3,0)</f>
        <v>Nguyễn Thị Út Hương</v>
      </c>
      <c r="T722" t="str">
        <f>VLOOKUP(A722,Data_NV!$A:$E,4,0)</f>
        <v>Kế toán - Văn phòng</v>
      </c>
      <c r="U722" s="82">
        <f>DATEVALUE(Table2[[#This Row],[Ngày]])</f>
        <v>45930</v>
      </c>
      <c r="V722" t="str">
        <f>VLOOKUP(A722,Data_NV!$A:$E,5,0)</f>
        <v>Đang làm việc</v>
      </c>
      <c r="W722" s="10">
        <f>VLOOKUP(A722,Data_NV!$A:$I,8,0)</f>
        <v>0.33333333333333331</v>
      </c>
      <c r="X722" s="10">
        <f>VLOOKUP(A722,Data_NV!$A:$I,9,0)</f>
        <v>0.70833333333333337</v>
      </c>
      <c r="Y722" s="10">
        <f>IFERROR(TIMEVALUE(Table2[[#This Row],[Vào]]),0)</f>
        <v>0.33269675925925923</v>
      </c>
      <c r="Z722" s="10">
        <f>IFERROR(TIMEVALUE(Table2[[#This Row],[Ra]]),0)</f>
        <v>0.7193518518518518</v>
      </c>
      <c r="AA722" t="str">
        <f t="shared" si="45"/>
        <v>x</v>
      </c>
      <c r="AB722" s="105">
        <f t="shared" si="46"/>
        <v>0</v>
      </c>
      <c r="AC722" s="12" t="str">
        <f>IF(VLOOKUP(A722,Data_NV!$A:$I,7,0)="Không","",IF(OR(AND(Y722=0,Z722=0),AND(Y722&lt;&gt;0,Z722&lt;&gt;0)),"","Quên chấm công"))</f>
        <v/>
      </c>
      <c r="AD722" s="12">
        <f>IF(VLOOKUP(A722,Data_NV!$A:$I,7,0)="Không",0,IF(AND(Y722=0,Z722=0),0,IF(X722&lt;=Z722,0,ROUNDDOWN((X722-Z722)*24*60,0))))</f>
        <v>0</v>
      </c>
      <c r="AE722" s="12">
        <f>IF(VLOOKUP(A722,Data_NV!$A:$I,6,0)="Không",0,IF(Z722&lt;=X722,0,ROUNDDOWN((Z722-X722)*24*60,0)))</f>
        <v>15</v>
      </c>
      <c r="AF722" s="26">
        <f t="shared" si="47"/>
        <v>0</v>
      </c>
      <c r="AG722" s="27" t="str">
        <f>IF(AC722="","",IF(COUNTIFS($AC$3:AC722,"Quên chấm công",$S$3:S722,S722)&gt;3,"Không chấm công do vi phạm quá 3 lần",IF(COUNTIFS($AC$3:AC722,"Quên chấm công",$S$3:S722,S722)&gt;2,"Trừ toàn bộ chuyên cần tháng do vi phạm lần 3",IF(COUNTIFS($AC$3:AC722,"Quên chấm công",$S$3:S722,S722)&gt;1,"Trừ 1/2 ngày lương",50000))))</f>
        <v/>
      </c>
      <c r="AH722" s="12" t="str">
        <f>IF(AF722=0,"",IF(COUNTIFS($AF$3:AF722,"&gt;0",$S$3:S722,S722)&gt;3,"Trừ toàn bộ chuyên cần tháng",""))</f>
        <v/>
      </c>
      <c r="AI722" s="12"/>
    </row>
    <row r="723" spans="1:35" x14ac:dyDescent="0.25">
      <c r="A723" s="4" t="s">
        <v>1088</v>
      </c>
      <c r="B723" s="1" t="s">
        <v>1089</v>
      </c>
      <c r="C723" s="1" t="s">
        <v>20</v>
      </c>
      <c r="D723" s="1" t="s">
        <v>21</v>
      </c>
      <c r="E723" s="1" t="s">
        <v>22</v>
      </c>
      <c r="F723" s="1" t="s">
        <v>23</v>
      </c>
      <c r="G723" s="1" t="s">
        <v>12</v>
      </c>
      <c r="H723" s="1" t="s">
        <v>24</v>
      </c>
      <c r="I723" s="1" t="s">
        <v>24</v>
      </c>
      <c r="J723" s="1" t="s">
        <v>25</v>
      </c>
      <c r="K723" s="1" t="s">
        <v>25</v>
      </c>
      <c r="L723" s="1" t="s">
        <v>26</v>
      </c>
      <c r="M723" s="1" t="s">
        <v>25</v>
      </c>
      <c r="N723" s="1" t="s">
        <v>25</v>
      </c>
      <c r="O723" s="1" t="s">
        <v>25</v>
      </c>
      <c r="P723" s="1" t="s">
        <v>25</v>
      </c>
      <c r="Q723" s="1" t="s">
        <v>25</v>
      </c>
      <c r="R723" s="85" t="str">
        <f t="shared" si="44"/>
        <v>6345901</v>
      </c>
      <c r="S723" t="str">
        <f>VLOOKUP(A723,Data_NV!$A:$C,3,0)</f>
        <v>Huỳnh Văn Hùng</v>
      </c>
      <c r="T723" t="str">
        <f>VLOOKUP(A723,Data_NV!$A:$E,4,0)</f>
        <v>Kế toán - Văn phòng</v>
      </c>
      <c r="U723" s="82">
        <f>DATEVALUE(Table2[[#This Row],[Ngày]])</f>
        <v>45901</v>
      </c>
      <c r="V723" t="str">
        <f>VLOOKUP(A723,Data_NV!$A:$E,5,0)</f>
        <v>Đang làm việc</v>
      </c>
      <c r="W723" s="10">
        <f>VLOOKUP(A723,Data_NV!$A:$I,8,0)</f>
        <v>0.33333333333333331</v>
      </c>
      <c r="X723" s="10">
        <f>VLOOKUP(A723,Data_NV!$A:$I,9,0)</f>
        <v>0.70833333333333337</v>
      </c>
      <c r="Y723" s="10">
        <f>IFERROR(TIMEVALUE(Table2[[#This Row],[Vào]]),0)</f>
        <v>0</v>
      </c>
      <c r="Z723" s="10">
        <f>IFERROR(TIMEVALUE(Table2[[#This Row],[Ra]]),0)</f>
        <v>0</v>
      </c>
      <c r="AA723" s="97" t="s">
        <v>1349</v>
      </c>
      <c r="AB723" s="105">
        <f t="shared" si="46"/>
        <v>0</v>
      </c>
      <c r="AC723" s="12" t="str">
        <f>IF(VLOOKUP(A723,Data_NV!$A:$I,7,0)="Không","",IF(OR(AND(Y723=0,Z723=0),AND(Y723&lt;&gt;0,Z723&lt;&gt;0)),"","Quên chấm công"))</f>
        <v/>
      </c>
      <c r="AD723" s="12">
        <f>IF(VLOOKUP(A723,Data_NV!$A:$I,7,0)="Không",0,IF(AND(Y723=0,Z723=0),0,IF(X723&lt;=Z723,0,ROUNDDOWN((X723-Z723)*24*60,0))))</f>
        <v>0</v>
      </c>
      <c r="AE723" s="12">
        <f>IF(VLOOKUP(A723,Data_NV!$A:$I,6,0)="Không",0,IF(Z723&lt;=X723,0,ROUNDDOWN((Z723-X723)*24*60,0)))</f>
        <v>0</v>
      </c>
      <c r="AF723" s="26">
        <f t="shared" si="47"/>
        <v>0</v>
      </c>
      <c r="AG723" s="27" t="str">
        <f>IF(AC723="","",IF(COUNTIFS($AC$3:AC723,"Quên chấm công",$S$3:S723,S723)&gt;3,"Không chấm công do vi phạm quá 3 lần",IF(COUNTIFS($AC$3:AC723,"Quên chấm công",$S$3:S723,S723)&gt;2,"Trừ toàn bộ chuyên cần tháng do vi phạm lần 3",IF(COUNTIFS($AC$3:AC723,"Quên chấm công",$S$3:S723,S723)&gt;1,"Trừ 1/2 ngày lương",50000))))</f>
        <v/>
      </c>
      <c r="AH723" s="12" t="str">
        <f>IF(AF723=0,"",IF(COUNTIFS($AF$3:AF723,"&gt;0",$S$3:S723,S723)&gt;3,"Trừ toàn bộ chuyên cần tháng",""))</f>
        <v/>
      </c>
      <c r="AI723" s="98" t="s">
        <v>1369</v>
      </c>
    </row>
    <row r="724" spans="1:35" x14ac:dyDescent="0.25">
      <c r="A724" s="4" t="s">
        <v>1088</v>
      </c>
      <c r="B724" s="1" t="s">
        <v>1089</v>
      </c>
      <c r="C724" s="1" t="s">
        <v>20</v>
      </c>
      <c r="D724" s="1" t="s">
        <v>27</v>
      </c>
      <c r="E724" s="1" t="s">
        <v>22</v>
      </c>
      <c r="F724" s="1" t="s">
        <v>23</v>
      </c>
      <c r="G724" s="1" t="s">
        <v>12</v>
      </c>
      <c r="H724" s="1" t="s">
        <v>24</v>
      </c>
      <c r="I724" s="1" t="s">
        <v>24</v>
      </c>
      <c r="J724" s="1" t="s">
        <v>25</v>
      </c>
      <c r="K724" s="1" t="s">
        <v>25</v>
      </c>
      <c r="L724" s="1" t="s">
        <v>26</v>
      </c>
      <c r="M724" s="1" t="s">
        <v>25</v>
      </c>
      <c r="N724" s="1" t="s">
        <v>25</v>
      </c>
      <c r="O724" s="1" t="s">
        <v>25</v>
      </c>
      <c r="P724" s="1" t="s">
        <v>25</v>
      </c>
      <c r="Q724" s="1" t="s">
        <v>25</v>
      </c>
      <c r="R724" s="85" t="str">
        <f t="shared" si="44"/>
        <v>6345902</v>
      </c>
      <c r="S724" t="str">
        <f>VLOOKUP(A724,Data_NV!$A:$C,3,0)</f>
        <v>Huỳnh Văn Hùng</v>
      </c>
      <c r="T724" t="str">
        <f>VLOOKUP(A724,Data_NV!$A:$E,4,0)</f>
        <v>Kế toán - Văn phòng</v>
      </c>
      <c r="U724" s="82">
        <f>DATEVALUE(Table2[[#This Row],[Ngày]])</f>
        <v>45902</v>
      </c>
      <c r="V724" t="str">
        <f>VLOOKUP(A724,Data_NV!$A:$E,5,0)</f>
        <v>Đang làm việc</v>
      </c>
      <c r="W724" s="10">
        <f>VLOOKUP(A724,Data_NV!$A:$I,8,0)</f>
        <v>0.33333333333333331</v>
      </c>
      <c r="X724" s="10">
        <f>VLOOKUP(A724,Data_NV!$A:$I,9,0)</f>
        <v>0.70833333333333337</v>
      </c>
      <c r="Y724" s="10">
        <f>IFERROR(TIMEVALUE(Table2[[#This Row],[Vào]]),0)</f>
        <v>0</v>
      </c>
      <c r="Z724" s="10">
        <f>IFERROR(TIMEVALUE(Table2[[#This Row],[Ra]]),0)</f>
        <v>0</v>
      </c>
      <c r="AA724" s="97" t="s">
        <v>1349</v>
      </c>
      <c r="AB724" s="105">
        <f t="shared" si="46"/>
        <v>0</v>
      </c>
      <c r="AC724" s="12" t="str">
        <f>IF(VLOOKUP(A724,Data_NV!$A:$I,7,0)="Không","",IF(OR(AND(Y724=0,Z724=0),AND(Y724&lt;&gt;0,Z724&lt;&gt;0)),"","Quên chấm công"))</f>
        <v/>
      </c>
      <c r="AD724" s="12">
        <f>IF(VLOOKUP(A724,Data_NV!$A:$I,7,0)="Không",0,IF(AND(Y724=0,Z724=0),0,IF(X724&lt;=Z724,0,ROUNDDOWN((X724-Z724)*24*60,0))))</f>
        <v>0</v>
      </c>
      <c r="AE724" s="12">
        <f>IF(VLOOKUP(A724,Data_NV!$A:$I,6,0)="Không",0,IF(Z724&lt;=X724,0,ROUNDDOWN((Z724-X724)*24*60,0)))</f>
        <v>0</v>
      </c>
      <c r="AF724" s="26">
        <f t="shared" si="47"/>
        <v>0</v>
      </c>
      <c r="AG724" s="27" t="str">
        <f>IF(AC724="","",IF(COUNTIFS($AC$3:AC724,"Quên chấm công",$S$3:S724,S724)&gt;3,"Không chấm công do vi phạm quá 3 lần",IF(COUNTIFS($AC$3:AC724,"Quên chấm công",$S$3:S724,S724)&gt;2,"Trừ toàn bộ chuyên cần tháng do vi phạm lần 3",IF(COUNTIFS($AC$3:AC724,"Quên chấm công",$S$3:S724,S724)&gt;1,"Trừ 1/2 ngày lương",50000))))</f>
        <v/>
      </c>
      <c r="AH724" s="12" t="str">
        <f>IF(AF724=0,"",IF(COUNTIFS($AF$3:AF724,"&gt;0",$S$3:S724,S724)&gt;3,"Trừ toàn bộ chuyên cần tháng",""))</f>
        <v/>
      </c>
      <c r="AI724" s="98" t="s">
        <v>1369</v>
      </c>
    </row>
    <row r="725" spans="1:35" x14ac:dyDescent="0.25">
      <c r="A725" s="4" t="s">
        <v>1088</v>
      </c>
      <c r="B725" s="1" t="s">
        <v>1089</v>
      </c>
      <c r="C725" s="1" t="s">
        <v>20</v>
      </c>
      <c r="D725" s="1" t="s">
        <v>28</v>
      </c>
      <c r="E725" s="1" t="s">
        <v>22</v>
      </c>
      <c r="F725" s="1" t="s">
        <v>23</v>
      </c>
      <c r="G725" s="1" t="s">
        <v>29</v>
      </c>
      <c r="H725" s="1" t="s">
        <v>1090</v>
      </c>
      <c r="I725" s="1" t="s">
        <v>1091</v>
      </c>
      <c r="J725" s="1" t="s">
        <v>25</v>
      </c>
      <c r="K725" s="1" t="s">
        <v>1092</v>
      </c>
      <c r="L725" s="1" t="s">
        <v>25</v>
      </c>
      <c r="M725" s="1" t="s">
        <v>26</v>
      </c>
      <c r="N725" s="1" t="s">
        <v>25</v>
      </c>
      <c r="O725" s="1" t="s">
        <v>428</v>
      </c>
      <c r="P725" s="1" t="s">
        <v>25</v>
      </c>
      <c r="Q725" s="1" t="s">
        <v>25</v>
      </c>
      <c r="R725" s="85" t="str">
        <f t="shared" si="44"/>
        <v>6345903</v>
      </c>
      <c r="S725" t="str">
        <f>VLOOKUP(A725,Data_NV!$A:$C,3,0)</f>
        <v>Huỳnh Văn Hùng</v>
      </c>
      <c r="T725" t="str">
        <f>VLOOKUP(A725,Data_NV!$A:$E,4,0)</f>
        <v>Kế toán - Văn phòng</v>
      </c>
      <c r="U725" s="82">
        <f>DATEVALUE(Table2[[#This Row],[Ngày]])</f>
        <v>45903</v>
      </c>
      <c r="V725" t="str">
        <f>VLOOKUP(A725,Data_NV!$A:$E,5,0)</f>
        <v>Đang làm việc</v>
      </c>
      <c r="W725" s="10">
        <f>VLOOKUP(A725,Data_NV!$A:$I,8,0)</f>
        <v>0.33333333333333331</v>
      </c>
      <c r="X725" s="10">
        <f>VLOOKUP(A725,Data_NV!$A:$I,9,0)</f>
        <v>0.70833333333333337</v>
      </c>
      <c r="Y725" s="10">
        <f>IFERROR(TIMEVALUE(Table2[[#This Row],[Vào]]),0)</f>
        <v>0.33265046296296297</v>
      </c>
      <c r="Z725" s="10">
        <f>IFERROR(TIMEVALUE(Table2[[#This Row],[Ra]]),0)</f>
        <v>0.71710648148148148</v>
      </c>
      <c r="AA725" t="str">
        <f t="shared" si="45"/>
        <v>x</v>
      </c>
      <c r="AB725" s="105">
        <f t="shared" si="46"/>
        <v>0</v>
      </c>
      <c r="AC725" s="12" t="str">
        <f>IF(VLOOKUP(A725,Data_NV!$A:$I,7,0)="Không","",IF(OR(AND(Y725=0,Z725=0),AND(Y725&lt;&gt;0,Z725&lt;&gt;0)),"","Quên chấm công"))</f>
        <v/>
      </c>
      <c r="AD725" s="12">
        <f>IF(VLOOKUP(A725,Data_NV!$A:$I,7,0)="Không",0,IF(AND(Y725=0,Z725=0),0,IF(X725&lt;=Z725,0,ROUNDDOWN((X725-Z725)*24*60,0))))</f>
        <v>0</v>
      </c>
      <c r="AE725" s="12">
        <f>IF(VLOOKUP(A725,Data_NV!$A:$I,6,0)="Không",0,IF(Z725&lt;=X725,0,ROUNDDOWN((Z725-X725)*24*60,0)))</f>
        <v>0</v>
      </c>
      <c r="AF725" s="26">
        <f t="shared" si="47"/>
        <v>0</v>
      </c>
      <c r="AG725" s="27" t="str">
        <f>IF(AC725="","",IF(COUNTIFS($AC$3:AC725,"Quên chấm công",$S$3:S725,S725)&gt;3,"Không chấm công do vi phạm quá 3 lần",IF(COUNTIFS($AC$3:AC725,"Quên chấm công",$S$3:S725,S725)&gt;2,"Trừ toàn bộ chuyên cần tháng do vi phạm lần 3",IF(COUNTIFS($AC$3:AC725,"Quên chấm công",$S$3:S725,S725)&gt;1,"Trừ 1/2 ngày lương",50000))))</f>
        <v/>
      </c>
      <c r="AH725" s="12" t="str">
        <f>IF(AF725=0,"",IF(COUNTIFS($AF$3:AF725,"&gt;0",$S$3:S725,S725)&gt;3,"Trừ toàn bộ chuyên cần tháng",""))</f>
        <v/>
      </c>
      <c r="AI725" s="12"/>
    </row>
    <row r="726" spans="1:35" x14ac:dyDescent="0.25">
      <c r="A726" s="4" t="s">
        <v>1088</v>
      </c>
      <c r="B726" s="1" t="s">
        <v>1089</v>
      </c>
      <c r="C726" s="1" t="s">
        <v>20</v>
      </c>
      <c r="D726" s="1" t="s">
        <v>35</v>
      </c>
      <c r="E726" s="1" t="s">
        <v>22</v>
      </c>
      <c r="F726" s="1" t="s">
        <v>23</v>
      </c>
      <c r="G726" s="1" t="s">
        <v>12</v>
      </c>
      <c r="H726" s="1" t="s">
        <v>1093</v>
      </c>
      <c r="I726" s="1" t="s">
        <v>1320</v>
      </c>
      <c r="J726" s="1" t="s">
        <v>358</v>
      </c>
      <c r="K726" s="1" t="s">
        <v>25</v>
      </c>
      <c r="L726" s="1" t="s">
        <v>26</v>
      </c>
      <c r="M726" s="1" t="s">
        <v>25</v>
      </c>
      <c r="N726" s="1" t="s">
        <v>25</v>
      </c>
      <c r="O726" s="1" t="s">
        <v>25</v>
      </c>
      <c r="P726" s="1" t="s">
        <v>25</v>
      </c>
      <c r="Q726" s="1" t="s">
        <v>25</v>
      </c>
      <c r="R726" s="85" t="str">
        <f t="shared" si="44"/>
        <v>6345904</v>
      </c>
      <c r="S726" t="str">
        <f>VLOOKUP(A726,Data_NV!$A:$C,3,0)</f>
        <v>Huỳnh Văn Hùng</v>
      </c>
      <c r="T726" t="str">
        <f>VLOOKUP(A726,Data_NV!$A:$E,4,0)</f>
        <v>Kế toán - Văn phòng</v>
      </c>
      <c r="U726" s="82">
        <f>DATEVALUE(Table2[[#This Row],[Ngày]])</f>
        <v>45904</v>
      </c>
      <c r="V726" t="str">
        <f>VLOOKUP(A726,Data_NV!$A:$E,5,0)</f>
        <v>Đang làm việc</v>
      </c>
      <c r="W726" s="10">
        <f>VLOOKUP(A726,Data_NV!$A:$I,8,0)</f>
        <v>0.33333333333333331</v>
      </c>
      <c r="X726" s="10">
        <f>VLOOKUP(A726,Data_NV!$A:$I,9,0)</f>
        <v>0.70833333333333337</v>
      </c>
      <c r="Y726" s="10">
        <f>IFERROR(TIMEVALUE(Table2[[#This Row],[Vào]]),0)</f>
        <v>0.33395833333333336</v>
      </c>
      <c r="Z726" s="10">
        <f>IFERROR(TIMEVALUE(Table2[[#This Row],[Ra]]),0)</f>
        <v>0.7386342592592593</v>
      </c>
      <c r="AA726" t="str">
        <f t="shared" si="45"/>
        <v>x</v>
      </c>
      <c r="AB726" s="105">
        <f t="shared" si="46"/>
        <v>0.90000000000006075</v>
      </c>
      <c r="AC726" s="12" t="str">
        <f>IF(VLOOKUP(A726,Data_NV!$A:$I,7,0)="Không","",IF(OR(AND(Y726=0,Z726=0),AND(Y726&lt;&gt;0,Z726&lt;&gt;0)),"","Quên chấm công"))</f>
        <v/>
      </c>
      <c r="AD726" s="12">
        <f>IF(VLOOKUP(A726,Data_NV!$A:$I,7,0)="Không",0,IF(AND(Y726=0,Z726=0),0,IF(X726&lt;=Z726,0,ROUNDDOWN((X726-Z726)*24*60,0))))</f>
        <v>0</v>
      </c>
      <c r="AE726" s="12">
        <f>IF(VLOOKUP(A726,Data_NV!$A:$I,6,0)="Không",0,IF(Z726&lt;=X726,0,ROUNDDOWN((Z726-X726)*24*60,0)))</f>
        <v>0</v>
      </c>
      <c r="AF726" s="26">
        <f t="shared" si="47"/>
        <v>0</v>
      </c>
      <c r="AG726" s="27" t="str">
        <f>IF(AC726="","",IF(COUNTIFS($AC$3:AC726,"Quên chấm công",$S$3:S726,S726)&gt;3,"Không chấm công do vi phạm quá 3 lần",IF(COUNTIFS($AC$3:AC726,"Quên chấm công",$S$3:S726,S726)&gt;2,"Trừ toàn bộ chuyên cần tháng do vi phạm lần 3",IF(COUNTIFS($AC$3:AC726,"Quên chấm công",$S$3:S726,S726)&gt;1,"Trừ 1/2 ngày lương",50000))))</f>
        <v/>
      </c>
      <c r="AH726" s="12" t="str">
        <f>IF(AF726=0,"",IF(COUNTIFS($AF$3:AF726,"&gt;0",$S$3:S726,S726)&gt;3,"Trừ toàn bộ chuyên cần tháng",""))</f>
        <v/>
      </c>
      <c r="AI726" s="12"/>
    </row>
    <row r="727" spans="1:35" x14ac:dyDescent="0.25">
      <c r="A727" s="4" t="s">
        <v>1088</v>
      </c>
      <c r="B727" s="1" t="s">
        <v>1089</v>
      </c>
      <c r="C727" s="1" t="s">
        <v>20</v>
      </c>
      <c r="D727" s="1" t="s">
        <v>37</v>
      </c>
      <c r="E727" s="1" t="s">
        <v>22</v>
      </c>
      <c r="F727" s="1" t="s">
        <v>23</v>
      </c>
      <c r="G727" s="1" t="s">
        <v>29</v>
      </c>
      <c r="H727" s="1" t="s">
        <v>1094</v>
      </c>
      <c r="I727" s="1" t="s">
        <v>1095</v>
      </c>
      <c r="J727" s="1" t="s">
        <v>25</v>
      </c>
      <c r="K727" s="1" t="s">
        <v>1066</v>
      </c>
      <c r="L727" s="1" t="s">
        <v>25</v>
      </c>
      <c r="M727" s="1" t="s">
        <v>26</v>
      </c>
      <c r="N727" s="1" t="s">
        <v>25</v>
      </c>
      <c r="O727" s="1" t="s">
        <v>613</v>
      </c>
      <c r="P727" s="1" t="s">
        <v>25</v>
      </c>
      <c r="Q727" s="1" t="s">
        <v>25</v>
      </c>
      <c r="R727" s="85" t="str">
        <f t="shared" si="44"/>
        <v>6345905</v>
      </c>
      <c r="S727" t="str">
        <f>VLOOKUP(A727,Data_NV!$A:$C,3,0)</f>
        <v>Huỳnh Văn Hùng</v>
      </c>
      <c r="T727" t="str">
        <f>VLOOKUP(A727,Data_NV!$A:$E,4,0)</f>
        <v>Kế toán - Văn phòng</v>
      </c>
      <c r="U727" s="82">
        <f>DATEVALUE(Table2[[#This Row],[Ngày]])</f>
        <v>45905</v>
      </c>
      <c r="V727" t="str">
        <f>VLOOKUP(A727,Data_NV!$A:$E,5,0)</f>
        <v>Đang làm việc</v>
      </c>
      <c r="W727" s="10">
        <f>VLOOKUP(A727,Data_NV!$A:$I,8,0)</f>
        <v>0.33333333333333331</v>
      </c>
      <c r="X727" s="10">
        <f>VLOOKUP(A727,Data_NV!$A:$I,9,0)</f>
        <v>0.70833333333333337</v>
      </c>
      <c r="Y727" s="10">
        <f>IFERROR(TIMEVALUE(Table2[[#This Row],[Vào]]),0)</f>
        <v>0.33219907407407406</v>
      </c>
      <c r="Z727" s="10">
        <f>IFERROR(TIMEVALUE(Table2[[#This Row],[Ra]]),0)</f>
        <v>0.73002314814814817</v>
      </c>
      <c r="AA727" t="str">
        <f t="shared" si="45"/>
        <v>x</v>
      </c>
      <c r="AB727" s="105">
        <f t="shared" si="46"/>
        <v>0</v>
      </c>
      <c r="AC727" s="12" t="str">
        <f>IF(VLOOKUP(A727,Data_NV!$A:$I,7,0)="Không","",IF(OR(AND(Y727=0,Z727=0),AND(Y727&lt;&gt;0,Z727&lt;&gt;0)),"","Quên chấm công"))</f>
        <v/>
      </c>
      <c r="AD727" s="12">
        <f>IF(VLOOKUP(A727,Data_NV!$A:$I,7,0)="Không",0,IF(AND(Y727=0,Z727=0),0,IF(X727&lt;=Z727,0,ROUNDDOWN((X727-Z727)*24*60,0))))</f>
        <v>0</v>
      </c>
      <c r="AE727" s="12">
        <f>IF(VLOOKUP(A727,Data_NV!$A:$I,6,0)="Không",0,IF(Z727&lt;=X727,0,ROUNDDOWN((Z727-X727)*24*60,0)))</f>
        <v>0</v>
      </c>
      <c r="AF727" s="26">
        <f t="shared" si="47"/>
        <v>0</v>
      </c>
      <c r="AG727" s="27" t="str">
        <f>IF(AC727="","",IF(COUNTIFS($AC$3:AC727,"Quên chấm công",$S$3:S727,S727)&gt;3,"Không chấm công do vi phạm quá 3 lần",IF(COUNTIFS($AC$3:AC727,"Quên chấm công",$S$3:S727,S727)&gt;2,"Trừ toàn bộ chuyên cần tháng do vi phạm lần 3",IF(COUNTIFS($AC$3:AC727,"Quên chấm công",$S$3:S727,S727)&gt;1,"Trừ 1/2 ngày lương",50000))))</f>
        <v/>
      </c>
      <c r="AH727" s="12" t="str">
        <f>IF(AF727=0,"",IF(COUNTIFS($AF$3:AF727,"&gt;0",$S$3:S727,S727)&gt;3,"Trừ toàn bộ chuyên cần tháng",""))</f>
        <v/>
      </c>
      <c r="AI727" s="12"/>
    </row>
    <row r="728" spans="1:35" x14ac:dyDescent="0.25">
      <c r="A728" s="4" t="s">
        <v>1088</v>
      </c>
      <c r="B728" s="1" t="s">
        <v>1089</v>
      </c>
      <c r="C728" s="1" t="s">
        <v>20</v>
      </c>
      <c r="D728" s="1" t="s">
        <v>42</v>
      </c>
      <c r="E728" s="1" t="s">
        <v>22</v>
      </c>
      <c r="F728" s="1" t="s">
        <v>23</v>
      </c>
      <c r="G728" s="1" t="s">
        <v>10</v>
      </c>
      <c r="H728" s="1" t="s">
        <v>1096</v>
      </c>
      <c r="I728" s="1" t="s">
        <v>1097</v>
      </c>
      <c r="J728" s="1" t="s">
        <v>25</v>
      </c>
      <c r="K728" s="1" t="s">
        <v>61</v>
      </c>
      <c r="L728" s="1" t="s">
        <v>25</v>
      </c>
      <c r="M728" s="1" t="s">
        <v>26</v>
      </c>
      <c r="N728" s="1" t="s">
        <v>25</v>
      </c>
      <c r="O728" s="1" t="s">
        <v>62</v>
      </c>
      <c r="P728" s="1" t="s">
        <v>25</v>
      </c>
      <c r="Q728" s="1" t="s">
        <v>25</v>
      </c>
      <c r="R728" s="85" t="str">
        <f t="shared" si="44"/>
        <v>6345906</v>
      </c>
      <c r="S728" t="str">
        <f>VLOOKUP(A728,Data_NV!$A:$C,3,0)</f>
        <v>Huỳnh Văn Hùng</v>
      </c>
      <c r="T728" t="str">
        <f>VLOOKUP(A728,Data_NV!$A:$E,4,0)</f>
        <v>Kế toán - Văn phòng</v>
      </c>
      <c r="U728" s="82">
        <f>DATEVALUE(Table2[[#This Row],[Ngày]])</f>
        <v>45906</v>
      </c>
      <c r="V728" t="str">
        <f>VLOOKUP(A728,Data_NV!$A:$E,5,0)</f>
        <v>Đang làm việc</v>
      </c>
      <c r="W728" s="10">
        <f>VLOOKUP(A728,Data_NV!$A:$I,8,0)</f>
        <v>0.33333333333333331</v>
      </c>
      <c r="X728" s="10">
        <f>VLOOKUP(A728,Data_NV!$A:$I,9,0)</f>
        <v>0.70833333333333337</v>
      </c>
      <c r="Y728" s="10">
        <f>IFERROR(TIMEVALUE(Table2[[#This Row],[Vào]]),0)</f>
        <v>0.33359953703703704</v>
      </c>
      <c r="Z728" s="10">
        <f>IFERROR(TIMEVALUE(Table2[[#This Row],[Ra]]),0)</f>
        <v>0.72934027777777777</v>
      </c>
      <c r="AA728" t="str">
        <f t="shared" si="45"/>
        <v>x</v>
      </c>
      <c r="AB728" s="105">
        <f t="shared" si="46"/>
        <v>0.38333333333336661</v>
      </c>
      <c r="AC728" s="12" t="str">
        <f>IF(VLOOKUP(A728,Data_NV!$A:$I,7,0)="Không","",IF(OR(AND(Y728=0,Z728=0),AND(Y728&lt;&gt;0,Z728&lt;&gt;0)),"","Quên chấm công"))</f>
        <v/>
      </c>
      <c r="AD728" s="12">
        <f>IF(VLOOKUP(A728,Data_NV!$A:$I,7,0)="Không",0,IF(AND(Y728=0,Z728=0),0,IF(X728&lt;=Z728,0,ROUNDDOWN((X728-Z728)*24*60,0))))</f>
        <v>0</v>
      </c>
      <c r="AE728" s="12">
        <f>IF(VLOOKUP(A728,Data_NV!$A:$I,6,0)="Không",0,IF(Z728&lt;=X728,0,ROUNDDOWN((Z728-X728)*24*60,0)))</f>
        <v>0</v>
      </c>
      <c r="AF728" s="26">
        <f t="shared" si="47"/>
        <v>0</v>
      </c>
      <c r="AG728" s="27" t="str">
        <f>IF(AC728="","",IF(COUNTIFS($AC$3:AC728,"Quên chấm công",$S$3:S728,S728)&gt;3,"Không chấm công do vi phạm quá 3 lần",IF(COUNTIFS($AC$3:AC728,"Quên chấm công",$S$3:S728,S728)&gt;2,"Trừ toàn bộ chuyên cần tháng do vi phạm lần 3",IF(COUNTIFS($AC$3:AC728,"Quên chấm công",$S$3:S728,S728)&gt;1,"Trừ 1/2 ngày lương",50000))))</f>
        <v/>
      </c>
      <c r="AH728" s="12" t="str">
        <f>IF(AF728=0,"",IF(COUNTIFS($AF$3:AF728,"&gt;0",$S$3:S728,S728)&gt;3,"Trừ toàn bộ chuyên cần tháng",""))</f>
        <v/>
      </c>
      <c r="AI728" s="12"/>
    </row>
    <row r="729" spans="1:35" x14ac:dyDescent="0.25">
      <c r="A729" s="4" t="s">
        <v>1088</v>
      </c>
      <c r="B729" s="1" t="s">
        <v>1089</v>
      </c>
      <c r="C729" s="1" t="s">
        <v>20</v>
      </c>
      <c r="D729" s="1" t="s">
        <v>47</v>
      </c>
      <c r="E729" s="1" t="s">
        <v>22</v>
      </c>
      <c r="F729" s="1" t="s">
        <v>23</v>
      </c>
      <c r="G729" s="1" t="s">
        <v>12</v>
      </c>
      <c r="H729" s="1" t="s">
        <v>24</v>
      </c>
      <c r="I729" s="1" t="s">
        <v>24</v>
      </c>
      <c r="J729" s="1" t="s">
        <v>25</v>
      </c>
      <c r="K729" s="1" t="s">
        <v>25</v>
      </c>
      <c r="L729" s="1" t="s">
        <v>26</v>
      </c>
      <c r="M729" s="1" t="s">
        <v>25</v>
      </c>
      <c r="N729" s="1" t="s">
        <v>25</v>
      </c>
      <c r="O729" s="1" t="s">
        <v>25</v>
      </c>
      <c r="P729" s="1" t="s">
        <v>25</v>
      </c>
      <c r="Q729" s="1" t="s">
        <v>25</v>
      </c>
      <c r="R729" s="85" t="str">
        <f t="shared" si="44"/>
        <v>6345907</v>
      </c>
      <c r="S729" t="str">
        <f>VLOOKUP(A729,Data_NV!$A:$C,3,0)</f>
        <v>Huỳnh Văn Hùng</v>
      </c>
      <c r="T729" t="str">
        <f>VLOOKUP(A729,Data_NV!$A:$E,4,0)</f>
        <v>Kế toán - Văn phòng</v>
      </c>
      <c r="U729" s="82">
        <f>DATEVALUE(Table2[[#This Row],[Ngày]])</f>
        <v>45907</v>
      </c>
      <c r="V729" t="str">
        <f>VLOOKUP(A729,Data_NV!$A:$E,5,0)</f>
        <v>Đang làm việc</v>
      </c>
      <c r="W729" s="10">
        <f>VLOOKUP(A729,Data_NV!$A:$I,8,0)</f>
        <v>0.33333333333333331</v>
      </c>
      <c r="X729" s="10">
        <f>VLOOKUP(A729,Data_NV!$A:$I,9,0)</f>
        <v>0.70833333333333337</v>
      </c>
      <c r="Y729" s="10">
        <f>IFERROR(TIMEVALUE(Table2[[#This Row],[Vào]]),0)</f>
        <v>0</v>
      </c>
      <c r="Z729" s="10">
        <f>IFERROR(TIMEVALUE(Table2[[#This Row],[Ra]]),0)</f>
        <v>0</v>
      </c>
      <c r="AA729" t="str">
        <f t="shared" si="45"/>
        <v>Chủ nhật</v>
      </c>
      <c r="AB729" s="105">
        <f t="shared" si="46"/>
        <v>0</v>
      </c>
      <c r="AC729" s="12" t="str">
        <f>IF(VLOOKUP(A729,Data_NV!$A:$I,7,0)="Không","",IF(OR(AND(Y729=0,Z729=0),AND(Y729&lt;&gt;0,Z729&lt;&gt;0)),"","Quên chấm công"))</f>
        <v/>
      </c>
      <c r="AD729" s="12">
        <f>IF(VLOOKUP(A729,Data_NV!$A:$I,7,0)="Không",0,IF(AND(Y729=0,Z729=0),0,IF(X729&lt;=Z729,0,ROUNDDOWN((X729-Z729)*24*60,0))))</f>
        <v>0</v>
      </c>
      <c r="AE729" s="12">
        <f>IF(VLOOKUP(A729,Data_NV!$A:$I,6,0)="Không",0,IF(Z729&lt;=X729,0,ROUNDDOWN((Z729-X729)*24*60,0)))</f>
        <v>0</v>
      </c>
      <c r="AF729" s="26">
        <f t="shared" si="47"/>
        <v>0</v>
      </c>
      <c r="AG729" s="27" t="str">
        <f>IF(AC729="","",IF(COUNTIFS($AC$3:AC729,"Quên chấm công",$S$3:S729,S729)&gt;3,"Không chấm công do vi phạm quá 3 lần",IF(COUNTIFS($AC$3:AC729,"Quên chấm công",$S$3:S729,S729)&gt;2,"Trừ toàn bộ chuyên cần tháng do vi phạm lần 3",IF(COUNTIFS($AC$3:AC729,"Quên chấm công",$S$3:S729,S729)&gt;1,"Trừ 1/2 ngày lương",50000))))</f>
        <v/>
      </c>
      <c r="AH729" s="12" t="str">
        <f>IF(AF729=0,"",IF(COUNTIFS($AF$3:AF729,"&gt;0",$S$3:S729,S729)&gt;3,"Trừ toàn bộ chuyên cần tháng",""))</f>
        <v/>
      </c>
      <c r="AI729" s="12"/>
    </row>
    <row r="730" spans="1:35" x14ac:dyDescent="0.25">
      <c r="A730" s="4" t="s">
        <v>1088</v>
      </c>
      <c r="B730" s="1" t="s">
        <v>1089</v>
      </c>
      <c r="C730" s="1" t="s">
        <v>20</v>
      </c>
      <c r="D730" s="1" t="s">
        <v>48</v>
      </c>
      <c r="E730" s="1" t="s">
        <v>22</v>
      </c>
      <c r="F730" s="1" t="s">
        <v>23</v>
      </c>
      <c r="G730" s="1" t="s">
        <v>12</v>
      </c>
      <c r="H730" s="1" t="s">
        <v>1098</v>
      </c>
      <c r="I730" s="1" t="s">
        <v>1319</v>
      </c>
      <c r="J730" s="1" t="s">
        <v>358</v>
      </c>
      <c r="K730" s="1" t="s">
        <v>25</v>
      </c>
      <c r="L730" s="1" t="s">
        <v>26</v>
      </c>
      <c r="M730" s="1" t="s">
        <v>25</v>
      </c>
      <c r="N730" s="1" t="s">
        <v>25</v>
      </c>
      <c r="O730" s="1" t="s">
        <v>25</v>
      </c>
      <c r="P730" s="1" t="s">
        <v>25</v>
      </c>
      <c r="Q730" s="1" t="s">
        <v>25</v>
      </c>
      <c r="R730" s="85" t="str">
        <f t="shared" si="44"/>
        <v>6345908</v>
      </c>
      <c r="S730" t="str">
        <f>VLOOKUP(A730,Data_NV!$A:$C,3,0)</f>
        <v>Huỳnh Văn Hùng</v>
      </c>
      <c r="T730" t="str">
        <f>VLOOKUP(A730,Data_NV!$A:$E,4,0)</f>
        <v>Kế toán - Văn phòng</v>
      </c>
      <c r="U730" s="82">
        <f>DATEVALUE(Table2[[#This Row],[Ngày]])</f>
        <v>45908</v>
      </c>
      <c r="V730" t="str">
        <f>VLOOKUP(A730,Data_NV!$A:$E,5,0)</f>
        <v>Đang làm việc</v>
      </c>
      <c r="W730" s="10">
        <f>VLOOKUP(A730,Data_NV!$A:$I,8,0)</f>
        <v>0.33333333333333331</v>
      </c>
      <c r="X730" s="10">
        <f>VLOOKUP(A730,Data_NV!$A:$I,9,0)</f>
        <v>0.70833333333333337</v>
      </c>
      <c r="Y730" s="10">
        <f>IFERROR(TIMEVALUE(Table2[[#This Row],[Vào]]),0)</f>
        <v>0.33429398148148148</v>
      </c>
      <c r="Z730" s="10">
        <f>IFERROR(TIMEVALUE(Table2[[#This Row],[Ra]]),0)</f>
        <v>0.72127314814814814</v>
      </c>
      <c r="AA730" t="str">
        <f t="shared" si="45"/>
        <v>x</v>
      </c>
      <c r="AB730" s="105">
        <f t="shared" si="46"/>
        <v>1.3833333333333631</v>
      </c>
      <c r="AC730" s="12" t="str">
        <f>IF(VLOOKUP(A730,Data_NV!$A:$I,7,0)="Không","",IF(OR(AND(Y730=0,Z730=0),AND(Y730&lt;&gt;0,Z730&lt;&gt;0)),"","Quên chấm công"))</f>
        <v/>
      </c>
      <c r="AD730" s="12">
        <f>IF(VLOOKUP(A730,Data_NV!$A:$I,7,0)="Không",0,IF(AND(Y730=0,Z730=0),0,IF(X730&lt;=Z730,0,ROUNDDOWN((X730-Z730)*24*60,0))))</f>
        <v>0</v>
      </c>
      <c r="AE730" s="12">
        <f>IF(VLOOKUP(A730,Data_NV!$A:$I,6,0)="Không",0,IF(Z730&lt;=X730,0,ROUNDDOWN((Z730-X730)*24*60,0)))</f>
        <v>0</v>
      </c>
      <c r="AF730" s="26">
        <f t="shared" si="47"/>
        <v>0</v>
      </c>
      <c r="AG730" s="27" t="str">
        <f>IF(AC730="","",IF(COUNTIFS($AC$3:AC730,"Quên chấm công",$S$3:S730,S730)&gt;3,"Không chấm công do vi phạm quá 3 lần",IF(COUNTIFS($AC$3:AC730,"Quên chấm công",$S$3:S730,S730)&gt;2,"Trừ toàn bộ chuyên cần tháng do vi phạm lần 3",IF(COUNTIFS($AC$3:AC730,"Quên chấm công",$S$3:S730,S730)&gt;1,"Trừ 1/2 ngày lương",50000))))</f>
        <v/>
      </c>
      <c r="AH730" s="12" t="str">
        <f>IF(AF730=0,"",IF(COUNTIFS($AF$3:AF730,"&gt;0",$S$3:S730,S730)&gt;3,"Trừ toàn bộ chuyên cần tháng",""))</f>
        <v/>
      </c>
      <c r="AI730" s="12"/>
    </row>
    <row r="731" spans="1:35" x14ac:dyDescent="0.25">
      <c r="A731" s="4" t="s">
        <v>1088</v>
      </c>
      <c r="B731" s="1" t="s">
        <v>1089</v>
      </c>
      <c r="C731" s="1" t="s">
        <v>20</v>
      </c>
      <c r="D731" s="1" t="s">
        <v>53</v>
      </c>
      <c r="E731" s="1" t="s">
        <v>22</v>
      </c>
      <c r="F731" s="1" t="s">
        <v>23</v>
      </c>
      <c r="G731" s="1" t="s">
        <v>12</v>
      </c>
      <c r="H731" s="1" t="s">
        <v>1221</v>
      </c>
      <c r="I731" s="1" t="s">
        <v>1362</v>
      </c>
      <c r="J731" s="1" t="s">
        <v>25</v>
      </c>
      <c r="K731" s="1" t="s">
        <v>25</v>
      </c>
      <c r="L731" s="1" t="s">
        <v>26</v>
      </c>
      <c r="M731" s="1" t="s">
        <v>25</v>
      </c>
      <c r="N731" s="1" t="s">
        <v>25</v>
      </c>
      <c r="O731" s="1" t="s">
        <v>25</v>
      </c>
      <c r="P731" s="1" t="s">
        <v>25</v>
      </c>
      <c r="Q731" s="1" t="s">
        <v>25</v>
      </c>
      <c r="R731" s="85" t="str">
        <f t="shared" si="44"/>
        <v>6345909</v>
      </c>
      <c r="S731" t="str">
        <f>VLOOKUP(A731,Data_NV!$A:$C,3,0)</f>
        <v>Huỳnh Văn Hùng</v>
      </c>
      <c r="T731" t="str">
        <f>VLOOKUP(A731,Data_NV!$A:$E,4,0)</f>
        <v>Kế toán - Văn phòng</v>
      </c>
      <c r="U731" s="82">
        <f>DATEVALUE(Table2[[#This Row],[Ngày]])</f>
        <v>45909</v>
      </c>
      <c r="V731" t="str">
        <f>VLOOKUP(A731,Data_NV!$A:$E,5,0)</f>
        <v>Đang làm việc</v>
      </c>
      <c r="W731" s="10">
        <f>VLOOKUP(A731,Data_NV!$A:$I,8,0)</f>
        <v>0.33333333333333331</v>
      </c>
      <c r="X731" s="10">
        <f>VLOOKUP(A731,Data_NV!$A:$I,9,0)</f>
        <v>0.70833333333333337</v>
      </c>
      <c r="Y731" s="10">
        <f>IFERROR(TIMEVALUE(Table2[[#This Row],[Vào]]),0)</f>
        <v>0.33333333333333331</v>
      </c>
      <c r="Z731" s="10">
        <f>IFERROR(TIMEVALUE(Table2[[#This Row],[Ra]]),0)</f>
        <v>0.7085069444444444</v>
      </c>
      <c r="AA731" t="str">
        <f t="shared" si="45"/>
        <v>x</v>
      </c>
      <c r="AB731" s="105">
        <f t="shared" si="46"/>
        <v>0</v>
      </c>
      <c r="AC731" s="12" t="str">
        <f>IF(VLOOKUP(A731,Data_NV!$A:$I,7,0)="Không","",IF(OR(AND(Y731=0,Z731=0),AND(Y731&lt;&gt;0,Z731&lt;&gt;0)),"","Quên chấm công"))</f>
        <v/>
      </c>
      <c r="AD731" s="12">
        <f>IF(VLOOKUP(A731,Data_NV!$A:$I,7,0)="Không",0,IF(AND(Y731=0,Z731=0),0,IF(X731&lt;=Z731,0,ROUNDDOWN((X731-Z731)*24*60,0))))</f>
        <v>0</v>
      </c>
      <c r="AE731" s="12">
        <f>IF(VLOOKUP(A731,Data_NV!$A:$I,6,0)="Không",0,IF(Z731&lt;=X731,0,ROUNDDOWN((Z731-X731)*24*60,0)))</f>
        <v>0</v>
      </c>
      <c r="AF731" s="26">
        <f t="shared" si="47"/>
        <v>0</v>
      </c>
      <c r="AG731" s="27" t="str">
        <f>IF(AC731="","",IF(COUNTIFS($AC$3:AC731,"Quên chấm công",$S$3:S731,S731)&gt;3,"Không chấm công do vi phạm quá 3 lần",IF(COUNTIFS($AC$3:AC731,"Quên chấm công",$S$3:S731,S731)&gt;2,"Trừ toàn bộ chuyên cần tháng do vi phạm lần 3",IF(COUNTIFS($AC$3:AC731,"Quên chấm công",$S$3:S731,S731)&gt;1,"Trừ 1/2 ngày lương",50000))))</f>
        <v/>
      </c>
      <c r="AH731" s="12" t="str">
        <f>IF(AF731=0,"",IF(COUNTIFS($AF$3:AF731,"&gt;0",$S$3:S731,S731)&gt;3,"Trừ toàn bộ chuyên cần tháng",""))</f>
        <v/>
      </c>
      <c r="AI731" s="89" t="s">
        <v>1363</v>
      </c>
    </row>
    <row r="732" spans="1:35" x14ac:dyDescent="0.25">
      <c r="A732" s="4" t="s">
        <v>1088</v>
      </c>
      <c r="B732" s="1" t="s">
        <v>1089</v>
      </c>
      <c r="C732" s="1" t="s">
        <v>20</v>
      </c>
      <c r="D732" s="1" t="s">
        <v>58</v>
      </c>
      <c r="E732" s="1" t="s">
        <v>22</v>
      </c>
      <c r="F732" s="1" t="s">
        <v>23</v>
      </c>
      <c r="G732" s="1" t="s">
        <v>12</v>
      </c>
      <c r="H732" s="1" t="s">
        <v>1221</v>
      </c>
      <c r="I732" s="1" t="s">
        <v>1362</v>
      </c>
      <c r="J732" s="1" t="s">
        <v>25</v>
      </c>
      <c r="K732" s="1" t="s">
        <v>25</v>
      </c>
      <c r="L732" s="1" t="s">
        <v>26</v>
      </c>
      <c r="M732" s="1" t="s">
        <v>25</v>
      </c>
      <c r="N732" s="1" t="s">
        <v>25</v>
      </c>
      <c r="O732" s="1" t="s">
        <v>25</v>
      </c>
      <c r="P732" s="1" t="s">
        <v>25</v>
      </c>
      <c r="Q732" s="1" t="s">
        <v>25</v>
      </c>
      <c r="R732" s="85" t="str">
        <f t="shared" si="44"/>
        <v>6345910</v>
      </c>
      <c r="S732" t="str">
        <f>VLOOKUP(A732,Data_NV!$A:$C,3,0)</f>
        <v>Huỳnh Văn Hùng</v>
      </c>
      <c r="T732" t="str">
        <f>VLOOKUP(A732,Data_NV!$A:$E,4,0)</f>
        <v>Kế toán - Văn phòng</v>
      </c>
      <c r="U732" s="82">
        <f>DATEVALUE(Table2[[#This Row],[Ngày]])</f>
        <v>45910</v>
      </c>
      <c r="V732" t="str">
        <f>VLOOKUP(A732,Data_NV!$A:$E,5,0)</f>
        <v>Đang làm việc</v>
      </c>
      <c r="W732" s="10">
        <f>VLOOKUP(A732,Data_NV!$A:$I,8,0)</f>
        <v>0.33333333333333331</v>
      </c>
      <c r="X732" s="10">
        <f>VLOOKUP(A732,Data_NV!$A:$I,9,0)</f>
        <v>0.70833333333333337</v>
      </c>
      <c r="Y732" s="10">
        <f>IFERROR(TIMEVALUE(Table2[[#This Row],[Vào]]),0)</f>
        <v>0.33333333333333331</v>
      </c>
      <c r="Z732" s="10">
        <f>IFERROR(TIMEVALUE(Table2[[#This Row],[Ra]]),0)</f>
        <v>0.7085069444444444</v>
      </c>
      <c r="AA732" t="str">
        <f t="shared" si="45"/>
        <v>x</v>
      </c>
      <c r="AB732" s="105">
        <f t="shared" si="46"/>
        <v>0</v>
      </c>
      <c r="AC732" s="12" t="str">
        <f>IF(VLOOKUP(A732,Data_NV!$A:$I,7,0)="Không","",IF(OR(AND(Y732=0,Z732=0),AND(Y732&lt;&gt;0,Z732&lt;&gt;0)),"","Quên chấm công"))</f>
        <v/>
      </c>
      <c r="AD732" s="12">
        <f>IF(VLOOKUP(A732,Data_NV!$A:$I,7,0)="Không",0,IF(AND(Y732=0,Z732=0),0,IF(X732&lt;=Z732,0,ROUNDDOWN((X732-Z732)*24*60,0))))</f>
        <v>0</v>
      </c>
      <c r="AE732" s="12">
        <f>IF(VLOOKUP(A732,Data_NV!$A:$I,6,0)="Không",0,IF(Z732&lt;=X732,0,ROUNDDOWN((Z732-X732)*24*60,0)))</f>
        <v>0</v>
      </c>
      <c r="AF732" s="26">
        <f t="shared" si="47"/>
        <v>0</v>
      </c>
      <c r="AG732" s="27" t="str">
        <f>IF(AC732="","",IF(COUNTIFS($AC$3:AC732,"Quên chấm công",$S$3:S732,S732)&gt;3,"Không chấm công do vi phạm quá 3 lần",IF(COUNTIFS($AC$3:AC732,"Quên chấm công",$S$3:S732,S732)&gt;2,"Trừ toàn bộ chuyên cần tháng do vi phạm lần 3",IF(COUNTIFS($AC$3:AC732,"Quên chấm công",$S$3:S732,S732)&gt;1,"Trừ 1/2 ngày lương",50000))))</f>
        <v/>
      </c>
      <c r="AH732" s="12" t="str">
        <f>IF(AF732=0,"",IF(COUNTIFS($AF$3:AF732,"&gt;0",$S$3:S732,S732)&gt;3,"Trừ toàn bộ chuyên cần tháng",""))</f>
        <v/>
      </c>
      <c r="AI732" s="89" t="s">
        <v>1363</v>
      </c>
    </row>
    <row r="733" spans="1:35" x14ac:dyDescent="0.25">
      <c r="A733" s="4" t="s">
        <v>1088</v>
      </c>
      <c r="B733" s="1" t="s">
        <v>1089</v>
      </c>
      <c r="C733" s="1" t="s">
        <v>20</v>
      </c>
      <c r="D733" s="1" t="s">
        <v>63</v>
      </c>
      <c r="E733" s="1" t="s">
        <v>22</v>
      </c>
      <c r="F733" s="1" t="s">
        <v>23</v>
      </c>
      <c r="G733" s="1" t="s">
        <v>29</v>
      </c>
      <c r="H733" s="1" t="s">
        <v>856</v>
      </c>
      <c r="I733" s="1" t="s">
        <v>1099</v>
      </c>
      <c r="J733" s="1" t="s">
        <v>25</v>
      </c>
      <c r="K733" s="1" t="s">
        <v>315</v>
      </c>
      <c r="L733" s="1" t="s">
        <v>25</v>
      </c>
      <c r="M733" s="1" t="s">
        <v>26</v>
      </c>
      <c r="N733" s="1" t="s">
        <v>25</v>
      </c>
      <c r="O733" s="1" t="s">
        <v>1100</v>
      </c>
      <c r="P733" s="1" t="s">
        <v>25</v>
      </c>
      <c r="Q733" s="1" t="s">
        <v>25</v>
      </c>
      <c r="R733" s="85" t="str">
        <f t="shared" si="44"/>
        <v>6345911</v>
      </c>
      <c r="S733" t="str">
        <f>VLOOKUP(A733,Data_NV!$A:$C,3,0)</f>
        <v>Huỳnh Văn Hùng</v>
      </c>
      <c r="T733" t="str">
        <f>VLOOKUP(A733,Data_NV!$A:$E,4,0)</f>
        <v>Kế toán - Văn phòng</v>
      </c>
      <c r="U733" s="82">
        <f>DATEVALUE(Table2[[#This Row],[Ngày]])</f>
        <v>45911</v>
      </c>
      <c r="V733" t="str">
        <f>VLOOKUP(A733,Data_NV!$A:$E,5,0)</f>
        <v>Đang làm việc</v>
      </c>
      <c r="W733" s="10">
        <f>VLOOKUP(A733,Data_NV!$A:$I,8,0)</f>
        <v>0.33333333333333331</v>
      </c>
      <c r="X733" s="10">
        <f>VLOOKUP(A733,Data_NV!$A:$I,9,0)</f>
        <v>0.70833333333333337</v>
      </c>
      <c r="Y733" s="10">
        <f>IFERROR(TIMEVALUE(Table2[[#This Row],[Vào]]),0)</f>
        <v>0.33119212962962963</v>
      </c>
      <c r="Z733" s="10">
        <f>IFERROR(TIMEVALUE(Table2[[#This Row],[Ra]]),0)</f>
        <v>0.78545138888888888</v>
      </c>
      <c r="AA733" t="str">
        <f t="shared" si="45"/>
        <v>x</v>
      </c>
      <c r="AB733" s="105">
        <f t="shared" si="46"/>
        <v>0</v>
      </c>
      <c r="AC733" s="12" t="str">
        <f>IF(VLOOKUP(A733,Data_NV!$A:$I,7,0)="Không","",IF(OR(AND(Y733=0,Z733=0),AND(Y733&lt;&gt;0,Z733&lt;&gt;0)),"","Quên chấm công"))</f>
        <v/>
      </c>
      <c r="AD733" s="12">
        <f>IF(VLOOKUP(A733,Data_NV!$A:$I,7,0)="Không",0,IF(AND(Y733=0,Z733=0),0,IF(X733&lt;=Z733,0,ROUNDDOWN((X733-Z733)*24*60,0))))</f>
        <v>0</v>
      </c>
      <c r="AE733" s="12">
        <f>IF(VLOOKUP(A733,Data_NV!$A:$I,6,0)="Không",0,IF(Z733&lt;=X733,0,ROUNDDOWN((Z733-X733)*24*60,0)))</f>
        <v>0</v>
      </c>
      <c r="AF733" s="26">
        <f t="shared" si="47"/>
        <v>0</v>
      </c>
      <c r="AG733" s="27" t="str">
        <f>IF(AC733="","",IF(COUNTIFS($AC$3:AC733,"Quên chấm công",$S$3:S733,S733)&gt;3,"Không chấm công do vi phạm quá 3 lần",IF(COUNTIFS($AC$3:AC733,"Quên chấm công",$S$3:S733,S733)&gt;2,"Trừ toàn bộ chuyên cần tháng do vi phạm lần 3",IF(COUNTIFS($AC$3:AC733,"Quên chấm công",$S$3:S733,S733)&gt;1,"Trừ 1/2 ngày lương",50000))))</f>
        <v/>
      </c>
      <c r="AH733" s="12" t="str">
        <f>IF(AF733=0,"",IF(COUNTIFS($AF$3:AF733,"&gt;0",$S$3:S733,S733)&gt;3,"Trừ toàn bộ chuyên cần tháng",""))</f>
        <v/>
      </c>
      <c r="AI733" s="12"/>
    </row>
    <row r="734" spans="1:35" x14ac:dyDescent="0.25">
      <c r="A734" s="4" t="s">
        <v>1088</v>
      </c>
      <c r="B734" s="1" t="s">
        <v>1089</v>
      </c>
      <c r="C734" s="1" t="s">
        <v>20</v>
      </c>
      <c r="D734" s="1" t="s">
        <v>67</v>
      </c>
      <c r="E734" s="1" t="s">
        <v>22</v>
      </c>
      <c r="F734" s="1" t="s">
        <v>23</v>
      </c>
      <c r="G734" s="1" t="s">
        <v>29</v>
      </c>
      <c r="H734" s="1" t="s">
        <v>1101</v>
      </c>
      <c r="I734" s="1" t="s">
        <v>1102</v>
      </c>
      <c r="J734" s="1" t="s">
        <v>25</v>
      </c>
      <c r="K734" s="1" t="s">
        <v>1103</v>
      </c>
      <c r="L734" s="1" t="s">
        <v>25</v>
      </c>
      <c r="M734" s="1" t="s">
        <v>26</v>
      </c>
      <c r="N734" s="1" t="s">
        <v>25</v>
      </c>
      <c r="O734" s="1" t="s">
        <v>742</v>
      </c>
      <c r="P734" s="1" t="s">
        <v>25</v>
      </c>
      <c r="Q734" s="1" t="s">
        <v>25</v>
      </c>
      <c r="R734" s="85" t="str">
        <f t="shared" si="44"/>
        <v>6345912</v>
      </c>
      <c r="S734" t="str">
        <f>VLOOKUP(A734,Data_NV!$A:$C,3,0)</f>
        <v>Huỳnh Văn Hùng</v>
      </c>
      <c r="T734" t="str">
        <f>VLOOKUP(A734,Data_NV!$A:$E,4,0)</f>
        <v>Kế toán - Văn phòng</v>
      </c>
      <c r="U734" s="82">
        <f>DATEVALUE(Table2[[#This Row],[Ngày]])</f>
        <v>45912</v>
      </c>
      <c r="V734" t="str">
        <f>VLOOKUP(A734,Data_NV!$A:$E,5,0)</f>
        <v>Đang làm việc</v>
      </c>
      <c r="W734" s="10">
        <f>VLOOKUP(A734,Data_NV!$A:$I,8,0)</f>
        <v>0.33333333333333331</v>
      </c>
      <c r="X734" s="10">
        <f>VLOOKUP(A734,Data_NV!$A:$I,9,0)</f>
        <v>0.70833333333333337</v>
      </c>
      <c r="Y734" s="10">
        <f>IFERROR(TIMEVALUE(Table2[[#This Row],[Vào]]),0)</f>
        <v>0.3321527777777778</v>
      </c>
      <c r="Z734" s="10">
        <f>IFERROR(TIMEVALUE(Table2[[#This Row],[Ra]]),0)</f>
        <v>0.74924768518518514</v>
      </c>
      <c r="AA734" t="str">
        <f t="shared" si="45"/>
        <v>x</v>
      </c>
      <c r="AB734" s="105">
        <f t="shared" si="46"/>
        <v>0</v>
      </c>
      <c r="AC734" s="12" t="str">
        <f>IF(VLOOKUP(A734,Data_NV!$A:$I,7,0)="Không","",IF(OR(AND(Y734=0,Z734=0),AND(Y734&lt;&gt;0,Z734&lt;&gt;0)),"","Quên chấm công"))</f>
        <v/>
      </c>
      <c r="AD734" s="12">
        <f>IF(VLOOKUP(A734,Data_NV!$A:$I,7,0)="Không",0,IF(AND(Y734=0,Z734=0),0,IF(X734&lt;=Z734,0,ROUNDDOWN((X734-Z734)*24*60,0))))</f>
        <v>0</v>
      </c>
      <c r="AE734" s="12">
        <f>IF(VLOOKUP(A734,Data_NV!$A:$I,6,0)="Không",0,IF(Z734&lt;=X734,0,ROUNDDOWN((Z734-X734)*24*60,0)))</f>
        <v>0</v>
      </c>
      <c r="AF734" s="26">
        <f t="shared" si="47"/>
        <v>0</v>
      </c>
      <c r="AG734" s="27" t="str">
        <f>IF(AC734="","",IF(COUNTIFS($AC$3:AC734,"Quên chấm công",$S$3:S734,S734)&gt;3,"Không chấm công do vi phạm quá 3 lần",IF(COUNTIFS($AC$3:AC734,"Quên chấm công",$S$3:S734,S734)&gt;2,"Trừ toàn bộ chuyên cần tháng do vi phạm lần 3",IF(COUNTIFS($AC$3:AC734,"Quên chấm công",$S$3:S734,S734)&gt;1,"Trừ 1/2 ngày lương",50000))))</f>
        <v/>
      </c>
      <c r="AH734" s="12" t="str">
        <f>IF(AF734=0,"",IF(COUNTIFS($AF$3:AF734,"&gt;0",$S$3:S734,S734)&gt;3,"Trừ toàn bộ chuyên cần tháng",""))</f>
        <v/>
      </c>
      <c r="AI734" s="12"/>
    </row>
    <row r="735" spans="1:35" x14ac:dyDescent="0.25">
      <c r="A735" s="4" t="s">
        <v>1088</v>
      </c>
      <c r="B735" s="1" t="s">
        <v>1089</v>
      </c>
      <c r="C735" s="1" t="s">
        <v>20</v>
      </c>
      <c r="D735" s="1" t="s">
        <v>69</v>
      </c>
      <c r="E735" s="1" t="s">
        <v>22</v>
      </c>
      <c r="F735" s="1" t="s">
        <v>23</v>
      </c>
      <c r="G735" s="1" t="s">
        <v>12</v>
      </c>
      <c r="H735" s="1" t="s">
        <v>24</v>
      </c>
      <c r="I735" s="1" t="s">
        <v>24</v>
      </c>
      <c r="J735" s="1" t="s">
        <v>25</v>
      </c>
      <c r="K735" s="1" t="s">
        <v>25</v>
      </c>
      <c r="L735" s="1" t="s">
        <v>26</v>
      </c>
      <c r="M735" s="1" t="s">
        <v>25</v>
      </c>
      <c r="N735" s="1" t="s">
        <v>25</v>
      </c>
      <c r="O735" s="1" t="s">
        <v>25</v>
      </c>
      <c r="P735" s="1" t="s">
        <v>25</v>
      </c>
      <c r="Q735" s="1" t="s">
        <v>25</v>
      </c>
      <c r="R735" s="85" t="str">
        <f t="shared" si="44"/>
        <v>6345913</v>
      </c>
      <c r="S735" t="str">
        <f>VLOOKUP(A735,Data_NV!$A:$C,3,0)</f>
        <v>Huỳnh Văn Hùng</v>
      </c>
      <c r="T735" t="str">
        <f>VLOOKUP(A735,Data_NV!$A:$E,4,0)</f>
        <v>Kế toán - Văn phòng</v>
      </c>
      <c r="U735" s="82">
        <f>DATEVALUE(Table2[[#This Row],[Ngày]])</f>
        <v>45913</v>
      </c>
      <c r="V735" t="str">
        <f>VLOOKUP(A735,Data_NV!$A:$E,5,0)</f>
        <v>Đang làm việc</v>
      </c>
      <c r="W735" s="10">
        <f>VLOOKUP(A735,Data_NV!$A:$I,8,0)</f>
        <v>0.33333333333333331</v>
      </c>
      <c r="X735" s="10">
        <f>VLOOKUP(A735,Data_NV!$A:$I,9,0)</f>
        <v>0.70833333333333337</v>
      </c>
      <c r="Y735" s="10">
        <f>IFERROR(TIMEVALUE(Table2[[#This Row],[Vào]]),0)</f>
        <v>0</v>
      </c>
      <c r="Z735" s="10">
        <f>IFERROR(TIMEVALUE(Table2[[#This Row],[Ra]]),0)</f>
        <v>0</v>
      </c>
      <c r="AA735" s="100" t="s">
        <v>1373</v>
      </c>
      <c r="AB735" s="105">
        <f t="shared" si="46"/>
        <v>0</v>
      </c>
      <c r="AD735" s="12">
        <f>IF(VLOOKUP(A735,Data_NV!$A:$I,7,0)="Không",0,IF(AND(Y735=0,Z735=0),0,IF(X735&lt;=Z735,0,ROUNDDOWN((X735-Z735)*24*60,0))))</f>
        <v>0</v>
      </c>
      <c r="AE735" s="12">
        <f>IF(VLOOKUP(A735,Data_NV!$A:$I,6,0)="Không",0,IF(Z735&lt;=X735,0,ROUNDDOWN((Z735-X735)*24*60,0)))</f>
        <v>0</v>
      </c>
      <c r="AF735" s="26">
        <f t="shared" si="47"/>
        <v>0</v>
      </c>
      <c r="AG735" s="27" t="str">
        <f>IF(AC735="","",IF(COUNTIFS($AC$3:AC735,"Quên chấm công",$S$3:S735,S735)&gt;3,"Không chấm công do vi phạm quá 3 lần",IF(COUNTIFS($AC$3:AC735,"Quên chấm công",$S$3:S735,S735)&gt;2,"Trừ toàn bộ chuyên cần tháng do vi phạm lần 3",IF(COUNTIFS($AC$3:AC735,"Quên chấm công",$S$3:S735,S735)&gt;1,"Trừ 1/2 ngày lương",50000))))</f>
        <v/>
      </c>
      <c r="AH735" s="12" t="str">
        <f>IF(AF735=0,"",IF(COUNTIFS($AF$3:AF735,"&gt;0",$S$3:S735,S735)&gt;3,"Trừ toàn bộ chuyên cần tháng",""))</f>
        <v/>
      </c>
      <c r="AI735" s="12" t="s">
        <v>1407</v>
      </c>
    </row>
    <row r="736" spans="1:35" x14ac:dyDescent="0.25">
      <c r="A736" s="4" t="s">
        <v>1088</v>
      </c>
      <c r="B736" s="1" t="s">
        <v>1089</v>
      </c>
      <c r="C736" s="1" t="s">
        <v>20</v>
      </c>
      <c r="D736" s="1" t="s">
        <v>74</v>
      </c>
      <c r="E736" s="1" t="s">
        <v>22</v>
      </c>
      <c r="F736" s="1" t="s">
        <v>23</v>
      </c>
      <c r="G736" s="1" t="s">
        <v>12</v>
      </c>
      <c r="H736" s="1" t="s">
        <v>24</v>
      </c>
      <c r="I736" s="1" t="s">
        <v>24</v>
      </c>
      <c r="J736" s="1" t="s">
        <v>25</v>
      </c>
      <c r="K736" s="1" t="s">
        <v>25</v>
      </c>
      <c r="L736" s="1" t="s">
        <v>26</v>
      </c>
      <c r="M736" s="1" t="s">
        <v>25</v>
      </c>
      <c r="N736" s="1" t="s">
        <v>25</v>
      </c>
      <c r="O736" s="1" t="s">
        <v>25</v>
      </c>
      <c r="P736" s="1" t="s">
        <v>25</v>
      </c>
      <c r="Q736" s="1" t="s">
        <v>25</v>
      </c>
      <c r="R736" s="85" t="str">
        <f t="shared" si="44"/>
        <v>6345914</v>
      </c>
      <c r="S736" t="str">
        <f>VLOOKUP(A736,Data_NV!$A:$C,3,0)</f>
        <v>Huỳnh Văn Hùng</v>
      </c>
      <c r="T736" t="str">
        <f>VLOOKUP(A736,Data_NV!$A:$E,4,0)</f>
        <v>Kế toán - Văn phòng</v>
      </c>
      <c r="U736" s="82">
        <f>DATEVALUE(Table2[[#This Row],[Ngày]])</f>
        <v>45914</v>
      </c>
      <c r="V736" t="str">
        <f>VLOOKUP(A736,Data_NV!$A:$E,5,0)</f>
        <v>Đang làm việc</v>
      </c>
      <c r="W736" s="10">
        <f>VLOOKUP(A736,Data_NV!$A:$I,8,0)</f>
        <v>0.33333333333333331</v>
      </c>
      <c r="X736" s="10">
        <f>VLOOKUP(A736,Data_NV!$A:$I,9,0)</f>
        <v>0.70833333333333337</v>
      </c>
      <c r="Y736" s="10">
        <f>IFERROR(TIMEVALUE(Table2[[#This Row],[Vào]]),0)</f>
        <v>0</v>
      </c>
      <c r="Z736" s="10">
        <f>IFERROR(TIMEVALUE(Table2[[#This Row],[Ra]]),0)</f>
        <v>0</v>
      </c>
      <c r="AA736" t="str">
        <f t="shared" si="45"/>
        <v>Chủ nhật</v>
      </c>
      <c r="AB736" s="105">
        <f t="shared" si="46"/>
        <v>0</v>
      </c>
      <c r="AC736" s="12" t="str">
        <f>IF(VLOOKUP(A736,Data_NV!$A:$I,7,0)="Không","",IF(OR(AND(Y736=0,Z736=0),AND(Y736&lt;&gt;0,Z736&lt;&gt;0)),"","Quên chấm công"))</f>
        <v/>
      </c>
      <c r="AD736" s="12">
        <f>IF(VLOOKUP(A736,Data_NV!$A:$I,7,0)="Không",0,IF(AND(Y736=0,Z736=0),0,IF(X736&lt;=Z736,0,ROUNDDOWN((X736-Z736)*24*60,0))))</f>
        <v>0</v>
      </c>
      <c r="AE736" s="12">
        <f>IF(VLOOKUP(A736,Data_NV!$A:$I,6,0)="Không",0,IF(Z736&lt;=X736,0,ROUNDDOWN((Z736-X736)*24*60,0)))</f>
        <v>0</v>
      </c>
      <c r="AF736" s="26">
        <f t="shared" si="47"/>
        <v>0</v>
      </c>
      <c r="AG736" s="27" t="str">
        <f>IF(AC736="","",IF(COUNTIFS($AC$3:AC736,"Quên chấm công",$S$3:S736,S736)&gt;3,"Không chấm công do vi phạm quá 3 lần",IF(COUNTIFS($AC$3:AC736,"Quên chấm công",$S$3:S736,S736)&gt;2,"Trừ toàn bộ chuyên cần tháng do vi phạm lần 3",IF(COUNTIFS($AC$3:AC736,"Quên chấm công",$S$3:S736,S736)&gt;1,"Trừ 1/2 ngày lương",50000))))</f>
        <v/>
      </c>
      <c r="AH736" s="12" t="str">
        <f>IF(AF736=0,"",IF(COUNTIFS($AF$3:AF736,"&gt;0",$S$3:S736,S736)&gt;3,"Trừ toàn bộ chuyên cần tháng",""))</f>
        <v/>
      </c>
      <c r="AI736" s="12"/>
    </row>
    <row r="737" spans="1:35" x14ac:dyDescent="0.25">
      <c r="A737" s="4" t="s">
        <v>1088</v>
      </c>
      <c r="B737" s="1" t="s">
        <v>1089</v>
      </c>
      <c r="C737" s="1" t="s">
        <v>20</v>
      </c>
      <c r="D737" s="1" t="s">
        <v>75</v>
      </c>
      <c r="E737" s="1" t="s">
        <v>22</v>
      </c>
      <c r="F737" s="1" t="s">
        <v>23</v>
      </c>
      <c r="G737" s="1" t="s">
        <v>12</v>
      </c>
      <c r="H737" s="1" t="s">
        <v>24</v>
      </c>
      <c r="I737" s="1" t="s">
        <v>24</v>
      </c>
      <c r="J737" s="1" t="s">
        <v>25</v>
      </c>
      <c r="K737" s="1" t="s">
        <v>25</v>
      </c>
      <c r="L737" s="1" t="s">
        <v>26</v>
      </c>
      <c r="M737" s="1" t="s">
        <v>25</v>
      </c>
      <c r="N737" s="1" t="s">
        <v>25</v>
      </c>
      <c r="O737" s="1" t="s">
        <v>25</v>
      </c>
      <c r="P737" s="1" t="s">
        <v>25</v>
      </c>
      <c r="Q737" s="1" t="s">
        <v>25</v>
      </c>
      <c r="R737" s="85" t="str">
        <f t="shared" si="44"/>
        <v>6345915</v>
      </c>
      <c r="S737" t="str">
        <f>VLOOKUP(A737,Data_NV!$A:$C,3,0)</f>
        <v>Huỳnh Văn Hùng</v>
      </c>
      <c r="T737" t="str">
        <f>VLOOKUP(A737,Data_NV!$A:$E,4,0)</f>
        <v>Kế toán - Văn phòng</v>
      </c>
      <c r="U737" s="82">
        <f>DATEVALUE(Table2[[#This Row],[Ngày]])</f>
        <v>45915</v>
      </c>
      <c r="V737" t="str">
        <f>VLOOKUP(A737,Data_NV!$A:$E,5,0)</f>
        <v>Đang làm việc</v>
      </c>
      <c r="W737" s="10">
        <f>VLOOKUP(A737,Data_NV!$A:$I,8,0)</f>
        <v>0.33333333333333331</v>
      </c>
      <c r="X737" s="10">
        <f>VLOOKUP(A737,Data_NV!$A:$I,9,0)</f>
        <v>0.70833333333333337</v>
      </c>
      <c r="Y737" s="10">
        <f>IFERROR(TIMEVALUE(Table2[[#This Row],[Vào]]),0)</f>
        <v>0</v>
      </c>
      <c r="Z737" s="10">
        <f>IFERROR(TIMEVALUE(Table2[[#This Row],[Ra]]),0)</f>
        <v>0</v>
      </c>
      <c r="AA737" t="s">
        <v>1373</v>
      </c>
      <c r="AB737" s="105">
        <f t="shared" si="46"/>
        <v>0</v>
      </c>
      <c r="AC737" s="12" t="str">
        <f>IF(VLOOKUP(A737,Data_NV!$A:$I,7,0)="Không","",IF(OR(AND(Y737=0,Z737=0),AND(Y737&lt;&gt;0,Z737&lt;&gt;0)),"","Quên chấm công"))</f>
        <v/>
      </c>
      <c r="AD737" s="12">
        <f>IF(VLOOKUP(A737,Data_NV!$A:$I,7,0)="Không",0,IF(AND(Y737=0,Z737=0),0,IF(X737&lt;=Z737,0,ROUNDDOWN((X737-Z737)*24*60,0))))</f>
        <v>0</v>
      </c>
      <c r="AE737" s="12">
        <f>IF(VLOOKUP(A737,Data_NV!$A:$I,6,0)="Không",0,IF(Z737&lt;=X737,0,ROUNDDOWN((Z737-X737)*24*60,0)))</f>
        <v>0</v>
      </c>
      <c r="AF737" s="26">
        <f t="shared" si="47"/>
        <v>0</v>
      </c>
      <c r="AG737" s="27" t="str">
        <f>IF(AC737="","",IF(COUNTIFS($AC$3:AC737,"Quên chấm công",$S$3:S737,S737)&gt;3,"Không chấm công do vi phạm quá 3 lần",IF(COUNTIFS($AC$3:AC737,"Quên chấm công",$S$3:S737,S737)&gt;2,"Trừ toàn bộ chuyên cần tháng do vi phạm lần 3",IF(COUNTIFS($AC$3:AC737,"Quên chấm công",$S$3:S737,S737)&gt;1,"Trừ 1/2 ngày lương",50000))))</f>
        <v/>
      </c>
      <c r="AH737" s="12" t="str">
        <f>IF(AF737=0,"",IF(COUNTIFS($AF$3:AF737,"&gt;0",$S$3:S737,S737)&gt;3,"Trừ toàn bộ chuyên cần tháng",""))</f>
        <v/>
      </c>
      <c r="AI737" s="12" t="s">
        <v>1407</v>
      </c>
    </row>
    <row r="738" spans="1:35" x14ac:dyDescent="0.25">
      <c r="A738" s="4" t="s">
        <v>1088</v>
      </c>
      <c r="B738" s="1" t="s">
        <v>1089</v>
      </c>
      <c r="C738" s="1" t="s">
        <v>20</v>
      </c>
      <c r="D738" s="1" t="s">
        <v>80</v>
      </c>
      <c r="E738" s="1" t="s">
        <v>22</v>
      </c>
      <c r="F738" s="1" t="s">
        <v>23</v>
      </c>
      <c r="G738" s="1" t="s">
        <v>29</v>
      </c>
      <c r="H738" s="1" t="s">
        <v>1104</v>
      </c>
      <c r="I738" s="1" t="s">
        <v>1105</v>
      </c>
      <c r="J738" s="1" t="s">
        <v>25</v>
      </c>
      <c r="K738" s="1" t="s">
        <v>321</v>
      </c>
      <c r="L738" s="1" t="s">
        <v>25</v>
      </c>
      <c r="M738" s="1" t="s">
        <v>26</v>
      </c>
      <c r="N738" s="1" t="s">
        <v>25</v>
      </c>
      <c r="O738" s="1" t="s">
        <v>322</v>
      </c>
      <c r="P738" s="1" t="s">
        <v>25</v>
      </c>
      <c r="Q738" s="1" t="s">
        <v>25</v>
      </c>
      <c r="R738" s="85" t="str">
        <f t="shared" si="44"/>
        <v>6345916</v>
      </c>
      <c r="S738" t="str">
        <f>VLOOKUP(A738,Data_NV!$A:$C,3,0)</f>
        <v>Huỳnh Văn Hùng</v>
      </c>
      <c r="T738" t="str">
        <f>VLOOKUP(A738,Data_NV!$A:$E,4,0)</f>
        <v>Kế toán - Văn phòng</v>
      </c>
      <c r="U738" s="82">
        <f>DATEVALUE(Table2[[#This Row],[Ngày]])</f>
        <v>45916</v>
      </c>
      <c r="V738" t="str">
        <f>VLOOKUP(A738,Data_NV!$A:$E,5,0)</f>
        <v>Đang làm việc</v>
      </c>
      <c r="W738" s="10">
        <f>VLOOKUP(A738,Data_NV!$A:$I,8,0)</f>
        <v>0.33333333333333331</v>
      </c>
      <c r="X738" s="10">
        <f>VLOOKUP(A738,Data_NV!$A:$I,9,0)</f>
        <v>0.70833333333333337</v>
      </c>
      <c r="Y738" s="10">
        <f>IFERROR(TIMEVALUE(Table2[[#This Row],[Vào]]),0)</f>
        <v>0.33097222222222222</v>
      </c>
      <c r="Z738" s="10">
        <f>IFERROR(TIMEVALUE(Table2[[#This Row],[Ra]]),0)</f>
        <v>0.72682870370370367</v>
      </c>
      <c r="AA738" t="str">
        <f t="shared" si="45"/>
        <v>x</v>
      </c>
      <c r="AB738" s="105">
        <f t="shared" si="46"/>
        <v>0</v>
      </c>
      <c r="AC738" s="12" t="str">
        <f>IF(VLOOKUP(A738,Data_NV!$A:$I,7,0)="Không","",IF(OR(AND(Y738=0,Z738=0),AND(Y738&lt;&gt;0,Z738&lt;&gt;0)),"","Quên chấm công"))</f>
        <v/>
      </c>
      <c r="AD738" s="12">
        <f>IF(VLOOKUP(A738,Data_NV!$A:$I,7,0)="Không",0,IF(AND(Y738=0,Z738=0),0,IF(X738&lt;=Z738,0,ROUNDDOWN((X738-Z738)*24*60,0))))</f>
        <v>0</v>
      </c>
      <c r="AE738" s="12">
        <f>IF(VLOOKUP(A738,Data_NV!$A:$I,6,0)="Không",0,IF(Z738&lt;=X738,0,ROUNDDOWN((Z738-X738)*24*60,0)))</f>
        <v>0</v>
      </c>
      <c r="AF738" s="26">
        <f t="shared" si="47"/>
        <v>0</v>
      </c>
      <c r="AG738" s="27" t="str">
        <f>IF(AC738="","",IF(COUNTIFS($AC$3:AC738,"Quên chấm công",$S$3:S738,S738)&gt;3,"Không chấm công do vi phạm quá 3 lần",IF(COUNTIFS($AC$3:AC738,"Quên chấm công",$S$3:S738,S738)&gt;2,"Trừ toàn bộ chuyên cần tháng do vi phạm lần 3",IF(COUNTIFS($AC$3:AC738,"Quên chấm công",$S$3:S738,S738)&gt;1,"Trừ 1/2 ngày lương",50000))))</f>
        <v/>
      </c>
      <c r="AH738" s="12" t="str">
        <f>IF(AF738=0,"",IF(COUNTIFS($AF$3:AF738,"&gt;0",$S$3:S738,S738)&gt;3,"Trừ toàn bộ chuyên cần tháng",""))</f>
        <v/>
      </c>
      <c r="AI738" s="12"/>
    </row>
    <row r="739" spans="1:35" x14ac:dyDescent="0.25">
      <c r="A739" s="4" t="s">
        <v>1088</v>
      </c>
      <c r="B739" s="1" t="s">
        <v>1089</v>
      </c>
      <c r="C739" s="1" t="s">
        <v>20</v>
      </c>
      <c r="D739" s="1" t="s">
        <v>85</v>
      </c>
      <c r="E739" s="1" t="s">
        <v>22</v>
      </c>
      <c r="F739" s="1" t="s">
        <v>23</v>
      </c>
      <c r="G739" s="1" t="s">
        <v>29</v>
      </c>
      <c r="H739" s="1" t="s">
        <v>1106</v>
      </c>
      <c r="I739" s="1" t="s">
        <v>1107</v>
      </c>
      <c r="J739" s="1" t="s">
        <v>25</v>
      </c>
      <c r="K739" s="1" t="s">
        <v>1108</v>
      </c>
      <c r="L739" s="1" t="s">
        <v>25</v>
      </c>
      <c r="M739" s="1" t="s">
        <v>26</v>
      </c>
      <c r="N739" s="1" t="s">
        <v>25</v>
      </c>
      <c r="O739" s="1" t="s">
        <v>700</v>
      </c>
      <c r="P739" s="1" t="s">
        <v>25</v>
      </c>
      <c r="Q739" s="1" t="s">
        <v>25</v>
      </c>
      <c r="R739" s="85" t="str">
        <f t="shared" si="44"/>
        <v>6345917</v>
      </c>
      <c r="S739" t="str">
        <f>VLOOKUP(A739,Data_NV!$A:$C,3,0)</f>
        <v>Huỳnh Văn Hùng</v>
      </c>
      <c r="T739" t="str">
        <f>VLOOKUP(A739,Data_NV!$A:$E,4,0)</f>
        <v>Kế toán - Văn phòng</v>
      </c>
      <c r="U739" s="82">
        <f>DATEVALUE(Table2[[#This Row],[Ngày]])</f>
        <v>45917</v>
      </c>
      <c r="V739" t="str">
        <f>VLOOKUP(A739,Data_NV!$A:$E,5,0)</f>
        <v>Đang làm việc</v>
      </c>
      <c r="W739" s="10">
        <f>VLOOKUP(A739,Data_NV!$A:$I,8,0)</f>
        <v>0.33333333333333331</v>
      </c>
      <c r="X739" s="10">
        <f>VLOOKUP(A739,Data_NV!$A:$I,9,0)</f>
        <v>0.70833333333333337</v>
      </c>
      <c r="Y739" s="10">
        <f>IFERROR(TIMEVALUE(Table2[[#This Row],[Vào]]),0)</f>
        <v>0.3319212962962963</v>
      </c>
      <c r="Z739" s="10">
        <f>IFERROR(TIMEVALUE(Table2[[#This Row],[Ra]]),0)</f>
        <v>0.74087962962962961</v>
      </c>
      <c r="AA739" t="str">
        <f t="shared" si="45"/>
        <v>x</v>
      </c>
      <c r="AB739" s="105">
        <f t="shared" si="46"/>
        <v>0</v>
      </c>
      <c r="AC739" s="12" t="str">
        <f>IF(VLOOKUP(A739,Data_NV!$A:$I,7,0)="Không","",IF(OR(AND(Y739=0,Z739=0),AND(Y739&lt;&gt;0,Z739&lt;&gt;0)),"","Quên chấm công"))</f>
        <v/>
      </c>
      <c r="AD739" s="12">
        <f>IF(VLOOKUP(A739,Data_NV!$A:$I,7,0)="Không",0,IF(AND(Y739=0,Z739=0),0,IF(X739&lt;=Z739,0,ROUNDDOWN((X739-Z739)*24*60,0))))</f>
        <v>0</v>
      </c>
      <c r="AE739" s="12">
        <f>IF(VLOOKUP(A739,Data_NV!$A:$I,6,0)="Không",0,IF(Z739&lt;=X739,0,ROUNDDOWN((Z739-X739)*24*60,0)))</f>
        <v>0</v>
      </c>
      <c r="AF739" s="26">
        <f t="shared" si="47"/>
        <v>0</v>
      </c>
      <c r="AG739" s="27" t="str">
        <f>IF(AC739="","",IF(COUNTIFS($AC$3:AC739,"Quên chấm công",$S$3:S739,S739)&gt;3,"Không chấm công do vi phạm quá 3 lần",IF(COUNTIFS($AC$3:AC739,"Quên chấm công",$S$3:S739,S739)&gt;2,"Trừ toàn bộ chuyên cần tháng do vi phạm lần 3",IF(COUNTIFS($AC$3:AC739,"Quên chấm công",$S$3:S739,S739)&gt;1,"Trừ 1/2 ngày lương",50000))))</f>
        <v/>
      </c>
      <c r="AH739" s="12" t="str">
        <f>IF(AF739=0,"",IF(COUNTIFS($AF$3:AF739,"&gt;0",$S$3:S739,S739)&gt;3,"Trừ toàn bộ chuyên cần tháng",""))</f>
        <v/>
      </c>
      <c r="AI739" s="12"/>
    </row>
    <row r="740" spans="1:35" x14ac:dyDescent="0.25">
      <c r="A740" s="4" t="s">
        <v>1088</v>
      </c>
      <c r="B740" s="1" t="s">
        <v>1089</v>
      </c>
      <c r="C740" s="1" t="s">
        <v>20</v>
      </c>
      <c r="D740" s="1" t="s">
        <v>90</v>
      </c>
      <c r="E740" s="1" t="s">
        <v>22</v>
      </c>
      <c r="F740" s="1" t="s">
        <v>23</v>
      </c>
      <c r="G740" s="1" t="s">
        <v>29</v>
      </c>
      <c r="H740" s="1" t="s">
        <v>1109</v>
      </c>
      <c r="I740" s="1" t="s">
        <v>1110</v>
      </c>
      <c r="J740" s="1" t="s">
        <v>25</v>
      </c>
      <c r="K740" s="1" t="s">
        <v>1111</v>
      </c>
      <c r="L740" s="1" t="s">
        <v>25</v>
      </c>
      <c r="M740" s="1" t="s">
        <v>26</v>
      </c>
      <c r="N740" s="1" t="s">
        <v>25</v>
      </c>
      <c r="O740" s="1" t="s">
        <v>682</v>
      </c>
      <c r="P740" s="1" t="s">
        <v>25</v>
      </c>
      <c r="Q740" s="1" t="s">
        <v>25</v>
      </c>
      <c r="R740" s="85" t="str">
        <f t="shared" si="44"/>
        <v>6345918</v>
      </c>
      <c r="S740" t="str">
        <f>VLOOKUP(A740,Data_NV!$A:$C,3,0)</f>
        <v>Huỳnh Văn Hùng</v>
      </c>
      <c r="T740" t="str">
        <f>VLOOKUP(A740,Data_NV!$A:$E,4,0)</f>
        <v>Kế toán - Văn phòng</v>
      </c>
      <c r="U740" s="82">
        <f>DATEVALUE(Table2[[#This Row],[Ngày]])</f>
        <v>45918</v>
      </c>
      <c r="V740" t="str">
        <f>VLOOKUP(A740,Data_NV!$A:$E,5,0)</f>
        <v>Đang làm việc</v>
      </c>
      <c r="W740" s="10">
        <f>VLOOKUP(A740,Data_NV!$A:$I,8,0)</f>
        <v>0.33333333333333331</v>
      </c>
      <c r="X740" s="10">
        <f>VLOOKUP(A740,Data_NV!$A:$I,9,0)</f>
        <v>0.70833333333333337</v>
      </c>
      <c r="Y740" s="10">
        <f>IFERROR(TIMEVALUE(Table2[[#This Row],[Vào]]),0)</f>
        <v>0.32848379629629632</v>
      </c>
      <c r="Z740" s="10">
        <f>IFERROR(TIMEVALUE(Table2[[#This Row],[Ra]]),0)</f>
        <v>0.71152777777777776</v>
      </c>
      <c r="AA740" t="str">
        <f t="shared" si="45"/>
        <v>x</v>
      </c>
      <c r="AB740" s="105">
        <f t="shared" si="46"/>
        <v>0</v>
      </c>
      <c r="AC740" s="12" t="str">
        <f>IF(VLOOKUP(A740,Data_NV!$A:$I,7,0)="Không","",IF(OR(AND(Y740=0,Z740=0),AND(Y740&lt;&gt;0,Z740&lt;&gt;0)),"","Quên chấm công"))</f>
        <v/>
      </c>
      <c r="AD740" s="12">
        <f>IF(VLOOKUP(A740,Data_NV!$A:$I,7,0)="Không",0,IF(AND(Y740=0,Z740=0),0,IF(X740&lt;=Z740,0,ROUNDDOWN((X740-Z740)*24*60,0))))</f>
        <v>0</v>
      </c>
      <c r="AE740" s="12">
        <f>IF(VLOOKUP(A740,Data_NV!$A:$I,6,0)="Không",0,IF(Z740&lt;=X740,0,ROUNDDOWN((Z740-X740)*24*60,0)))</f>
        <v>0</v>
      </c>
      <c r="AF740" s="26">
        <f t="shared" si="47"/>
        <v>0</v>
      </c>
      <c r="AG740" s="27" t="str">
        <f>IF(AC740="","",IF(COUNTIFS($AC$3:AC740,"Quên chấm công",$S$3:S740,S740)&gt;3,"Không chấm công do vi phạm quá 3 lần",IF(COUNTIFS($AC$3:AC740,"Quên chấm công",$S$3:S740,S740)&gt;2,"Trừ toàn bộ chuyên cần tháng do vi phạm lần 3",IF(COUNTIFS($AC$3:AC740,"Quên chấm công",$S$3:S740,S740)&gt;1,"Trừ 1/2 ngày lương",50000))))</f>
        <v/>
      </c>
      <c r="AH740" s="12" t="str">
        <f>IF(AF740=0,"",IF(COUNTIFS($AF$3:AF740,"&gt;0",$S$3:S740,S740)&gt;3,"Trừ toàn bộ chuyên cần tháng",""))</f>
        <v/>
      </c>
      <c r="AI740" s="12"/>
    </row>
    <row r="741" spans="1:35" x14ac:dyDescent="0.25">
      <c r="A741" s="4" t="s">
        <v>1088</v>
      </c>
      <c r="B741" s="1" t="s">
        <v>1089</v>
      </c>
      <c r="C741" s="1" t="s">
        <v>20</v>
      </c>
      <c r="D741" s="1" t="s">
        <v>95</v>
      </c>
      <c r="E741" s="1" t="s">
        <v>22</v>
      </c>
      <c r="F741" s="1" t="s">
        <v>23</v>
      </c>
      <c r="G741" s="1" t="s">
        <v>29</v>
      </c>
      <c r="H741" s="1" t="s">
        <v>1112</v>
      </c>
      <c r="I741" s="1" t="s">
        <v>1113</v>
      </c>
      <c r="J741" s="1" t="s">
        <v>25</v>
      </c>
      <c r="K741" s="1" t="s">
        <v>1114</v>
      </c>
      <c r="L741" s="1" t="s">
        <v>25</v>
      </c>
      <c r="M741" s="1" t="s">
        <v>26</v>
      </c>
      <c r="N741" s="1" t="s">
        <v>25</v>
      </c>
      <c r="O741" s="1" t="s">
        <v>33</v>
      </c>
      <c r="P741" s="1" t="s">
        <v>1083</v>
      </c>
      <c r="Q741" s="1" t="s">
        <v>25</v>
      </c>
      <c r="R741" s="85" t="str">
        <f t="shared" si="44"/>
        <v>6345919</v>
      </c>
      <c r="S741" t="str">
        <f>VLOOKUP(A741,Data_NV!$A:$C,3,0)</f>
        <v>Huỳnh Văn Hùng</v>
      </c>
      <c r="T741" t="str">
        <f>VLOOKUP(A741,Data_NV!$A:$E,4,0)</f>
        <v>Kế toán - Văn phòng</v>
      </c>
      <c r="U741" s="82">
        <f>DATEVALUE(Table2[[#This Row],[Ngày]])</f>
        <v>45919</v>
      </c>
      <c r="V741" t="str">
        <f>VLOOKUP(A741,Data_NV!$A:$E,5,0)</f>
        <v>Đang làm việc</v>
      </c>
      <c r="W741" s="10">
        <f>VLOOKUP(A741,Data_NV!$A:$I,8,0)</f>
        <v>0.33333333333333331</v>
      </c>
      <c r="X741" s="10">
        <f>VLOOKUP(A741,Data_NV!$A:$I,9,0)</f>
        <v>0.70833333333333337</v>
      </c>
      <c r="Y741" s="10">
        <f>IFERROR(TIMEVALUE(Table2[[#This Row],[Vào]]),0)</f>
        <v>0.33225694444444442</v>
      </c>
      <c r="Z741" s="10">
        <f>IFERROR(TIMEVALUE(Table2[[#This Row],[Ra]]),0)</f>
        <v>0.80337962962962961</v>
      </c>
      <c r="AA741" t="str">
        <f t="shared" si="45"/>
        <v>x</v>
      </c>
      <c r="AB741" s="105">
        <f t="shared" si="46"/>
        <v>0</v>
      </c>
      <c r="AC741" s="12" t="str">
        <f>IF(VLOOKUP(A741,Data_NV!$A:$I,7,0)="Không","",IF(OR(AND(Y741=0,Z741=0),AND(Y741&lt;&gt;0,Z741&lt;&gt;0)),"","Quên chấm công"))</f>
        <v/>
      </c>
      <c r="AD741" s="12">
        <f>IF(VLOOKUP(A741,Data_NV!$A:$I,7,0)="Không",0,IF(AND(Y741=0,Z741=0),0,IF(X741&lt;=Z741,0,ROUNDDOWN((X741-Z741)*24*60,0))))</f>
        <v>0</v>
      </c>
      <c r="AE741" s="12">
        <f>IF(VLOOKUP(A741,Data_NV!$A:$I,6,0)="Không",0,IF(Z741&lt;=X741,0,ROUNDDOWN((Z741-X741)*24*60,0)))</f>
        <v>0</v>
      </c>
      <c r="AF741" s="26">
        <f t="shared" si="47"/>
        <v>0</v>
      </c>
      <c r="AG741" s="27" t="str">
        <f>IF(AC741="","",IF(COUNTIFS($AC$3:AC741,"Quên chấm công",$S$3:S741,S741)&gt;3,"Không chấm công do vi phạm quá 3 lần",IF(COUNTIFS($AC$3:AC741,"Quên chấm công",$S$3:S741,S741)&gt;2,"Trừ toàn bộ chuyên cần tháng do vi phạm lần 3",IF(COUNTIFS($AC$3:AC741,"Quên chấm công",$S$3:S741,S741)&gt;1,"Trừ 1/2 ngày lương",50000))))</f>
        <v/>
      </c>
      <c r="AH741" s="12" t="str">
        <f>IF(AF741=0,"",IF(COUNTIFS($AF$3:AF741,"&gt;0",$S$3:S741,S741)&gt;3,"Trừ toàn bộ chuyên cần tháng",""))</f>
        <v/>
      </c>
      <c r="AI741" s="12"/>
    </row>
    <row r="742" spans="1:35" x14ac:dyDescent="0.25">
      <c r="A742" s="4" t="s">
        <v>1088</v>
      </c>
      <c r="B742" s="1" t="s">
        <v>1089</v>
      </c>
      <c r="C742" s="1" t="s">
        <v>20</v>
      </c>
      <c r="D742" s="1" t="s">
        <v>100</v>
      </c>
      <c r="E742" s="1" t="s">
        <v>22</v>
      </c>
      <c r="F742" s="1" t="s">
        <v>23</v>
      </c>
      <c r="G742" s="1" t="s">
        <v>29</v>
      </c>
      <c r="H742" s="1" t="s">
        <v>1115</v>
      </c>
      <c r="I742" s="1" t="s">
        <v>1116</v>
      </c>
      <c r="J742" s="1" t="s">
        <v>25</v>
      </c>
      <c r="K742" s="1" t="s">
        <v>650</v>
      </c>
      <c r="L742" s="1" t="s">
        <v>25</v>
      </c>
      <c r="M742" s="1" t="s">
        <v>26</v>
      </c>
      <c r="N742" s="1" t="s">
        <v>25</v>
      </c>
      <c r="O742" s="1" t="s">
        <v>34</v>
      </c>
      <c r="P742" s="1" t="s">
        <v>25</v>
      </c>
      <c r="Q742" s="1" t="s">
        <v>25</v>
      </c>
      <c r="R742" s="85" t="str">
        <f t="shared" si="44"/>
        <v>6345920</v>
      </c>
      <c r="S742" t="str">
        <f>VLOOKUP(A742,Data_NV!$A:$C,3,0)</f>
        <v>Huỳnh Văn Hùng</v>
      </c>
      <c r="T742" t="str">
        <f>VLOOKUP(A742,Data_NV!$A:$E,4,0)</f>
        <v>Kế toán - Văn phòng</v>
      </c>
      <c r="U742" s="82">
        <f>DATEVALUE(Table2[[#This Row],[Ngày]])</f>
        <v>45920</v>
      </c>
      <c r="V742" t="str">
        <f>VLOOKUP(A742,Data_NV!$A:$E,5,0)</f>
        <v>Đang làm việc</v>
      </c>
      <c r="W742" s="10">
        <f>VLOOKUP(A742,Data_NV!$A:$I,8,0)</f>
        <v>0.33333333333333331</v>
      </c>
      <c r="X742" s="10">
        <f>VLOOKUP(A742,Data_NV!$A:$I,9,0)</f>
        <v>0.70833333333333337</v>
      </c>
      <c r="Y742" s="10">
        <f>IFERROR(TIMEVALUE(Table2[[#This Row],[Vào]]),0)</f>
        <v>0.33258101851851851</v>
      </c>
      <c r="Z742" s="10">
        <f>IFERROR(TIMEVALUE(Table2[[#This Row],[Ra]]),0)</f>
        <v>0.73675925925925922</v>
      </c>
      <c r="AA742" t="str">
        <f t="shared" si="45"/>
        <v>x</v>
      </c>
      <c r="AB742" s="105">
        <f t="shared" si="46"/>
        <v>0</v>
      </c>
      <c r="AC742" s="12" t="str">
        <f>IF(VLOOKUP(A742,Data_NV!$A:$I,7,0)="Không","",IF(OR(AND(Y742=0,Z742=0),AND(Y742&lt;&gt;0,Z742&lt;&gt;0)),"","Quên chấm công"))</f>
        <v/>
      </c>
      <c r="AD742" s="12">
        <f>IF(VLOOKUP(A742,Data_NV!$A:$I,7,0)="Không",0,IF(AND(Y742=0,Z742=0),0,IF(X742&lt;=Z742,0,ROUNDDOWN((X742-Z742)*24*60,0))))</f>
        <v>0</v>
      </c>
      <c r="AE742" s="12">
        <f>IF(VLOOKUP(A742,Data_NV!$A:$I,6,0)="Không",0,IF(Z742&lt;=X742,0,ROUNDDOWN((Z742-X742)*24*60,0)))</f>
        <v>0</v>
      </c>
      <c r="AF742" s="26">
        <f t="shared" si="47"/>
        <v>0</v>
      </c>
      <c r="AG742" s="27" t="str">
        <f>IF(AC742="","",IF(COUNTIFS($AC$3:AC742,"Quên chấm công",$S$3:S742,S742)&gt;3,"Không chấm công do vi phạm quá 3 lần",IF(COUNTIFS($AC$3:AC742,"Quên chấm công",$S$3:S742,S742)&gt;2,"Trừ toàn bộ chuyên cần tháng do vi phạm lần 3",IF(COUNTIFS($AC$3:AC742,"Quên chấm công",$S$3:S742,S742)&gt;1,"Trừ 1/2 ngày lương",50000))))</f>
        <v/>
      </c>
      <c r="AH742" s="12" t="str">
        <f>IF(AF742=0,"",IF(COUNTIFS($AF$3:AF742,"&gt;0",$S$3:S742,S742)&gt;3,"Trừ toàn bộ chuyên cần tháng",""))</f>
        <v/>
      </c>
      <c r="AI742" s="12"/>
    </row>
    <row r="743" spans="1:35" x14ac:dyDescent="0.25">
      <c r="A743" s="4" t="s">
        <v>1088</v>
      </c>
      <c r="B743" s="1" t="s">
        <v>1089</v>
      </c>
      <c r="C743" s="1" t="s">
        <v>20</v>
      </c>
      <c r="D743" s="1" t="s">
        <v>105</v>
      </c>
      <c r="E743" s="1" t="s">
        <v>22</v>
      </c>
      <c r="F743" s="1" t="s">
        <v>23</v>
      </c>
      <c r="G743" s="1" t="s">
        <v>12</v>
      </c>
      <c r="H743" s="1" t="s">
        <v>24</v>
      </c>
      <c r="I743" s="1" t="s">
        <v>24</v>
      </c>
      <c r="J743" s="1" t="s">
        <v>25</v>
      </c>
      <c r="K743" s="1" t="s">
        <v>25</v>
      </c>
      <c r="L743" s="1" t="s">
        <v>26</v>
      </c>
      <c r="M743" s="1" t="s">
        <v>25</v>
      </c>
      <c r="N743" s="1" t="s">
        <v>25</v>
      </c>
      <c r="O743" s="1" t="s">
        <v>25</v>
      </c>
      <c r="P743" s="1" t="s">
        <v>25</v>
      </c>
      <c r="Q743" s="1" t="s">
        <v>25</v>
      </c>
      <c r="R743" s="85" t="str">
        <f t="shared" si="44"/>
        <v>6345921</v>
      </c>
      <c r="S743" t="str">
        <f>VLOOKUP(A743,Data_NV!$A:$C,3,0)</f>
        <v>Huỳnh Văn Hùng</v>
      </c>
      <c r="T743" t="str">
        <f>VLOOKUP(A743,Data_NV!$A:$E,4,0)</f>
        <v>Kế toán - Văn phòng</v>
      </c>
      <c r="U743" s="82">
        <f>DATEVALUE(Table2[[#This Row],[Ngày]])</f>
        <v>45921</v>
      </c>
      <c r="V743" t="str">
        <f>VLOOKUP(A743,Data_NV!$A:$E,5,0)</f>
        <v>Đang làm việc</v>
      </c>
      <c r="W743" s="10">
        <f>VLOOKUP(A743,Data_NV!$A:$I,8,0)</f>
        <v>0.33333333333333331</v>
      </c>
      <c r="X743" s="10">
        <f>VLOOKUP(A743,Data_NV!$A:$I,9,0)</f>
        <v>0.70833333333333337</v>
      </c>
      <c r="Y743" s="10">
        <f>IFERROR(TIMEVALUE(Table2[[#This Row],[Vào]]),0)</f>
        <v>0</v>
      </c>
      <c r="Z743" s="10">
        <f>IFERROR(TIMEVALUE(Table2[[#This Row],[Ra]]),0)</f>
        <v>0</v>
      </c>
      <c r="AA743" t="str">
        <f t="shared" si="45"/>
        <v>Chủ nhật</v>
      </c>
      <c r="AB743" s="105">
        <f t="shared" si="46"/>
        <v>0</v>
      </c>
      <c r="AC743" s="12" t="str">
        <f>IF(VLOOKUP(A743,Data_NV!$A:$I,7,0)="Không","",IF(OR(AND(Y743=0,Z743=0),AND(Y743&lt;&gt;0,Z743&lt;&gt;0)),"","Quên chấm công"))</f>
        <v/>
      </c>
      <c r="AD743" s="12">
        <f>IF(VLOOKUP(A743,Data_NV!$A:$I,7,0)="Không",0,IF(AND(Y743=0,Z743=0),0,IF(X743&lt;=Z743,0,ROUNDDOWN((X743-Z743)*24*60,0))))</f>
        <v>0</v>
      </c>
      <c r="AE743" s="12">
        <f>IF(VLOOKUP(A743,Data_NV!$A:$I,6,0)="Không",0,IF(Z743&lt;=X743,0,ROUNDDOWN((Z743-X743)*24*60,0)))</f>
        <v>0</v>
      </c>
      <c r="AF743" s="26">
        <f t="shared" si="47"/>
        <v>0</v>
      </c>
      <c r="AG743" s="27" t="str">
        <f>IF(AC743="","",IF(COUNTIFS($AC$3:AC743,"Quên chấm công",$S$3:S743,S743)&gt;3,"Không chấm công do vi phạm quá 3 lần",IF(COUNTIFS($AC$3:AC743,"Quên chấm công",$S$3:S743,S743)&gt;2,"Trừ toàn bộ chuyên cần tháng do vi phạm lần 3",IF(COUNTIFS($AC$3:AC743,"Quên chấm công",$S$3:S743,S743)&gt;1,"Trừ 1/2 ngày lương",50000))))</f>
        <v/>
      </c>
      <c r="AH743" s="12" t="str">
        <f>IF(AF743=0,"",IF(COUNTIFS($AF$3:AF743,"&gt;0",$S$3:S743,S743)&gt;3,"Trừ toàn bộ chuyên cần tháng",""))</f>
        <v/>
      </c>
      <c r="AI743" s="12"/>
    </row>
    <row r="744" spans="1:35" x14ac:dyDescent="0.25">
      <c r="A744" s="4" t="s">
        <v>1088</v>
      </c>
      <c r="B744" s="1" t="s">
        <v>1089</v>
      </c>
      <c r="C744" s="1" t="s">
        <v>20</v>
      </c>
      <c r="D744" s="1" t="s">
        <v>106</v>
      </c>
      <c r="E744" s="1" t="s">
        <v>22</v>
      </c>
      <c r="F744" s="1" t="s">
        <v>23</v>
      </c>
      <c r="G744" s="1" t="s">
        <v>29</v>
      </c>
      <c r="H744" s="1" t="s">
        <v>1117</v>
      </c>
      <c r="I744" s="1" t="s">
        <v>1118</v>
      </c>
      <c r="J744" s="1" t="s">
        <v>25</v>
      </c>
      <c r="K744" s="1" t="s">
        <v>886</v>
      </c>
      <c r="L744" s="1" t="s">
        <v>25</v>
      </c>
      <c r="M744" s="1" t="s">
        <v>26</v>
      </c>
      <c r="N744" s="1" t="s">
        <v>25</v>
      </c>
      <c r="O744" s="1" t="s">
        <v>33</v>
      </c>
      <c r="P744" s="1" t="s">
        <v>887</v>
      </c>
      <c r="Q744" s="1" t="s">
        <v>25</v>
      </c>
      <c r="R744" s="85" t="str">
        <f t="shared" si="44"/>
        <v>6345922</v>
      </c>
      <c r="S744" t="str">
        <f>VLOOKUP(A744,Data_NV!$A:$C,3,0)</f>
        <v>Huỳnh Văn Hùng</v>
      </c>
      <c r="T744" t="str">
        <f>VLOOKUP(A744,Data_NV!$A:$E,4,0)</f>
        <v>Kế toán - Văn phòng</v>
      </c>
      <c r="U744" s="82">
        <f>DATEVALUE(Table2[[#This Row],[Ngày]])</f>
        <v>45922</v>
      </c>
      <c r="V744" t="str">
        <f>VLOOKUP(A744,Data_NV!$A:$E,5,0)</f>
        <v>Đang làm việc</v>
      </c>
      <c r="W744" s="10">
        <f>VLOOKUP(A744,Data_NV!$A:$I,8,0)</f>
        <v>0.33333333333333331</v>
      </c>
      <c r="X744" s="10">
        <f>VLOOKUP(A744,Data_NV!$A:$I,9,0)</f>
        <v>0.70833333333333337</v>
      </c>
      <c r="Y744" s="10">
        <f>IFERROR(TIMEVALUE(Table2[[#This Row],[Vào]]),0)</f>
        <v>0.33149305555555558</v>
      </c>
      <c r="Z744" s="10">
        <f>IFERROR(TIMEVALUE(Table2[[#This Row],[Ra]]),0)</f>
        <v>0.79751157407407403</v>
      </c>
      <c r="AA744" t="str">
        <f t="shared" si="45"/>
        <v>x</v>
      </c>
      <c r="AB744" s="105">
        <f t="shared" si="46"/>
        <v>0</v>
      </c>
      <c r="AC744" s="12" t="str">
        <f>IF(VLOOKUP(A744,Data_NV!$A:$I,7,0)="Không","",IF(OR(AND(Y744=0,Z744=0),AND(Y744&lt;&gt;0,Z744&lt;&gt;0)),"","Quên chấm công"))</f>
        <v/>
      </c>
      <c r="AD744" s="12">
        <f>IF(VLOOKUP(A744,Data_NV!$A:$I,7,0)="Không",0,IF(AND(Y744=0,Z744=0),0,IF(X744&lt;=Z744,0,ROUNDDOWN((X744-Z744)*24*60,0))))</f>
        <v>0</v>
      </c>
      <c r="AE744" s="12">
        <f>IF(VLOOKUP(A744,Data_NV!$A:$I,6,0)="Không",0,IF(Z744&lt;=X744,0,ROUNDDOWN((Z744-X744)*24*60,0)))</f>
        <v>0</v>
      </c>
      <c r="AF744" s="26">
        <f t="shared" si="47"/>
        <v>0</v>
      </c>
      <c r="AG744" s="27" t="str">
        <f>IF(AC744="","",IF(COUNTIFS($AC$3:AC744,"Quên chấm công",$S$3:S744,S744)&gt;3,"Không chấm công do vi phạm quá 3 lần",IF(COUNTIFS($AC$3:AC744,"Quên chấm công",$S$3:S744,S744)&gt;2,"Trừ toàn bộ chuyên cần tháng do vi phạm lần 3",IF(COUNTIFS($AC$3:AC744,"Quên chấm công",$S$3:S744,S744)&gt;1,"Trừ 1/2 ngày lương",50000))))</f>
        <v/>
      </c>
      <c r="AH744" s="12" t="str">
        <f>IF(AF744=0,"",IF(COUNTIFS($AF$3:AF744,"&gt;0",$S$3:S744,S744)&gt;3,"Trừ toàn bộ chuyên cần tháng",""))</f>
        <v/>
      </c>
      <c r="AI744" s="12"/>
    </row>
    <row r="745" spans="1:35" x14ac:dyDescent="0.25">
      <c r="A745" s="4" t="s">
        <v>1088</v>
      </c>
      <c r="B745" s="1" t="s">
        <v>1089</v>
      </c>
      <c r="C745" s="1" t="s">
        <v>20</v>
      </c>
      <c r="D745" s="1" t="s">
        <v>111</v>
      </c>
      <c r="E745" s="1" t="s">
        <v>22</v>
      </c>
      <c r="F745" s="1" t="s">
        <v>23</v>
      </c>
      <c r="G745" s="1" t="s">
        <v>10</v>
      </c>
      <c r="H745" s="1" t="s">
        <v>622</v>
      </c>
      <c r="I745" s="1" t="s">
        <v>1119</v>
      </c>
      <c r="J745" s="1" t="s">
        <v>322</v>
      </c>
      <c r="K745" s="1" t="s">
        <v>437</v>
      </c>
      <c r="L745" s="1" t="s">
        <v>25</v>
      </c>
      <c r="M745" s="1" t="s">
        <v>26</v>
      </c>
      <c r="N745" s="1" t="s">
        <v>25</v>
      </c>
      <c r="O745" s="1" t="s">
        <v>33</v>
      </c>
      <c r="P745" s="1" t="s">
        <v>1120</v>
      </c>
      <c r="Q745" s="1" t="s">
        <v>25</v>
      </c>
      <c r="R745" s="85" t="str">
        <f t="shared" si="44"/>
        <v>6345923</v>
      </c>
      <c r="S745" t="str">
        <f>VLOOKUP(A745,Data_NV!$A:$C,3,0)</f>
        <v>Huỳnh Văn Hùng</v>
      </c>
      <c r="T745" t="str">
        <f>VLOOKUP(A745,Data_NV!$A:$E,4,0)</f>
        <v>Kế toán - Văn phòng</v>
      </c>
      <c r="U745" s="82">
        <f>DATEVALUE(Table2[[#This Row],[Ngày]])</f>
        <v>45923</v>
      </c>
      <c r="V745" t="str">
        <f>VLOOKUP(A745,Data_NV!$A:$E,5,0)</f>
        <v>Đang làm việc</v>
      </c>
      <c r="W745" s="10">
        <f>VLOOKUP(A745,Data_NV!$A:$I,8,0)</f>
        <v>0.33333333333333331</v>
      </c>
      <c r="X745" s="10">
        <f>VLOOKUP(A745,Data_NV!$A:$I,9,0)</f>
        <v>0.70833333333333337</v>
      </c>
      <c r="Y745" s="10">
        <f>IFERROR(TIMEVALUE(Table2[[#This Row],[Vào]]),0)</f>
        <v>0.33114583333333331</v>
      </c>
      <c r="Z745" s="10">
        <f>IFERROR(TIMEVALUE(Table2[[#This Row],[Ra]]),0)</f>
        <v>0.84181712962962962</v>
      </c>
      <c r="AA745" t="str">
        <f t="shared" si="45"/>
        <v>x</v>
      </c>
      <c r="AB745" s="105">
        <f t="shared" si="46"/>
        <v>0</v>
      </c>
      <c r="AC745" s="12" t="str">
        <f>IF(VLOOKUP(A745,Data_NV!$A:$I,7,0)="Không","",IF(OR(AND(Y745=0,Z745=0),AND(Y745&lt;&gt;0,Z745&lt;&gt;0)),"","Quên chấm công"))</f>
        <v/>
      </c>
      <c r="AD745" s="12">
        <f>IF(VLOOKUP(A745,Data_NV!$A:$I,7,0)="Không",0,IF(AND(Y745=0,Z745=0),0,IF(X745&lt;=Z745,0,ROUNDDOWN((X745-Z745)*24*60,0))))</f>
        <v>0</v>
      </c>
      <c r="AE745" s="12">
        <f>IF(VLOOKUP(A745,Data_NV!$A:$I,6,0)="Không",0,IF(Z745&lt;=X745,0,ROUNDDOWN((Z745-X745)*24*60,0)))</f>
        <v>0</v>
      </c>
      <c r="AF745" s="26">
        <f t="shared" si="47"/>
        <v>0</v>
      </c>
      <c r="AG745" s="27" t="str">
        <f>IF(AC745="","",IF(COUNTIFS($AC$3:AC745,"Quên chấm công",$S$3:S745,S745)&gt;3,"Không chấm công do vi phạm quá 3 lần",IF(COUNTIFS($AC$3:AC745,"Quên chấm công",$S$3:S745,S745)&gt;2,"Trừ toàn bộ chuyên cần tháng do vi phạm lần 3",IF(COUNTIFS($AC$3:AC745,"Quên chấm công",$S$3:S745,S745)&gt;1,"Trừ 1/2 ngày lương",50000))))</f>
        <v/>
      </c>
      <c r="AH745" s="12" t="str">
        <f>IF(AF745=0,"",IF(COUNTIFS($AF$3:AF745,"&gt;0",$S$3:S745,S745)&gt;3,"Trừ toàn bộ chuyên cần tháng",""))</f>
        <v/>
      </c>
      <c r="AI745" s="12"/>
    </row>
    <row r="746" spans="1:35" x14ac:dyDescent="0.25">
      <c r="A746" s="4" t="s">
        <v>1088</v>
      </c>
      <c r="B746" s="1" t="s">
        <v>1089</v>
      </c>
      <c r="C746" s="1" t="s">
        <v>20</v>
      </c>
      <c r="D746" s="1" t="s">
        <v>116</v>
      </c>
      <c r="E746" s="1" t="s">
        <v>22</v>
      </c>
      <c r="F746" s="1" t="s">
        <v>23</v>
      </c>
      <c r="G746" s="1" t="s">
        <v>29</v>
      </c>
      <c r="H746" s="1" t="s">
        <v>1062</v>
      </c>
      <c r="I746" s="1" t="s">
        <v>1121</v>
      </c>
      <c r="J746" s="1" t="s">
        <v>25</v>
      </c>
      <c r="K746" s="1" t="s">
        <v>423</v>
      </c>
      <c r="L746" s="1" t="s">
        <v>25</v>
      </c>
      <c r="M746" s="1" t="s">
        <v>26</v>
      </c>
      <c r="N746" s="1" t="s">
        <v>25</v>
      </c>
      <c r="O746" s="1" t="s">
        <v>424</v>
      </c>
      <c r="P746" s="1" t="s">
        <v>25</v>
      </c>
      <c r="Q746" s="1" t="s">
        <v>25</v>
      </c>
      <c r="R746" s="85" t="str">
        <f t="shared" si="44"/>
        <v>6345924</v>
      </c>
      <c r="S746" t="str">
        <f>VLOOKUP(A746,Data_NV!$A:$C,3,0)</f>
        <v>Huỳnh Văn Hùng</v>
      </c>
      <c r="T746" t="str">
        <f>VLOOKUP(A746,Data_NV!$A:$E,4,0)</f>
        <v>Kế toán - Văn phòng</v>
      </c>
      <c r="U746" s="82">
        <f>DATEVALUE(Table2[[#This Row],[Ngày]])</f>
        <v>45924</v>
      </c>
      <c r="V746" t="str">
        <f>VLOOKUP(A746,Data_NV!$A:$E,5,0)</f>
        <v>Đang làm việc</v>
      </c>
      <c r="W746" s="10">
        <f>VLOOKUP(A746,Data_NV!$A:$I,8,0)</f>
        <v>0.33333333333333331</v>
      </c>
      <c r="X746" s="10">
        <f>VLOOKUP(A746,Data_NV!$A:$I,9,0)</f>
        <v>0.70833333333333337</v>
      </c>
      <c r="Y746" s="10">
        <f>IFERROR(TIMEVALUE(Table2[[#This Row],[Vào]]),0)</f>
        <v>0.33171296296296299</v>
      </c>
      <c r="Z746" s="10">
        <f>IFERROR(TIMEVALUE(Table2[[#This Row],[Ra]]),0)</f>
        <v>0.78915509259259264</v>
      </c>
      <c r="AA746" t="str">
        <f t="shared" si="45"/>
        <v>x</v>
      </c>
      <c r="AB746" s="105">
        <f t="shared" si="46"/>
        <v>0</v>
      </c>
      <c r="AC746" s="12" t="str">
        <f>IF(VLOOKUP(A746,Data_NV!$A:$I,7,0)="Không","",IF(OR(AND(Y746=0,Z746=0),AND(Y746&lt;&gt;0,Z746&lt;&gt;0)),"","Quên chấm công"))</f>
        <v/>
      </c>
      <c r="AD746" s="12">
        <f>IF(VLOOKUP(A746,Data_NV!$A:$I,7,0)="Không",0,IF(AND(Y746=0,Z746=0),0,IF(X746&lt;=Z746,0,ROUNDDOWN((X746-Z746)*24*60,0))))</f>
        <v>0</v>
      </c>
      <c r="AE746" s="12">
        <f>IF(VLOOKUP(A746,Data_NV!$A:$I,6,0)="Không",0,IF(Z746&lt;=X746,0,ROUNDDOWN((Z746-X746)*24*60,0)))</f>
        <v>0</v>
      </c>
      <c r="AF746" s="26">
        <f t="shared" si="47"/>
        <v>0</v>
      </c>
      <c r="AG746" s="27" t="str">
        <f>IF(AC746="","",IF(COUNTIFS($AC$3:AC746,"Quên chấm công",$S$3:S746,S746)&gt;3,"Không chấm công do vi phạm quá 3 lần",IF(COUNTIFS($AC$3:AC746,"Quên chấm công",$S$3:S746,S746)&gt;2,"Trừ toàn bộ chuyên cần tháng do vi phạm lần 3",IF(COUNTIFS($AC$3:AC746,"Quên chấm công",$S$3:S746,S746)&gt;1,"Trừ 1/2 ngày lương",50000))))</f>
        <v/>
      </c>
      <c r="AH746" s="12" t="str">
        <f>IF(AF746=0,"",IF(COUNTIFS($AF$3:AF746,"&gt;0",$S$3:S746,S746)&gt;3,"Trừ toàn bộ chuyên cần tháng",""))</f>
        <v/>
      </c>
      <c r="AI746" s="12"/>
    </row>
    <row r="747" spans="1:35" x14ac:dyDescent="0.25">
      <c r="A747" s="4" t="s">
        <v>1088</v>
      </c>
      <c r="B747" s="1" t="s">
        <v>1089</v>
      </c>
      <c r="C747" s="1" t="s">
        <v>20</v>
      </c>
      <c r="D747" s="1" t="s">
        <v>121</v>
      </c>
      <c r="E747" s="1" t="s">
        <v>22</v>
      </c>
      <c r="F747" s="1" t="s">
        <v>23</v>
      </c>
      <c r="G747" s="1" t="s">
        <v>29</v>
      </c>
      <c r="H747" s="1" t="s">
        <v>1122</v>
      </c>
      <c r="I747" s="1" t="s">
        <v>1123</v>
      </c>
      <c r="J747" s="1" t="s">
        <v>25</v>
      </c>
      <c r="K747" s="1" t="s">
        <v>745</v>
      </c>
      <c r="L747" s="1" t="s">
        <v>25</v>
      </c>
      <c r="M747" s="1" t="s">
        <v>26</v>
      </c>
      <c r="N747" s="1" t="s">
        <v>25</v>
      </c>
      <c r="O747" s="1" t="s">
        <v>746</v>
      </c>
      <c r="P747" s="1" t="s">
        <v>25</v>
      </c>
      <c r="Q747" s="1" t="s">
        <v>25</v>
      </c>
      <c r="R747" s="85" t="str">
        <f t="shared" si="44"/>
        <v>6345925</v>
      </c>
      <c r="S747" t="str">
        <f>VLOOKUP(A747,Data_NV!$A:$C,3,0)</f>
        <v>Huỳnh Văn Hùng</v>
      </c>
      <c r="T747" t="str">
        <f>VLOOKUP(A747,Data_NV!$A:$E,4,0)</f>
        <v>Kế toán - Văn phòng</v>
      </c>
      <c r="U747" s="82">
        <f>DATEVALUE(Table2[[#This Row],[Ngày]])</f>
        <v>45925</v>
      </c>
      <c r="V747" t="str">
        <f>VLOOKUP(A747,Data_NV!$A:$E,5,0)</f>
        <v>Đang làm việc</v>
      </c>
      <c r="W747" s="10">
        <f>VLOOKUP(A747,Data_NV!$A:$I,8,0)</f>
        <v>0.33333333333333331</v>
      </c>
      <c r="X747" s="10">
        <f>VLOOKUP(A747,Data_NV!$A:$I,9,0)</f>
        <v>0.70833333333333337</v>
      </c>
      <c r="Y747" s="10">
        <f>IFERROR(TIMEVALUE(Table2[[#This Row],[Vào]]),0)</f>
        <v>0.33130787037037035</v>
      </c>
      <c r="Z747" s="10">
        <f>IFERROR(TIMEVALUE(Table2[[#This Row],[Ra]]),0)</f>
        <v>0.76187499999999997</v>
      </c>
      <c r="AA747" t="str">
        <f t="shared" si="45"/>
        <v>x</v>
      </c>
      <c r="AB747" s="105">
        <f t="shared" si="46"/>
        <v>0</v>
      </c>
      <c r="AC747" s="12" t="str">
        <f>IF(VLOOKUP(A747,Data_NV!$A:$I,7,0)="Không","",IF(OR(AND(Y747=0,Z747=0),AND(Y747&lt;&gt;0,Z747&lt;&gt;0)),"","Quên chấm công"))</f>
        <v/>
      </c>
      <c r="AD747" s="12">
        <f>IF(VLOOKUP(A747,Data_NV!$A:$I,7,0)="Không",0,IF(AND(Y747=0,Z747=0),0,IF(X747&lt;=Z747,0,ROUNDDOWN((X747-Z747)*24*60,0))))</f>
        <v>0</v>
      </c>
      <c r="AE747" s="12">
        <f>IF(VLOOKUP(A747,Data_NV!$A:$I,6,0)="Không",0,IF(Z747&lt;=X747,0,ROUNDDOWN((Z747-X747)*24*60,0)))</f>
        <v>0</v>
      </c>
      <c r="AF747" s="26">
        <f t="shared" si="47"/>
        <v>0</v>
      </c>
      <c r="AG747" s="27" t="str">
        <f>IF(AC747="","",IF(COUNTIFS($AC$3:AC747,"Quên chấm công",$S$3:S747,S747)&gt;3,"Không chấm công do vi phạm quá 3 lần",IF(COUNTIFS($AC$3:AC747,"Quên chấm công",$S$3:S747,S747)&gt;2,"Trừ toàn bộ chuyên cần tháng do vi phạm lần 3",IF(COUNTIFS($AC$3:AC747,"Quên chấm công",$S$3:S747,S747)&gt;1,"Trừ 1/2 ngày lương",50000))))</f>
        <v/>
      </c>
      <c r="AH747" s="12" t="str">
        <f>IF(AF747=0,"",IF(COUNTIFS($AF$3:AF747,"&gt;0",$S$3:S747,S747)&gt;3,"Trừ toàn bộ chuyên cần tháng",""))</f>
        <v/>
      </c>
      <c r="AI747" s="12"/>
    </row>
    <row r="748" spans="1:35" x14ac:dyDescent="0.25">
      <c r="A748" s="4" t="s">
        <v>1088</v>
      </c>
      <c r="B748" s="1" t="s">
        <v>1089</v>
      </c>
      <c r="C748" s="1" t="s">
        <v>20</v>
      </c>
      <c r="D748" s="1" t="s">
        <v>123</v>
      </c>
      <c r="E748" s="1" t="s">
        <v>22</v>
      </c>
      <c r="F748" s="1" t="s">
        <v>23</v>
      </c>
      <c r="G748" s="1" t="s">
        <v>10</v>
      </c>
      <c r="H748" s="1" t="s">
        <v>1124</v>
      </c>
      <c r="I748" s="1" t="s">
        <v>1125</v>
      </c>
      <c r="J748" s="1" t="s">
        <v>358</v>
      </c>
      <c r="K748" s="1" t="s">
        <v>1126</v>
      </c>
      <c r="L748" s="1" t="s">
        <v>25</v>
      </c>
      <c r="M748" s="1" t="s">
        <v>26</v>
      </c>
      <c r="N748" s="1" t="s">
        <v>25</v>
      </c>
      <c r="O748" s="1" t="s">
        <v>1127</v>
      </c>
      <c r="P748" s="1" t="s">
        <v>25</v>
      </c>
      <c r="Q748" s="1" t="s">
        <v>25</v>
      </c>
      <c r="R748" s="85" t="str">
        <f t="shared" si="44"/>
        <v>6345926</v>
      </c>
      <c r="S748" t="str">
        <f>VLOOKUP(A748,Data_NV!$A:$C,3,0)</f>
        <v>Huỳnh Văn Hùng</v>
      </c>
      <c r="T748" t="str">
        <f>VLOOKUP(A748,Data_NV!$A:$E,4,0)</f>
        <v>Kế toán - Văn phòng</v>
      </c>
      <c r="U748" s="82">
        <f>DATEVALUE(Table2[[#This Row],[Ngày]])</f>
        <v>45926</v>
      </c>
      <c r="V748" t="str">
        <f>VLOOKUP(A748,Data_NV!$A:$E,5,0)</f>
        <v>Đang làm việc</v>
      </c>
      <c r="W748" s="10">
        <f>VLOOKUP(A748,Data_NV!$A:$I,8,0)</f>
        <v>0.33333333333333331</v>
      </c>
      <c r="X748" s="10">
        <f>VLOOKUP(A748,Data_NV!$A:$I,9,0)</f>
        <v>0.70833333333333337</v>
      </c>
      <c r="Y748" s="10">
        <f>IFERROR(TIMEVALUE(Table2[[#This Row],[Vào]]),0)</f>
        <v>0.33374999999999999</v>
      </c>
      <c r="Z748" s="10">
        <f>IFERROR(TIMEVALUE(Table2[[#This Row],[Ra]]),0)</f>
        <v>0.71821759259259255</v>
      </c>
      <c r="AA748" t="str">
        <f t="shared" si="45"/>
        <v>x</v>
      </c>
      <c r="AB748" s="105">
        <f t="shared" si="46"/>
        <v>0.60000000000001386</v>
      </c>
      <c r="AC748" s="12" t="str">
        <f>IF(VLOOKUP(A748,Data_NV!$A:$I,7,0)="Không","",IF(OR(AND(Y748=0,Z748=0),AND(Y748&lt;&gt;0,Z748&lt;&gt;0)),"","Quên chấm công"))</f>
        <v/>
      </c>
      <c r="AD748" s="12">
        <f>IF(VLOOKUP(A748,Data_NV!$A:$I,7,0)="Không",0,IF(AND(Y748=0,Z748=0),0,IF(X748&lt;=Z748,0,ROUNDDOWN((X748-Z748)*24*60,0))))</f>
        <v>0</v>
      </c>
      <c r="AE748" s="12">
        <f>IF(VLOOKUP(A748,Data_NV!$A:$I,6,0)="Không",0,IF(Z748&lt;=X748,0,ROUNDDOWN((Z748-X748)*24*60,0)))</f>
        <v>0</v>
      </c>
      <c r="AF748" s="26">
        <f t="shared" si="47"/>
        <v>0</v>
      </c>
      <c r="AG748" s="27" t="str">
        <f>IF(AC748="","",IF(COUNTIFS($AC$3:AC748,"Quên chấm công",$S$3:S748,S748)&gt;3,"Không chấm công do vi phạm quá 3 lần",IF(COUNTIFS($AC$3:AC748,"Quên chấm công",$S$3:S748,S748)&gt;2,"Trừ toàn bộ chuyên cần tháng do vi phạm lần 3",IF(COUNTIFS($AC$3:AC748,"Quên chấm công",$S$3:S748,S748)&gt;1,"Trừ 1/2 ngày lương",50000))))</f>
        <v/>
      </c>
      <c r="AH748" s="12" t="str">
        <f>IF(AF748=0,"",IF(COUNTIFS($AF$3:AF748,"&gt;0",$S$3:S748,S748)&gt;3,"Trừ toàn bộ chuyên cần tháng",""))</f>
        <v/>
      </c>
      <c r="AI748" s="12"/>
    </row>
    <row r="749" spans="1:35" x14ac:dyDescent="0.25">
      <c r="A749" s="4" t="s">
        <v>1088</v>
      </c>
      <c r="B749" s="1" t="s">
        <v>1089</v>
      </c>
      <c r="C749" s="1" t="s">
        <v>20</v>
      </c>
      <c r="D749" s="1" t="s">
        <v>125</v>
      </c>
      <c r="E749" s="1" t="s">
        <v>22</v>
      </c>
      <c r="F749" s="1" t="s">
        <v>1128</v>
      </c>
      <c r="G749" s="1" t="s">
        <v>10</v>
      </c>
      <c r="H749" s="1" t="s">
        <v>1323</v>
      </c>
      <c r="I749" s="1" t="s">
        <v>1129</v>
      </c>
      <c r="J749" s="1" t="s">
        <v>682</v>
      </c>
      <c r="K749" s="1" t="s">
        <v>1130</v>
      </c>
      <c r="L749" s="1" t="s">
        <v>25</v>
      </c>
      <c r="M749" s="1" t="s">
        <v>1000</v>
      </c>
      <c r="N749" s="1" t="s">
        <v>25</v>
      </c>
      <c r="O749" s="1" t="s">
        <v>79</v>
      </c>
      <c r="P749" s="1" t="s">
        <v>25</v>
      </c>
      <c r="Q749" s="1" t="s">
        <v>25</v>
      </c>
      <c r="R749" s="85" t="str">
        <f t="shared" si="44"/>
        <v>6345927</v>
      </c>
      <c r="S749" t="str">
        <f>VLOOKUP(A749,Data_NV!$A:$C,3,0)</f>
        <v>Huỳnh Văn Hùng</v>
      </c>
      <c r="T749" t="str">
        <f>VLOOKUP(A749,Data_NV!$A:$E,4,0)</f>
        <v>Kế toán - Văn phòng</v>
      </c>
      <c r="U749" s="82">
        <f>DATEVALUE(Table2[[#This Row],[Ngày]])</f>
        <v>45927</v>
      </c>
      <c r="V749" t="str">
        <f>VLOOKUP(A749,Data_NV!$A:$E,5,0)</f>
        <v>Đang làm việc</v>
      </c>
      <c r="W749" s="10">
        <f>VLOOKUP(A749,Data_NV!$A:$I,8,0)</f>
        <v>0.33333333333333331</v>
      </c>
      <c r="X749" s="10">
        <f>VLOOKUP(A749,Data_NV!$A:$I,9,0)</f>
        <v>0.70833333333333337</v>
      </c>
      <c r="Y749" s="10">
        <f>IFERROR(TIMEVALUE(Table2[[#This Row],[Vào]]),0)</f>
        <v>0.33284722222222224</v>
      </c>
      <c r="Z749" s="10">
        <f>IFERROR(TIMEVALUE(Table2[[#This Row],[Ra]]),0)</f>
        <v>0.74604166666666671</v>
      </c>
      <c r="AA749" t="str">
        <f t="shared" si="45"/>
        <v>x</v>
      </c>
      <c r="AB749" s="105">
        <f t="shared" si="46"/>
        <v>0</v>
      </c>
      <c r="AC749" s="12" t="str">
        <f>IF(VLOOKUP(A749,Data_NV!$A:$I,7,0)="Không","",IF(OR(AND(Y749=0,Z749=0),AND(Y749&lt;&gt;0,Z749&lt;&gt;0)),"","Quên chấm công"))</f>
        <v/>
      </c>
      <c r="AD749" s="12">
        <f>IF(VLOOKUP(A749,Data_NV!$A:$I,7,0)="Không",0,IF(AND(Y749=0,Z749=0),0,IF(X749&lt;=Z749,0,ROUNDDOWN((X749-Z749)*24*60,0))))</f>
        <v>0</v>
      </c>
      <c r="AE749" s="12">
        <f>IF(VLOOKUP(A749,Data_NV!$A:$I,6,0)="Không",0,IF(Z749&lt;=X749,0,ROUNDDOWN((Z749-X749)*24*60,0)))</f>
        <v>0</v>
      </c>
      <c r="AF749" s="26">
        <f t="shared" si="47"/>
        <v>0</v>
      </c>
      <c r="AG749" s="27" t="str">
        <f>IF(AC749="","",IF(COUNTIFS($AC$3:AC749,"Quên chấm công",$S$3:S749,S749)&gt;3,"Không chấm công do vi phạm quá 3 lần",IF(COUNTIFS($AC$3:AC749,"Quên chấm công",$S$3:S749,S749)&gt;2,"Trừ toàn bộ chuyên cần tháng do vi phạm lần 3",IF(COUNTIFS($AC$3:AC749,"Quên chấm công",$S$3:S749,S749)&gt;1,"Trừ 1/2 ngày lương",50000))))</f>
        <v/>
      </c>
      <c r="AH749" s="12" t="str">
        <f>IF(AF749=0,"",IF(COUNTIFS($AF$3:AF749,"&gt;0",$S$3:S749,S749)&gt;3,"Trừ toàn bộ chuyên cần tháng",""))</f>
        <v/>
      </c>
      <c r="AI749" s="12"/>
    </row>
    <row r="750" spans="1:35" x14ac:dyDescent="0.25">
      <c r="A750" s="4" t="s">
        <v>1088</v>
      </c>
      <c r="B750" s="1" t="s">
        <v>1089</v>
      </c>
      <c r="C750" s="1" t="s">
        <v>20</v>
      </c>
      <c r="D750" s="1" t="s">
        <v>130</v>
      </c>
      <c r="E750" s="1" t="s">
        <v>22</v>
      </c>
      <c r="F750" s="1" t="s">
        <v>23</v>
      </c>
      <c r="G750" s="1" t="s">
        <v>12</v>
      </c>
      <c r="H750" s="1" t="s">
        <v>24</v>
      </c>
      <c r="I750" s="1" t="s">
        <v>24</v>
      </c>
      <c r="J750" s="1" t="s">
        <v>25</v>
      </c>
      <c r="K750" s="1" t="s">
        <v>25</v>
      </c>
      <c r="L750" s="1" t="s">
        <v>26</v>
      </c>
      <c r="M750" s="1" t="s">
        <v>25</v>
      </c>
      <c r="N750" s="1" t="s">
        <v>25</v>
      </c>
      <c r="O750" s="1" t="s">
        <v>25</v>
      </c>
      <c r="P750" s="1" t="s">
        <v>25</v>
      </c>
      <c r="Q750" s="1" t="s">
        <v>25</v>
      </c>
      <c r="R750" s="85" t="str">
        <f t="shared" si="44"/>
        <v>6345928</v>
      </c>
      <c r="S750" t="str">
        <f>VLOOKUP(A750,Data_NV!$A:$C,3,0)</f>
        <v>Huỳnh Văn Hùng</v>
      </c>
      <c r="T750" t="str">
        <f>VLOOKUP(A750,Data_NV!$A:$E,4,0)</f>
        <v>Kế toán - Văn phòng</v>
      </c>
      <c r="U750" s="82">
        <f>DATEVALUE(Table2[[#This Row],[Ngày]])</f>
        <v>45928</v>
      </c>
      <c r="V750" t="str">
        <f>VLOOKUP(A750,Data_NV!$A:$E,5,0)</f>
        <v>Đang làm việc</v>
      </c>
      <c r="W750" s="10">
        <f>VLOOKUP(A750,Data_NV!$A:$I,8,0)</f>
        <v>0.33333333333333331</v>
      </c>
      <c r="X750" s="10">
        <f>VLOOKUP(A750,Data_NV!$A:$I,9,0)</f>
        <v>0.70833333333333337</v>
      </c>
      <c r="Y750" s="10">
        <f>IFERROR(TIMEVALUE(Table2[[#This Row],[Vào]]),0)</f>
        <v>0</v>
      </c>
      <c r="Z750" s="10">
        <f>IFERROR(TIMEVALUE(Table2[[#This Row],[Ra]]),0)</f>
        <v>0</v>
      </c>
      <c r="AA750" t="str">
        <f t="shared" si="45"/>
        <v>Chủ nhật</v>
      </c>
      <c r="AB750" s="105">
        <f t="shared" si="46"/>
        <v>0</v>
      </c>
      <c r="AC750" s="12" t="str">
        <f>IF(VLOOKUP(A750,Data_NV!$A:$I,7,0)="Không","",IF(OR(AND(Y750=0,Z750=0),AND(Y750&lt;&gt;0,Z750&lt;&gt;0)),"","Quên chấm công"))</f>
        <v/>
      </c>
      <c r="AD750" s="12">
        <f>IF(VLOOKUP(A750,Data_NV!$A:$I,7,0)="Không",0,IF(AND(Y750=0,Z750=0),0,IF(X750&lt;=Z750,0,ROUNDDOWN((X750-Z750)*24*60,0))))</f>
        <v>0</v>
      </c>
      <c r="AE750" s="12">
        <f>IF(VLOOKUP(A750,Data_NV!$A:$I,6,0)="Không",0,IF(Z750&lt;=X750,0,ROUNDDOWN((Z750-X750)*24*60,0)))</f>
        <v>0</v>
      </c>
      <c r="AF750" s="26">
        <f t="shared" si="47"/>
        <v>0</v>
      </c>
      <c r="AG750" s="27" t="str">
        <f>IF(AC750="","",IF(COUNTIFS($AC$3:AC750,"Quên chấm công",$S$3:S750,S750)&gt;3,"Không chấm công do vi phạm quá 3 lần",IF(COUNTIFS($AC$3:AC750,"Quên chấm công",$S$3:S750,S750)&gt;2,"Trừ toàn bộ chuyên cần tháng do vi phạm lần 3",IF(COUNTIFS($AC$3:AC750,"Quên chấm công",$S$3:S750,S750)&gt;1,"Trừ 1/2 ngày lương",50000))))</f>
        <v/>
      </c>
      <c r="AH750" s="12" t="str">
        <f>IF(AF750=0,"",IF(COUNTIFS($AF$3:AF750,"&gt;0",$S$3:S750,S750)&gt;3,"Trừ toàn bộ chuyên cần tháng",""))</f>
        <v/>
      </c>
      <c r="AI750" s="12"/>
    </row>
    <row r="751" spans="1:35" x14ac:dyDescent="0.25">
      <c r="A751" s="4" t="s">
        <v>1088</v>
      </c>
      <c r="B751" s="1" t="s">
        <v>1089</v>
      </c>
      <c r="C751" s="1" t="s">
        <v>20</v>
      </c>
      <c r="D751" s="1" t="s">
        <v>131</v>
      </c>
      <c r="E751" s="1" t="s">
        <v>22</v>
      </c>
      <c r="F751" s="1" t="s">
        <v>23</v>
      </c>
      <c r="G751" s="1" t="s">
        <v>10</v>
      </c>
      <c r="H751" s="1" t="s">
        <v>1131</v>
      </c>
      <c r="I751" s="1" t="s">
        <v>1132</v>
      </c>
      <c r="J751" s="1" t="s">
        <v>691</v>
      </c>
      <c r="K751" s="1" t="s">
        <v>1058</v>
      </c>
      <c r="L751" s="1" t="s">
        <v>25</v>
      </c>
      <c r="M751" s="1" t="s">
        <v>26</v>
      </c>
      <c r="N751" s="1" t="s">
        <v>25</v>
      </c>
      <c r="O751" s="1" t="s">
        <v>420</v>
      </c>
      <c r="P751" s="1" t="s">
        <v>25</v>
      </c>
      <c r="Q751" s="1" t="s">
        <v>25</v>
      </c>
      <c r="R751" s="85" t="str">
        <f t="shared" si="44"/>
        <v>6345929</v>
      </c>
      <c r="S751" t="str">
        <f>VLOOKUP(A751,Data_NV!$A:$C,3,0)</f>
        <v>Huỳnh Văn Hùng</v>
      </c>
      <c r="T751" t="str">
        <f>VLOOKUP(A751,Data_NV!$A:$E,4,0)</f>
        <v>Kế toán - Văn phòng</v>
      </c>
      <c r="U751" s="82">
        <f>DATEVALUE(Table2[[#This Row],[Ngày]])</f>
        <v>45929</v>
      </c>
      <c r="V751" t="str">
        <f>VLOOKUP(A751,Data_NV!$A:$E,5,0)</f>
        <v>Đang làm việc</v>
      </c>
      <c r="W751" s="10">
        <f>VLOOKUP(A751,Data_NV!$A:$I,8,0)</f>
        <v>0.33333333333333331</v>
      </c>
      <c r="X751" s="10">
        <f>VLOOKUP(A751,Data_NV!$A:$I,9,0)</f>
        <v>0.70833333333333337</v>
      </c>
      <c r="Y751" s="10">
        <f>IFERROR(TIMEVALUE(Table2[[#This Row],[Vào]]),0)</f>
        <v>0.3356365740740741</v>
      </c>
      <c r="Z751" s="10">
        <f>IFERROR(TIMEVALUE(Table2[[#This Row],[Ra]]),0)</f>
        <v>0.72622685185185187</v>
      </c>
      <c r="AA751" t="str">
        <f t="shared" si="45"/>
        <v>x</v>
      </c>
      <c r="AB751" s="105">
        <f t="shared" si="46"/>
        <v>3.3166666666667322</v>
      </c>
      <c r="AC751" s="12" t="str">
        <f>IF(VLOOKUP(A751,Data_NV!$A:$I,7,0)="Không","",IF(OR(AND(Y751=0,Z751=0),AND(Y751&lt;&gt;0,Z751&lt;&gt;0)),"","Quên chấm công"))</f>
        <v/>
      </c>
      <c r="AD751" s="12">
        <f>IF(VLOOKUP(A751,Data_NV!$A:$I,7,0)="Không",0,IF(AND(Y751=0,Z751=0),0,IF(X751&lt;=Z751,0,ROUNDDOWN((X751-Z751)*24*60,0))))</f>
        <v>0</v>
      </c>
      <c r="AE751" s="12">
        <f>IF(VLOOKUP(A751,Data_NV!$A:$I,6,0)="Không",0,IF(Z751&lt;=X751,0,ROUNDDOWN((Z751-X751)*24*60,0)))</f>
        <v>0</v>
      </c>
      <c r="AF751" s="26">
        <f t="shared" si="47"/>
        <v>0</v>
      </c>
      <c r="AG751" s="27" t="str">
        <f>IF(AC751="","",IF(COUNTIFS($AC$3:AC751,"Quên chấm công",$S$3:S751,S751)&gt;3,"Không chấm công do vi phạm quá 3 lần",IF(COUNTIFS($AC$3:AC751,"Quên chấm công",$S$3:S751,S751)&gt;2,"Trừ toàn bộ chuyên cần tháng do vi phạm lần 3",IF(COUNTIFS($AC$3:AC751,"Quên chấm công",$S$3:S751,S751)&gt;1,"Trừ 1/2 ngày lương",50000))))</f>
        <v/>
      </c>
      <c r="AH751" s="12" t="str">
        <f>IF(AF751=0,"",IF(COUNTIFS($AF$3:AF751,"&gt;0",$S$3:S751,S751)&gt;3,"Trừ toàn bộ chuyên cần tháng",""))</f>
        <v/>
      </c>
      <c r="AI751" s="12"/>
    </row>
    <row r="752" spans="1:35" x14ac:dyDescent="0.25">
      <c r="A752" s="4" t="s">
        <v>1088</v>
      </c>
      <c r="B752" s="1" t="s">
        <v>1089</v>
      </c>
      <c r="C752" s="1" t="s">
        <v>20</v>
      </c>
      <c r="D752" s="1" t="s">
        <v>136</v>
      </c>
      <c r="E752" s="1" t="s">
        <v>22</v>
      </c>
      <c r="F752" s="1" t="s">
        <v>23</v>
      </c>
      <c r="G752" s="1" t="s">
        <v>29</v>
      </c>
      <c r="H752" s="1" t="s">
        <v>1133</v>
      </c>
      <c r="I752" s="1" t="s">
        <v>1134</v>
      </c>
      <c r="J752" s="1" t="s">
        <v>25</v>
      </c>
      <c r="K752" s="1" t="s">
        <v>325</v>
      </c>
      <c r="L752" s="1" t="s">
        <v>25</v>
      </c>
      <c r="M752" s="1" t="s">
        <v>26</v>
      </c>
      <c r="N752" s="1" t="s">
        <v>25</v>
      </c>
      <c r="O752" s="1" t="s">
        <v>326</v>
      </c>
      <c r="P752" s="1" t="s">
        <v>25</v>
      </c>
      <c r="Q752" s="1" t="s">
        <v>25</v>
      </c>
      <c r="R752" s="85" t="str">
        <f t="shared" si="44"/>
        <v>6345930</v>
      </c>
      <c r="S752" t="str">
        <f>VLOOKUP(A752,Data_NV!$A:$C,3,0)</f>
        <v>Huỳnh Văn Hùng</v>
      </c>
      <c r="T752" t="str">
        <f>VLOOKUP(A752,Data_NV!$A:$E,4,0)</f>
        <v>Kế toán - Văn phòng</v>
      </c>
      <c r="U752" s="82">
        <f>DATEVALUE(Table2[[#This Row],[Ngày]])</f>
        <v>45930</v>
      </c>
      <c r="V752" t="str">
        <f>VLOOKUP(A752,Data_NV!$A:$E,5,0)</f>
        <v>Đang làm việc</v>
      </c>
      <c r="W752" s="10">
        <f>VLOOKUP(A752,Data_NV!$A:$I,8,0)</f>
        <v>0.33333333333333331</v>
      </c>
      <c r="X752" s="10">
        <f>VLOOKUP(A752,Data_NV!$A:$I,9,0)</f>
        <v>0.70833333333333337</v>
      </c>
      <c r="Y752" s="10">
        <f>IFERROR(TIMEVALUE(Table2[[#This Row],[Vào]]),0)</f>
        <v>0.33177083333333335</v>
      </c>
      <c r="Z752" s="10">
        <f>IFERROR(TIMEVALUE(Table2[[#This Row],[Ra]]),0)</f>
        <v>0.74688657407407411</v>
      </c>
      <c r="AA752" t="str">
        <f t="shared" si="45"/>
        <v>x</v>
      </c>
      <c r="AB752" s="105">
        <f t="shared" si="46"/>
        <v>0</v>
      </c>
      <c r="AC752" s="12" t="str">
        <f>IF(VLOOKUP(A752,Data_NV!$A:$I,7,0)="Không","",IF(OR(AND(Y752=0,Z752=0),AND(Y752&lt;&gt;0,Z752&lt;&gt;0)),"","Quên chấm công"))</f>
        <v/>
      </c>
      <c r="AD752" s="12">
        <f>IF(VLOOKUP(A752,Data_NV!$A:$I,7,0)="Không",0,IF(AND(Y752=0,Z752=0),0,IF(X752&lt;=Z752,0,ROUNDDOWN((X752-Z752)*24*60,0))))</f>
        <v>0</v>
      </c>
      <c r="AE752" s="12">
        <f>IF(VLOOKUP(A752,Data_NV!$A:$I,6,0)="Không",0,IF(Z752&lt;=X752,0,ROUNDDOWN((Z752-X752)*24*60,0)))</f>
        <v>0</v>
      </c>
      <c r="AF752" s="26">
        <f t="shared" si="47"/>
        <v>0</v>
      </c>
      <c r="AG752" s="27" t="str">
        <f>IF(AC752="","",IF(COUNTIFS($AC$3:AC752,"Quên chấm công",$S$3:S752,S752)&gt;3,"Không chấm công do vi phạm quá 3 lần",IF(COUNTIFS($AC$3:AC752,"Quên chấm công",$S$3:S752,S752)&gt;2,"Trừ toàn bộ chuyên cần tháng do vi phạm lần 3",IF(COUNTIFS($AC$3:AC752,"Quên chấm công",$S$3:S752,S752)&gt;1,"Trừ 1/2 ngày lương",50000))))</f>
        <v/>
      </c>
      <c r="AH752" s="12" t="str">
        <f>IF(AF752=0,"",IF(COUNTIFS($AF$3:AF752,"&gt;0",$S$3:S752,S752)&gt;3,"Trừ toàn bộ chuyên cần tháng",""))</f>
        <v/>
      </c>
      <c r="AI752" s="12"/>
    </row>
    <row r="753" spans="1:35" x14ac:dyDescent="0.25">
      <c r="A753" s="4" t="s">
        <v>1135</v>
      </c>
      <c r="B753" s="1" t="s">
        <v>1136</v>
      </c>
      <c r="C753" s="1" t="s">
        <v>20</v>
      </c>
      <c r="D753" s="1" t="s">
        <v>21</v>
      </c>
      <c r="E753" s="1" t="s">
        <v>22</v>
      </c>
      <c r="F753" s="1" t="s">
        <v>23</v>
      </c>
      <c r="G753" s="1" t="s">
        <v>12</v>
      </c>
      <c r="H753" s="1" t="s">
        <v>24</v>
      </c>
      <c r="I753" s="1" t="s">
        <v>24</v>
      </c>
      <c r="J753" s="1" t="s">
        <v>25</v>
      </c>
      <c r="K753" s="1" t="s">
        <v>25</v>
      </c>
      <c r="L753" s="1" t="s">
        <v>26</v>
      </c>
      <c r="M753" s="1" t="s">
        <v>25</v>
      </c>
      <c r="N753" s="1" t="s">
        <v>25</v>
      </c>
      <c r="O753" s="1" t="s">
        <v>25</v>
      </c>
      <c r="P753" s="1" t="s">
        <v>25</v>
      </c>
      <c r="Q753" s="1" t="s">
        <v>25</v>
      </c>
      <c r="R753" s="85" t="str">
        <f t="shared" si="44"/>
        <v>6445901</v>
      </c>
      <c r="S753" t="str">
        <f>VLOOKUP(A753,Data_NV!$A:$C,3,0)</f>
        <v>Đoàn Thị Thanh Hương</v>
      </c>
      <c r="T753" t="str">
        <f>VLOOKUP(A753,Data_NV!$A:$E,4,0)</f>
        <v>Kế toán - Văn phòng</v>
      </c>
      <c r="U753" s="82">
        <f>DATEVALUE(Table2[[#This Row],[Ngày]])</f>
        <v>45901</v>
      </c>
      <c r="V753" t="str">
        <f>VLOOKUP(A753,Data_NV!$A:$E,5,0)</f>
        <v>Đang làm việc</v>
      </c>
      <c r="W753" s="10">
        <f>VLOOKUP(A753,Data_NV!$A:$I,8,0)</f>
        <v>0.33333333333333331</v>
      </c>
      <c r="X753" s="10">
        <f>VLOOKUP(A753,Data_NV!$A:$I,9,0)</f>
        <v>0.70833333333333337</v>
      </c>
      <c r="Y753" s="10">
        <f>IFERROR(TIMEVALUE(Table2[[#This Row],[Vào]]),0)</f>
        <v>0</v>
      </c>
      <c r="Z753" s="10">
        <f>IFERROR(TIMEVALUE(Table2[[#This Row],[Ra]]),0)</f>
        <v>0</v>
      </c>
      <c r="AA753" s="97" t="s">
        <v>1349</v>
      </c>
      <c r="AB753" s="105">
        <f t="shared" si="46"/>
        <v>0</v>
      </c>
      <c r="AC753" s="12" t="str">
        <f>IF(VLOOKUP(A753,Data_NV!$A:$I,7,0)="Không","",IF(OR(AND(Y753=0,Z753=0),AND(Y753&lt;&gt;0,Z753&lt;&gt;0)),"","Quên chấm công"))</f>
        <v/>
      </c>
      <c r="AD753" s="12">
        <f>IF(VLOOKUP(A753,Data_NV!$A:$I,7,0)="Không",0,IF(AND(Y753=0,Z753=0),0,IF(X753&lt;=Z753,0,ROUNDDOWN((X753-Z753)*24*60,0))))</f>
        <v>0</v>
      </c>
      <c r="AE753" s="12">
        <f>IF(VLOOKUP(A753,Data_NV!$A:$I,6,0)="Không",0,IF(Z753&lt;=X753,0,ROUNDDOWN((Z753-X753)*24*60,0)))</f>
        <v>0</v>
      </c>
      <c r="AF753" s="26">
        <f t="shared" si="47"/>
        <v>0</v>
      </c>
      <c r="AG753" s="27" t="str">
        <f>IF(AC753="","",IF(COUNTIFS($AC$3:AC753,"Quên chấm công",$S$3:S753,S753)&gt;3,"Không chấm công do vi phạm quá 3 lần",IF(COUNTIFS($AC$3:AC753,"Quên chấm công",$S$3:S753,S753)&gt;2,"Trừ toàn bộ chuyên cần tháng do vi phạm lần 3",IF(COUNTIFS($AC$3:AC753,"Quên chấm công",$S$3:S753,S753)&gt;1,"Trừ 1/2 ngày lương",50000))))</f>
        <v/>
      </c>
      <c r="AH753" s="12" t="str">
        <f>IF(AF753=0,"",IF(COUNTIFS($AF$3:AF753,"&gt;0",$S$3:S753,S753)&gt;3,"Trừ toàn bộ chuyên cần tháng",""))</f>
        <v/>
      </c>
      <c r="AI753" s="98" t="s">
        <v>1369</v>
      </c>
    </row>
    <row r="754" spans="1:35" x14ac:dyDescent="0.25">
      <c r="A754" s="4" t="s">
        <v>1135</v>
      </c>
      <c r="B754" s="1" t="s">
        <v>1136</v>
      </c>
      <c r="C754" s="1" t="s">
        <v>20</v>
      </c>
      <c r="D754" s="1" t="s">
        <v>27</v>
      </c>
      <c r="E754" s="1" t="s">
        <v>22</v>
      </c>
      <c r="F754" s="1" t="s">
        <v>23</v>
      </c>
      <c r="G754" s="1" t="s">
        <v>12</v>
      </c>
      <c r="H754" s="1" t="s">
        <v>24</v>
      </c>
      <c r="I754" s="1" t="s">
        <v>24</v>
      </c>
      <c r="J754" s="1" t="s">
        <v>25</v>
      </c>
      <c r="K754" s="1" t="s">
        <v>25</v>
      </c>
      <c r="L754" s="1" t="s">
        <v>26</v>
      </c>
      <c r="M754" s="1" t="s">
        <v>25</v>
      </c>
      <c r="N754" s="1" t="s">
        <v>25</v>
      </c>
      <c r="O754" s="1" t="s">
        <v>25</v>
      </c>
      <c r="P754" s="1" t="s">
        <v>25</v>
      </c>
      <c r="Q754" s="1" t="s">
        <v>25</v>
      </c>
      <c r="R754" s="85" t="str">
        <f t="shared" si="44"/>
        <v>6445902</v>
      </c>
      <c r="S754" t="str">
        <f>VLOOKUP(A754,Data_NV!$A:$C,3,0)</f>
        <v>Đoàn Thị Thanh Hương</v>
      </c>
      <c r="T754" t="str">
        <f>VLOOKUP(A754,Data_NV!$A:$E,4,0)</f>
        <v>Kế toán - Văn phòng</v>
      </c>
      <c r="U754" s="82">
        <f>DATEVALUE(Table2[[#This Row],[Ngày]])</f>
        <v>45902</v>
      </c>
      <c r="V754" t="str">
        <f>VLOOKUP(A754,Data_NV!$A:$E,5,0)</f>
        <v>Đang làm việc</v>
      </c>
      <c r="W754" s="10">
        <f>VLOOKUP(A754,Data_NV!$A:$I,8,0)</f>
        <v>0.33333333333333331</v>
      </c>
      <c r="X754" s="10">
        <f>VLOOKUP(A754,Data_NV!$A:$I,9,0)</f>
        <v>0.70833333333333337</v>
      </c>
      <c r="Y754" s="10">
        <f>IFERROR(TIMEVALUE(Table2[[#This Row],[Vào]]),0)</f>
        <v>0</v>
      </c>
      <c r="Z754" s="10">
        <f>IFERROR(TIMEVALUE(Table2[[#This Row],[Ra]]),0)</f>
        <v>0</v>
      </c>
      <c r="AA754" s="97" t="s">
        <v>1349</v>
      </c>
      <c r="AB754" s="105">
        <f t="shared" si="46"/>
        <v>0</v>
      </c>
      <c r="AC754" s="12" t="str">
        <f>IF(VLOOKUP(A754,Data_NV!$A:$I,7,0)="Không","",IF(OR(AND(Y754=0,Z754=0),AND(Y754&lt;&gt;0,Z754&lt;&gt;0)),"","Quên chấm công"))</f>
        <v/>
      </c>
      <c r="AD754" s="12">
        <f>IF(VLOOKUP(A754,Data_NV!$A:$I,7,0)="Không",0,IF(AND(Y754=0,Z754=0),0,IF(X754&lt;=Z754,0,ROUNDDOWN((X754-Z754)*24*60,0))))</f>
        <v>0</v>
      </c>
      <c r="AE754" s="12">
        <f>IF(VLOOKUP(A754,Data_NV!$A:$I,6,0)="Không",0,IF(Z754&lt;=X754,0,ROUNDDOWN((Z754-X754)*24*60,0)))</f>
        <v>0</v>
      </c>
      <c r="AF754" s="26">
        <f t="shared" si="47"/>
        <v>0</v>
      </c>
      <c r="AG754" s="27" t="str">
        <f>IF(AC754="","",IF(COUNTIFS($AC$3:AC754,"Quên chấm công",$S$3:S754,S754)&gt;3,"Không chấm công do vi phạm quá 3 lần",IF(COUNTIFS($AC$3:AC754,"Quên chấm công",$S$3:S754,S754)&gt;2,"Trừ toàn bộ chuyên cần tháng do vi phạm lần 3",IF(COUNTIFS($AC$3:AC754,"Quên chấm công",$S$3:S754,S754)&gt;1,"Trừ 1/2 ngày lương",50000))))</f>
        <v/>
      </c>
      <c r="AH754" s="12" t="str">
        <f>IF(AF754=0,"",IF(COUNTIFS($AF$3:AF754,"&gt;0",$S$3:S754,S754)&gt;3,"Trừ toàn bộ chuyên cần tháng",""))</f>
        <v/>
      </c>
      <c r="AI754" s="98" t="s">
        <v>1369</v>
      </c>
    </row>
    <row r="755" spans="1:35" x14ac:dyDescent="0.25">
      <c r="A755" s="4" t="s">
        <v>1135</v>
      </c>
      <c r="B755" s="1" t="s">
        <v>1136</v>
      </c>
      <c r="C755" s="1" t="s">
        <v>20</v>
      </c>
      <c r="D755" s="1" t="s">
        <v>28</v>
      </c>
      <c r="E755" s="1" t="s">
        <v>22</v>
      </c>
      <c r="F755" s="1" t="s">
        <v>23</v>
      </c>
      <c r="G755" s="1" t="s">
        <v>10</v>
      </c>
      <c r="H755" s="1" t="s">
        <v>1137</v>
      </c>
      <c r="I755" s="1" t="s">
        <v>1138</v>
      </c>
      <c r="J755" s="1" t="s">
        <v>682</v>
      </c>
      <c r="K755" s="1" t="s">
        <v>88</v>
      </c>
      <c r="L755" s="1" t="s">
        <v>25</v>
      </c>
      <c r="M755" s="1" t="s">
        <v>26</v>
      </c>
      <c r="N755" s="1" t="s">
        <v>25</v>
      </c>
      <c r="O755" s="1" t="s">
        <v>513</v>
      </c>
      <c r="P755" s="1" t="s">
        <v>25</v>
      </c>
      <c r="Q755" s="1" t="s">
        <v>25</v>
      </c>
      <c r="R755" s="85" t="str">
        <f t="shared" si="44"/>
        <v>6445903</v>
      </c>
      <c r="S755" t="str">
        <f>VLOOKUP(A755,Data_NV!$A:$C,3,0)</f>
        <v>Đoàn Thị Thanh Hương</v>
      </c>
      <c r="T755" t="str">
        <f>VLOOKUP(A755,Data_NV!$A:$E,4,0)</f>
        <v>Kế toán - Văn phòng</v>
      </c>
      <c r="U755" s="82">
        <f>DATEVALUE(Table2[[#This Row],[Ngày]])</f>
        <v>45903</v>
      </c>
      <c r="V755" t="str">
        <f>VLOOKUP(A755,Data_NV!$A:$E,5,0)</f>
        <v>Đang làm việc</v>
      </c>
      <c r="W755" s="10">
        <f>VLOOKUP(A755,Data_NV!$A:$I,8,0)</f>
        <v>0.33333333333333331</v>
      </c>
      <c r="X755" s="10">
        <f>VLOOKUP(A755,Data_NV!$A:$I,9,0)</f>
        <v>0.70833333333333337</v>
      </c>
      <c r="Y755" s="10">
        <f>IFERROR(TIMEVALUE(Table2[[#This Row],[Vào]]),0)</f>
        <v>0.33649305555555553</v>
      </c>
      <c r="Z755" s="10">
        <f>IFERROR(TIMEVALUE(Table2[[#This Row],[Ra]]),0)</f>
        <v>0.77668981481481481</v>
      </c>
      <c r="AA755" t="str">
        <f t="shared" si="45"/>
        <v>x</v>
      </c>
      <c r="AB755" s="105">
        <f t="shared" si="46"/>
        <v>4.5499999999999918</v>
      </c>
      <c r="AC755" s="12" t="str">
        <f>IF(VLOOKUP(A755,Data_NV!$A:$I,7,0)="Không","",IF(OR(AND(Y755=0,Z755=0),AND(Y755&lt;&gt;0,Z755&lt;&gt;0)),"","Quên chấm công"))</f>
        <v/>
      </c>
      <c r="AD755" s="12">
        <f>IF(VLOOKUP(A755,Data_NV!$A:$I,7,0)="Không",0,IF(AND(Y755=0,Z755=0),0,IF(X755&lt;=Z755,0,ROUNDDOWN((X755-Z755)*24*60,0))))</f>
        <v>0</v>
      </c>
      <c r="AE755" s="12">
        <f>IF(VLOOKUP(A755,Data_NV!$A:$I,6,0)="Không",0,IF(Z755&lt;=X755,0,ROUNDDOWN((Z755-X755)*24*60,0)))</f>
        <v>98</v>
      </c>
      <c r="AF755" s="26">
        <f t="shared" si="47"/>
        <v>0</v>
      </c>
      <c r="AG755" s="27" t="str">
        <f>IF(AC755="","",IF(COUNTIFS($AC$3:AC755,"Quên chấm công",$S$3:S755,S755)&gt;3,"Không chấm công do vi phạm quá 3 lần",IF(COUNTIFS($AC$3:AC755,"Quên chấm công",$S$3:S755,S755)&gt;2,"Trừ toàn bộ chuyên cần tháng do vi phạm lần 3",IF(COUNTIFS($AC$3:AC755,"Quên chấm công",$S$3:S755,S755)&gt;1,"Trừ 1/2 ngày lương",50000))))</f>
        <v/>
      </c>
      <c r="AH755" s="12" t="str">
        <f>IF(AF755=0,"",IF(COUNTIFS($AF$3:AF755,"&gt;0",$S$3:S755,S755)&gt;3,"Trừ toàn bộ chuyên cần tháng",""))</f>
        <v/>
      </c>
      <c r="AI755" s="12"/>
    </row>
    <row r="756" spans="1:35" x14ac:dyDescent="0.25">
      <c r="A756" s="4" t="s">
        <v>1135</v>
      </c>
      <c r="B756" s="1" t="s">
        <v>1136</v>
      </c>
      <c r="C756" s="1" t="s">
        <v>20</v>
      </c>
      <c r="D756" s="1" t="s">
        <v>35</v>
      </c>
      <c r="E756" s="1" t="s">
        <v>22</v>
      </c>
      <c r="F756" s="1" t="s">
        <v>23</v>
      </c>
      <c r="G756" s="1" t="s">
        <v>12</v>
      </c>
      <c r="H756" s="1" t="s">
        <v>24</v>
      </c>
      <c r="I756" s="1" t="s">
        <v>24</v>
      </c>
      <c r="J756" s="1" t="s">
        <v>25</v>
      </c>
      <c r="K756" s="1" t="s">
        <v>25</v>
      </c>
      <c r="L756" s="1" t="s">
        <v>26</v>
      </c>
      <c r="M756" s="1" t="s">
        <v>25</v>
      </c>
      <c r="N756" s="1" t="s">
        <v>25</v>
      </c>
      <c r="O756" s="1" t="s">
        <v>25</v>
      </c>
      <c r="P756" s="1" t="s">
        <v>25</v>
      </c>
      <c r="Q756" s="1" t="s">
        <v>25</v>
      </c>
      <c r="R756" s="85" t="str">
        <f t="shared" si="44"/>
        <v>6445904</v>
      </c>
      <c r="S756" t="str">
        <f>VLOOKUP(A756,Data_NV!$A:$C,3,0)</f>
        <v>Đoàn Thị Thanh Hương</v>
      </c>
      <c r="T756" t="str">
        <f>VLOOKUP(A756,Data_NV!$A:$E,4,0)</f>
        <v>Kế toán - Văn phòng</v>
      </c>
      <c r="U756" s="82">
        <f>DATEVALUE(Table2[[#This Row],[Ngày]])</f>
        <v>45904</v>
      </c>
      <c r="V756" t="str">
        <f>VLOOKUP(A756,Data_NV!$A:$E,5,0)</f>
        <v>Đang làm việc</v>
      </c>
      <c r="W756" s="10">
        <f>VLOOKUP(A756,Data_NV!$A:$I,8,0)</f>
        <v>0.33333333333333331</v>
      </c>
      <c r="X756" s="10">
        <f>VLOOKUP(A756,Data_NV!$A:$I,9,0)</f>
        <v>0.70833333333333337</v>
      </c>
      <c r="Y756" s="10">
        <f>IFERROR(TIMEVALUE(Table2[[#This Row],[Vào]]),0)</f>
        <v>0</v>
      </c>
      <c r="Z756" s="10">
        <f>IFERROR(TIMEVALUE(Table2[[#This Row],[Ra]]),0)</f>
        <v>0</v>
      </c>
      <c r="AA756" t="str">
        <f t="shared" si="45"/>
        <v/>
      </c>
      <c r="AB756" s="105">
        <f t="shared" si="46"/>
        <v>0</v>
      </c>
      <c r="AC756" s="12" t="str">
        <f>IF(VLOOKUP(A756,Data_NV!$A:$I,7,0)="Không","",IF(OR(AND(Y756=0,Z756=0),AND(Y756&lt;&gt;0,Z756&lt;&gt;0)),"","Quên chấm công"))</f>
        <v/>
      </c>
      <c r="AD756" s="12">
        <f>IF(VLOOKUP(A756,Data_NV!$A:$I,7,0)="Không",0,IF(AND(Y756=0,Z756=0),0,IF(X756&lt;=Z756,0,ROUNDDOWN((X756-Z756)*24*60,0))))</f>
        <v>0</v>
      </c>
      <c r="AE756" s="12">
        <f>IF(VLOOKUP(A756,Data_NV!$A:$I,6,0)="Không",0,IF(Z756&lt;=X756,0,ROUNDDOWN((Z756-X756)*24*60,0)))</f>
        <v>0</v>
      </c>
      <c r="AF756" s="26">
        <f t="shared" si="47"/>
        <v>0</v>
      </c>
      <c r="AG756" s="27" t="str">
        <f>IF(AC756="","",IF(COUNTIFS($AC$3:AC756,"Quên chấm công",$S$3:S756,S756)&gt;3,"Không chấm công do vi phạm quá 3 lần",IF(COUNTIFS($AC$3:AC756,"Quên chấm công",$S$3:S756,S756)&gt;2,"Trừ toàn bộ chuyên cần tháng do vi phạm lần 3",IF(COUNTIFS($AC$3:AC756,"Quên chấm công",$S$3:S756,S756)&gt;1,"Trừ 1/2 ngày lương",50000))))</f>
        <v/>
      </c>
      <c r="AH756" s="12" t="str">
        <f>IF(AF756=0,"",IF(COUNTIFS($AF$3:AF756,"&gt;0",$S$3:S756,S756)&gt;3,"Trừ toàn bộ chuyên cần tháng",""))</f>
        <v/>
      </c>
      <c r="AI756" s="12" t="s">
        <v>1421</v>
      </c>
    </row>
    <row r="757" spans="1:35" x14ac:dyDescent="0.25">
      <c r="A757" s="4" t="s">
        <v>1135</v>
      </c>
      <c r="B757" s="1" t="s">
        <v>1136</v>
      </c>
      <c r="C757" s="1" t="s">
        <v>20</v>
      </c>
      <c r="D757" s="1" t="s">
        <v>37</v>
      </c>
      <c r="E757" s="1" t="s">
        <v>22</v>
      </c>
      <c r="F757" s="1" t="s">
        <v>23</v>
      </c>
      <c r="G757" s="1" t="s">
        <v>10</v>
      </c>
      <c r="H757" s="1" t="s">
        <v>1139</v>
      </c>
      <c r="I757" s="1" t="s">
        <v>1140</v>
      </c>
      <c r="J757" s="1" t="s">
        <v>248</v>
      </c>
      <c r="K757" s="1" t="s">
        <v>114</v>
      </c>
      <c r="L757" s="1" t="s">
        <v>25</v>
      </c>
      <c r="M757" s="1" t="s">
        <v>26</v>
      </c>
      <c r="N757" s="1" t="s">
        <v>25</v>
      </c>
      <c r="O757" s="1" t="s">
        <v>846</v>
      </c>
      <c r="P757" s="1" t="s">
        <v>25</v>
      </c>
      <c r="Q757" s="1" t="s">
        <v>25</v>
      </c>
      <c r="R757" s="85" t="str">
        <f t="shared" si="44"/>
        <v>6445905</v>
      </c>
      <c r="S757" t="str">
        <f>VLOOKUP(A757,Data_NV!$A:$C,3,0)</f>
        <v>Đoàn Thị Thanh Hương</v>
      </c>
      <c r="T757" t="str">
        <f>VLOOKUP(A757,Data_NV!$A:$E,4,0)</f>
        <v>Kế toán - Văn phòng</v>
      </c>
      <c r="U757" s="82">
        <f>DATEVALUE(Table2[[#This Row],[Ngày]])</f>
        <v>45905</v>
      </c>
      <c r="V757" t="str">
        <f>VLOOKUP(A757,Data_NV!$A:$E,5,0)</f>
        <v>Đang làm việc</v>
      </c>
      <c r="W757" s="10">
        <f>VLOOKUP(A757,Data_NV!$A:$I,8,0)</f>
        <v>0.33333333333333331</v>
      </c>
      <c r="X757" s="10">
        <f>VLOOKUP(A757,Data_NV!$A:$I,9,0)</f>
        <v>0.70833333333333337</v>
      </c>
      <c r="Y757" s="10">
        <f>IFERROR(TIMEVALUE(Table2[[#This Row],[Vào]]),0)</f>
        <v>0.33850694444444446</v>
      </c>
      <c r="Z757" s="10">
        <f>IFERROR(TIMEVALUE(Table2[[#This Row],[Ra]]),0)</f>
        <v>0.78399305555555554</v>
      </c>
      <c r="AA757" t="str">
        <f t="shared" si="45"/>
        <v>x</v>
      </c>
      <c r="AB757" s="105">
        <f t="shared" si="46"/>
        <v>7.4500000000000455</v>
      </c>
      <c r="AC757" s="12" t="str">
        <f>IF(VLOOKUP(A757,Data_NV!$A:$I,7,0)="Không","",IF(OR(AND(Y757=0,Z757=0),AND(Y757&lt;&gt;0,Z757&lt;&gt;0)),"","Quên chấm công"))</f>
        <v/>
      </c>
      <c r="AD757" s="12">
        <f>IF(VLOOKUP(A757,Data_NV!$A:$I,7,0)="Không",0,IF(AND(Y757=0,Z757=0),0,IF(X757&lt;=Z757,0,ROUNDDOWN((X757-Z757)*24*60,0))))</f>
        <v>0</v>
      </c>
      <c r="AE757" s="12">
        <f>IF(VLOOKUP(A757,Data_NV!$A:$I,6,0)="Không",0,IF(Z757&lt;=X757,0,ROUNDDOWN((Z757-X757)*24*60,0)))</f>
        <v>108</v>
      </c>
      <c r="AF757" s="26">
        <f t="shared" si="47"/>
        <v>30000</v>
      </c>
      <c r="AG757" s="27" t="str">
        <f>IF(AC757="","",IF(COUNTIFS($AC$3:AC757,"Quên chấm công",$S$3:S757,S757)&gt;3,"Không chấm công do vi phạm quá 3 lần",IF(COUNTIFS($AC$3:AC757,"Quên chấm công",$S$3:S757,S757)&gt;2,"Trừ toàn bộ chuyên cần tháng do vi phạm lần 3",IF(COUNTIFS($AC$3:AC757,"Quên chấm công",$S$3:S757,S757)&gt;1,"Trừ 1/2 ngày lương",50000))))</f>
        <v/>
      </c>
      <c r="AH757" s="12" t="str">
        <f>IF(AF757=0,"",IF(COUNTIFS($AF$3:AF757,"&gt;0",$S$3:S757,S757)&gt;3,"Trừ toàn bộ chuyên cần tháng",""))</f>
        <v/>
      </c>
      <c r="AI757" s="12"/>
    </row>
    <row r="758" spans="1:35" x14ac:dyDescent="0.25">
      <c r="A758" s="4" t="s">
        <v>1135</v>
      </c>
      <c r="B758" s="1" t="s">
        <v>1136</v>
      </c>
      <c r="C758" s="1" t="s">
        <v>20</v>
      </c>
      <c r="D758" s="1" t="s">
        <v>42</v>
      </c>
      <c r="E758" s="1" t="s">
        <v>22</v>
      </c>
      <c r="F758" s="1" t="s">
        <v>23</v>
      </c>
      <c r="G758" s="1" t="s">
        <v>29</v>
      </c>
      <c r="H758" s="1" t="s">
        <v>982</v>
      </c>
      <c r="I758" s="1" t="s">
        <v>1141</v>
      </c>
      <c r="J758" s="1" t="s">
        <v>25</v>
      </c>
      <c r="K758" s="1" t="s">
        <v>520</v>
      </c>
      <c r="L758" s="1" t="s">
        <v>25</v>
      </c>
      <c r="M758" s="1" t="s">
        <v>26</v>
      </c>
      <c r="N758" s="1" t="s">
        <v>25</v>
      </c>
      <c r="O758" s="1" t="s">
        <v>521</v>
      </c>
      <c r="P758" s="1" t="s">
        <v>25</v>
      </c>
      <c r="Q758" s="1" t="s">
        <v>25</v>
      </c>
      <c r="R758" s="85" t="str">
        <f t="shared" si="44"/>
        <v>6445906</v>
      </c>
      <c r="S758" t="str">
        <f>VLOOKUP(A758,Data_NV!$A:$C,3,0)</f>
        <v>Đoàn Thị Thanh Hương</v>
      </c>
      <c r="T758" t="str">
        <f>VLOOKUP(A758,Data_NV!$A:$E,4,0)</f>
        <v>Kế toán - Văn phòng</v>
      </c>
      <c r="U758" s="82">
        <f>DATEVALUE(Table2[[#This Row],[Ngày]])</f>
        <v>45906</v>
      </c>
      <c r="V758" t="str">
        <f>VLOOKUP(A758,Data_NV!$A:$E,5,0)</f>
        <v>Đang làm việc</v>
      </c>
      <c r="W758" s="10">
        <f>VLOOKUP(A758,Data_NV!$A:$I,8,0)</f>
        <v>0.33333333333333331</v>
      </c>
      <c r="X758" s="10">
        <f>VLOOKUP(A758,Data_NV!$A:$I,9,0)</f>
        <v>0.70833333333333337</v>
      </c>
      <c r="Y758" s="10">
        <f>IFERROR(TIMEVALUE(Table2[[#This Row],[Vào]]),0)</f>
        <v>0.33086805555555554</v>
      </c>
      <c r="Z758" s="10">
        <f>IFERROR(TIMEVALUE(Table2[[#This Row],[Ra]]),0)</f>
        <v>0.7863310185185185</v>
      </c>
      <c r="AA758" t="str">
        <f t="shared" si="45"/>
        <v>x</v>
      </c>
      <c r="AB758" s="105">
        <f t="shared" si="46"/>
        <v>0</v>
      </c>
      <c r="AC758" s="12" t="str">
        <f>IF(VLOOKUP(A758,Data_NV!$A:$I,7,0)="Không","",IF(OR(AND(Y758=0,Z758=0),AND(Y758&lt;&gt;0,Z758&lt;&gt;0)),"","Quên chấm công"))</f>
        <v/>
      </c>
      <c r="AD758" s="12">
        <f>IF(VLOOKUP(A758,Data_NV!$A:$I,7,0)="Không",0,IF(AND(Y758=0,Z758=0),0,IF(X758&lt;=Z758,0,ROUNDDOWN((X758-Z758)*24*60,0))))</f>
        <v>0</v>
      </c>
      <c r="AE758" s="12">
        <f>IF(VLOOKUP(A758,Data_NV!$A:$I,6,0)="Không",0,IF(Z758&lt;=X758,0,ROUNDDOWN((Z758-X758)*24*60,0)))</f>
        <v>112</v>
      </c>
      <c r="AF758" s="26">
        <f t="shared" si="47"/>
        <v>0</v>
      </c>
      <c r="AG758" s="27" t="str">
        <f>IF(AC758="","",IF(COUNTIFS($AC$3:AC758,"Quên chấm công",$S$3:S758,S758)&gt;3,"Không chấm công do vi phạm quá 3 lần",IF(COUNTIFS($AC$3:AC758,"Quên chấm công",$S$3:S758,S758)&gt;2,"Trừ toàn bộ chuyên cần tháng do vi phạm lần 3",IF(COUNTIFS($AC$3:AC758,"Quên chấm công",$S$3:S758,S758)&gt;1,"Trừ 1/2 ngày lương",50000))))</f>
        <v/>
      </c>
      <c r="AH758" s="12" t="str">
        <f>IF(AF758=0,"",IF(COUNTIFS($AF$3:AF758,"&gt;0",$S$3:S758,S758)&gt;3,"Trừ toàn bộ chuyên cần tháng",""))</f>
        <v/>
      </c>
      <c r="AI758" s="12"/>
    </row>
    <row r="759" spans="1:35" x14ac:dyDescent="0.25">
      <c r="A759" s="4" t="s">
        <v>1135</v>
      </c>
      <c r="B759" s="1" t="s">
        <v>1136</v>
      </c>
      <c r="C759" s="1" t="s">
        <v>20</v>
      </c>
      <c r="D759" s="1" t="s">
        <v>47</v>
      </c>
      <c r="E759" s="1" t="s">
        <v>22</v>
      </c>
      <c r="F759" s="1" t="s">
        <v>23</v>
      </c>
      <c r="G759" s="1" t="s">
        <v>12</v>
      </c>
      <c r="H759" s="1" t="s">
        <v>24</v>
      </c>
      <c r="I759" s="1" t="s">
        <v>24</v>
      </c>
      <c r="J759" s="1" t="s">
        <v>25</v>
      </c>
      <c r="K759" s="1" t="s">
        <v>25</v>
      </c>
      <c r="L759" s="1" t="s">
        <v>26</v>
      </c>
      <c r="M759" s="1" t="s">
        <v>25</v>
      </c>
      <c r="N759" s="1" t="s">
        <v>25</v>
      </c>
      <c r="O759" s="1" t="s">
        <v>25</v>
      </c>
      <c r="P759" s="1" t="s">
        <v>25</v>
      </c>
      <c r="Q759" s="1" t="s">
        <v>25</v>
      </c>
      <c r="R759" s="85" t="str">
        <f t="shared" si="44"/>
        <v>6445907</v>
      </c>
      <c r="S759" t="str">
        <f>VLOOKUP(A759,Data_NV!$A:$C,3,0)</f>
        <v>Đoàn Thị Thanh Hương</v>
      </c>
      <c r="T759" t="str">
        <f>VLOOKUP(A759,Data_NV!$A:$E,4,0)</f>
        <v>Kế toán - Văn phòng</v>
      </c>
      <c r="U759" s="82">
        <f>DATEVALUE(Table2[[#This Row],[Ngày]])</f>
        <v>45907</v>
      </c>
      <c r="V759" t="str">
        <f>VLOOKUP(A759,Data_NV!$A:$E,5,0)</f>
        <v>Đang làm việc</v>
      </c>
      <c r="W759" s="10">
        <f>VLOOKUP(A759,Data_NV!$A:$I,8,0)</f>
        <v>0.33333333333333331</v>
      </c>
      <c r="X759" s="10">
        <f>VLOOKUP(A759,Data_NV!$A:$I,9,0)</f>
        <v>0.70833333333333337</v>
      </c>
      <c r="Y759" s="10">
        <f>IFERROR(TIMEVALUE(Table2[[#This Row],[Vào]]),0)</f>
        <v>0</v>
      </c>
      <c r="Z759" s="10">
        <f>IFERROR(TIMEVALUE(Table2[[#This Row],[Ra]]),0)</f>
        <v>0</v>
      </c>
      <c r="AA759" t="str">
        <f t="shared" si="45"/>
        <v>Chủ nhật</v>
      </c>
      <c r="AB759" s="105">
        <f t="shared" si="46"/>
        <v>0</v>
      </c>
      <c r="AC759" s="12" t="str">
        <f>IF(VLOOKUP(A759,Data_NV!$A:$I,7,0)="Không","",IF(OR(AND(Y759=0,Z759=0),AND(Y759&lt;&gt;0,Z759&lt;&gt;0)),"","Quên chấm công"))</f>
        <v/>
      </c>
      <c r="AD759" s="12">
        <f>IF(VLOOKUP(A759,Data_NV!$A:$I,7,0)="Không",0,IF(AND(Y759=0,Z759=0),0,IF(X759&lt;=Z759,0,ROUNDDOWN((X759-Z759)*24*60,0))))</f>
        <v>0</v>
      </c>
      <c r="AE759" s="12">
        <f>IF(VLOOKUP(A759,Data_NV!$A:$I,6,0)="Không",0,IF(Z759&lt;=X759,0,ROUNDDOWN((Z759-X759)*24*60,0)))</f>
        <v>0</v>
      </c>
      <c r="AF759" s="26">
        <f t="shared" si="47"/>
        <v>0</v>
      </c>
      <c r="AG759" s="27" t="str">
        <f>IF(AC759="","",IF(COUNTIFS($AC$3:AC759,"Quên chấm công",$S$3:S759,S759)&gt;3,"Không chấm công do vi phạm quá 3 lần",IF(COUNTIFS($AC$3:AC759,"Quên chấm công",$S$3:S759,S759)&gt;2,"Trừ toàn bộ chuyên cần tháng do vi phạm lần 3",IF(COUNTIFS($AC$3:AC759,"Quên chấm công",$S$3:S759,S759)&gt;1,"Trừ 1/2 ngày lương",50000))))</f>
        <v/>
      </c>
      <c r="AH759" s="12" t="str">
        <f>IF(AF759=0,"",IF(COUNTIFS($AF$3:AF759,"&gt;0",$S$3:S759,S759)&gt;3,"Trừ toàn bộ chuyên cần tháng",""))</f>
        <v/>
      </c>
      <c r="AI759" s="12"/>
    </row>
    <row r="760" spans="1:35" x14ac:dyDescent="0.25">
      <c r="A760" s="4" t="s">
        <v>1135</v>
      </c>
      <c r="B760" s="1" t="s">
        <v>1136</v>
      </c>
      <c r="C760" s="1" t="s">
        <v>20</v>
      </c>
      <c r="D760" s="1" t="s">
        <v>48</v>
      </c>
      <c r="E760" s="1" t="s">
        <v>22</v>
      </c>
      <c r="F760" s="1" t="s">
        <v>23</v>
      </c>
      <c r="G760" s="1" t="s">
        <v>10</v>
      </c>
      <c r="H760" s="1" t="s">
        <v>1142</v>
      </c>
      <c r="I760" s="1" t="s">
        <v>1143</v>
      </c>
      <c r="J760" s="1" t="s">
        <v>248</v>
      </c>
      <c r="K760" s="1" t="s">
        <v>304</v>
      </c>
      <c r="L760" s="1" t="s">
        <v>25</v>
      </c>
      <c r="M760" s="1" t="s">
        <v>26</v>
      </c>
      <c r="N760" s="1" t="s">
        <v>25</v>
      </c>
      <c r="O760" s="1" t="s">
        <v>513</v>
      </c>
      <c r="P760" s="1" t="s">
        <v>25</v>
      </c>
      <c r="Q760" s="1" t="s">
        <v>25</v>
      </c>
      <c r="R760" s="85" t="str">
        <f t="shared" si="44"/>
        <v>6445908</v>
      </c>
      <c r="S760" t="str">
        <f>VLOOKUP(A760,Data_NV!$A:$C,3,0)</f>
        <v>Đoàn Thị Thanh Hương</v>
      </c>
      <c r="T760" t="str">
        <f>VLOOKUP(A760,Data_NV!$A:$E,4,0)</f>
        <v>Kế toán - Văn phòng</v>
      </c>
      <c r="U760" s="82">
        <f>DATEVALUE(Table2[[#This Row],[Ngày]])</f>
        <v>45908</v>
      </c>
      <c r="V760" t="str">
        <f>VLOOKUP(A760,Data_NV!$A:$E,5,0)</f>
        <v>Đang làm việc</v>
      </c>
      <c r="W760" s="10">
        <f>VLOOKUP(A760,Data_NV!$A:$I,8,0)</f>
        <v>0.33333333333333331</v>
      </c>
      <c r="X760" s="10">
        <f>VLOOKUP(A760,Data_NV!$A:$I,9,0)</f>
        <v>0.70833333333333337</v>
      </c>
      <c r="Y760" s="10">
        <f>IFERROR(TIMEVALUE(Table2[[#This Row],[Vào]]),0)</f>
        <v>0.33836805555555555</v>
      </c>
      <c r="Z760" s="10">
        <f>IFERROR(TIMEVALUE(Table2[[#This Row],[Ra]]),0)</f>
        <v>0.77630787037037041</v>
      </c>
      <c r="AA760" t="str">
        <f t="shared" si="45"/>
        <v>x</v>
      </c>
      <c r="AB760" s="105">
        <f t="shared" si="46"/>
        <v>7.2500000000000142</v>
      </c>
      <c r="AC760" s="12" t="str">
        <f>IF(VLOOKUP(A760,Data_NV!$A:$I,7,0)="Không","",IF(OR(AND(Y760=0,Z760=0),AND(Y760&lt;&gt;0,Z760&lt;&gt;0)),"","Quên chấm công"))</f>
        <v/>
      </c>
      <c r="AD760" s="12">
        <f>IF(VLOOKUP(A760,Data_NV!$A:$I,7,0)="Không",0,IF(AND(Y760=0,Z760=0),0,IF(X760&lt;=Z760,0,ROUNDDOWN((X760-Z760)*24*60,0))))</f>
        <v>0</v>
      </c>
      <c r="AE760" s="12">
        <f>IF(VLOOKUP(A760,Data_NV!$A:$I,6,0)="Không",0,IF(Z760&lt;=X760,0,ROUNDDOWN((Z760-X760)*24*60,0)))</f>
        <v>97</v>
      </c>
      <c r="AF760" s="26">
        <f t="shared" si="47"/>
        <v>30000</v>
      </c>
      <c r="AG760" s="27" t="str">
        <f>IF(AC760="","",IF(COUNTIFS($AC$3:AC760,"Quên chấm công",$S$3:S760,S760)&gt;3,"Không chấm công do vi phạm quá 3 lần",IF(COUNTIFS($AC$3:AC760,"Quên chấm công",$S$3:S760,S760)&gt;2,"Trừ toàn bộ chuyên cần tháng do vi phạm lần 3",IF(COUNTIFS($AC$3:AC760,"Quên chấm công",$S$3:S760,S760)&gt;1,"Trừ 1/2 ngày lương",50000))))</f>
        <v/>
      </c>
      <c r="AH760" s="12" t="str">
        <f>IF(AF760=0,"",IF(COUNTIFS($AF$3:AF760,"&gt;0",$S$3:S760,S760)&gt;3,"Trừ toàn bộ chuyên cần tháng",""))</f>
        <v/>
      </c>
      <c r="AI760" s="12"/>
    </row>
    <row r="761" spans="1:35" x14ac:dyDescent="0.25">
      <c r="A761" s="4" t="s">
        <v>1135</v>
      </c>
      <c r="B761" s="1" t="s">
        <v>1136</v>
      </c>
      <c r="C761" s="1" t="s">
        <v>20</v>
      </c>
      <c r="D761" s="1" t="s">
        <v>53</v>
      </c>
      <c r="E761" s="1" t="s">
        <v>22</v>
      </c>
      <c r="F761" s="1" t="s">
        <v>23</v>
      </c>
      <c r="G761" s="1" t="s">
        <v>10</v>
      </c>
      <c r="H761" s="1" t="s">
        <v>1144</v>
      </c>
      <c r="I761" s="1" t="s">
        <v>1145</v>
      </c>
      <c r="J761" s="1" t="s">
        <v>248</v>
      </c>
      <c r="K761" s="1" t="s">
        <v>1146</v>
      </c>
      <c r="L761" s="1" t="s">
        <v>25</v>
      </c>
      <c r="M761" s="1" t="s">
        <v>26</v>
      </c>
      <c r="N761" s="1" t="s">
        <v>25</v>
      </c>
      <c r="O761" s="1" t="s">
        <v>33</v>
      </c>
      <c r="P761" s="1" t="s">
        <v>377</v>
      </c>
      <c r="Q761" s="1" t="s">
        <v>25</v>
      </c>
      <c r="R761" s="85" t="str">
        <f t="shared" si="44"/>
        <v>6445909</v>
      </c>
      <c r="S761" t="str">
        <f>VLOOKUP(A761,Data_NV!$A:$C,3,0)</f>
        <v>Đoàn Thị Thanh Hương</v>
      </c>
      <c r="T761" t="str">
        <f>VLOOKUP(A761,Data_NV!$A:$E,4,0)</f>
        <v>Kế toán - Văn phòng</v>
      </c>
      <c r="U761" s="82">
        <f>DATEVALUE(Table2[[#This Row],[Ngày]])</f>
        <v>45909</v>
      </c>
      <c r="V761" t="str">
        <f>VLOOKUP(A761,Data_NV!$A:$E,5,0)</f>
        <v>Đang làm việc</v>
      </c>
      <c r="W761" s="10">
        <f>VLOOKUP(A761,Data_NV!$A:$I,8,0)</f>
        <v>0.33333333333333331</v>
      </c>
      <c r="X761" s="10">
        <f>VLOOKUP(A761,Data_NV!$A:$I,9,0)</f>
        <v>0.70833333333333337</v>
      </c>
      <c r="Y761" s="10">
        <f>IFERROR(TIMEVALUE(Table2[[#This Row],[Vào]]),0)</f>
        <v>0.33825231481481483</v>
      </c>
      <c r="Z761" s="10">
        <f>IFERROR(TIMEVALUE(Table2[[#This Row],[Ra]]),0)</f>
        <v>0.83111111111111113</v>
      </c>
      <c r="AA761" t="str">
        <f t="shared" si="45"/>
        <v>x</v>
      </c>
      <c r="AB761" s="105">
        <f t="shared" si="46"/>
        <v>7.0833333333333748</v>
      </c>
      <c r="AC761" s="12" t="str">
        <f>IF(VLOOKUP(A761,Data_NV!$A:$I,7,0)="Không","",IF(OR(AND(Y761=0,Z761=0),AND(Y761&lt;&gt;0,Z761&lt;&gt;0)),"","Quên chấm công"))</f>
        <v/>
      </c>
      <c r="AD761" s="12">
        <f>IF(VLOOKUP(A761,Data_NV!$A:$I,7,0)="Không",0,IF(AND(Y761=0,Z761=0),0,IF(X761&lt;=Z761,0,ROUNDDOWN((X761-Z761)*24*60,0))))</f>
        <v>0</v>
      </c>
      <c r="AE761" s="12">
        <f>IF(VLOOKUP(A761,Data_NV!$A:$I,6,0)="Không",0,IF(Z761&lt;=X761,0,ROUNDDOWN((Z761-X761)*24*60,0)))</f>
        <v>176</v>
      </c>
      <c r="AF761" s="26">
        <f t="shared" si="47"/>
        <v>30000</v>
      </c>
      <c r="AG761" s="27" t="str">
        <f>IF(AC761="","",IF(COUNTIFS($AC$3:AC761,"Quên chấm công",$S$3:S761,S761)&gt;3,"Không chấm công do vi phạm quá 3 lần",IF(COUNTIFS($AC$3:AC761,"Quên chấm công",$S$3:S761,S761)&gt;2,"Trừ toàn bộ chuyên cần tháng do vi phạm lần 3",IF(COUNTIFS($AC$3:AC761,"Quên chấm công",$S$3:S761,S761)&gt;1,"Trừ 1/2 ngày lương",50000))))</f>
        <v/>
      </c>
      <c r="AH761" s="12" t="str">
        <f>IF(AF761=0,"",IF(COUNTIFS($AF$3:AF761,"&gt;0",$S$3:S761,S761)&gt;3,"Trừ toàn bộ chuyên cần tháng",""))</f>
        <v/>
      </c>
      <c r="AI761" s="12"/>
    </row>
    <row r="762" spans="1:35" x14ac:dyDescent="0.25">
      <c r="A762" s="4" t="s">
        <v>1135</v>
      </c>
      <c r="B762" s="1" t="s">
        <v>1136</v>
      </c>
      <c r="C762" s="1" t="s">
        <v>20</v>
      </c>
      <c r="D762" s="1" t="s">
        <v>58</v>
      </c>
      <c r="E762" s="1" t="s">
        <v>22</v>
      </c>
      <c r="F762" s="1" t="s">
        <v>23</v>
      </c>
      <c r="G762" s="1" t="s">
        <v>10</v>
      </c>
      <c r="H762" s="1" t="s">
        <v>1147</v>
      </c>
      <c r="I762" s="1" t="s">
        <v>1148</v>
      </c>
      <c r="J762" s="1" t="s">
        <v>691</v>
      </c>
      <c r="K762" s="1" t="s">
        <v>1149</v>
      </c>
      <c r="L762" s="1" t="s">
        <v>25</v>
      </c>
      <c r="M762" s="1" t="s">
        <v>26</v>
      </c>
      <c r="N762" s="1" t="s">
        <v>25</v>
      </c>
      <c r="O762" s="1" t="s">
        <v>33</v>
      </c>
      <c r="P762" s="1" t="s">
        <v>104</v>
      </c>
      <c r="Q762" s="1" t="s">
        <v>25</v>
      </c>
      <c r="R762" s="85" t="str">
        <f t="shared" si="44"/>
        <v>6445910</v>
      </c>
      <c r="S762" t="str">
        <f>VLOOKUP(A762,Data_NV!$A:$C,3,0)</f>
        <v>Đoàn Thị Thanh Hương</v>
      </c>
      <c r="T762" t="str">
        <f>VLOOKUP(A762,Data_NV!$A:$E,4,0)</f>
        <v>Kế toán - Văn phòng</v>
      </c>
      <c r="U762" s="82">
        <f>DATEVALUE(Table2[[#This Row],[Ngày]])</f>
        <v>45910</v>
      </c>
      <c r="V762" t="str">
        <f>VLOOKUP(A762,Data_NV!$A:$E,5,0)</f>
        <v>Đang làm việc</v>
      </c>
      <c r="W762" s="10">
        <f>VLOOKUP(A762,Data_NV!$A:$I,8,0)</f>
        <v>0.33333333333333331</v>
      </c>
      <c r="X762" s="10">
        <f>VLOOKUP(A762,Data_NV!$A:$I,9,0)</f>
        <v>0.70833333333333337</v>
      </c>
      <c r="Y762" s="10">
        <f>IFERROR(TIMEVALUE(Table2[[#This Row],[Vào]]),0)</f>
        <v>0.33542824074074074</v>
      </c>
      <c r="Z762" s="10">
        <f>IFERROR(TIMEVALUE(Table2[[#This Row],[Ra]]),0)</f>
        <v>0.81166666666666665</v>
      </c>
      <c r="AA762" t="str">
        <f t="shared" si="45"/>
        <v>x</v>
      </c>
      <c r="AB762" s="105">
        <f t="shared" si="46"/>
        <v>3.0166666666666853</v>
      </c>
      <c r="AC762" s="12" t="str">
        <f>IF(VLOOKUP(A762,Data_NV!$A:$I,7,0)="Không","",IF(OR(AND(Y762=0,Z762=0),AND(Y762&lt;&gt;0,Z762&lt;&gt;0)),"","Quên chấm công"))</f>
        <v/>
      </c>
      <c r="AD762" s="12">
        <f>IF(VLOOKUP(A762,Data_NV!$A:$I,7,0)="Không",0,IF(AND(Y762=0,Z762=0),0,IF(X762&lt;=Z762,0,ROUNDDOWN((X762-Z762)*24*60,0))))</f>
        <v>0</v>
      </c>
      <c r="AE762" s="12">
        <f>IF(VLOOKUP(A762,Data_NV!$A:$I,6,0)="Không",0,IF(Z762&lt;=X762,0,ROUNDDOWN((Z762-X762)*24*60,0)))</f>
        <v>148</v>
      </c>
      <c r="AF762" s="26">
        <f t="shared" si="47"/>
        <v>0</v>
      </c>
      <c r="AG762" s="27" t="str">
        <f>IF(AC762="","",IF(COUNTIFS($AC$3:AC762,"Quên chấm công",$S$3:S762,S762)&gt;3,"Không chấm công do vi phạm quá 3 lần",IF(COUNTIFS($AC$3:AC762,"Quên chấm công",$S$3:S762,S762)&gt;2,"Trừ toàn bộ chuyên cần tháng do vi phạm lần 3",IF(COUNTIFS($AC$3:AC762,"Quên chấm công",$S$3:S762,S762)&gt;1,"Trừ 1/2 ngày lương",50000))))</f>
        <v/>
      </c>
      <c r="AH762" s="12" t="str">
        <f>IF(AF762=0,"",IF(COUNTIFS($AF$3:AF762,"&gt;0",$S$3:S762,S762)&gt;3,"Trừ toàn bộ chuyên cần tháng",""))</f>
        <v/>
      </c>
      <c r="AI762" s="12"/>
    </row>
    <row r="763" spans="1:35" x14ac:dyDescent="0.25">
      <c r="A763" s="4" t="s">
        <v>1135</v>
      </c>
      <c r="B763" s="1" t="s">
        <v>1136</v>
      </c>
      <c r="C763" s="1" t="s">
        <v>20</v>
      </c>
      <c r="D763" s="1" t="s">
        <v>63</v>
      </c>
      <c r="E763" s="1" t="s">
        <v>22</v>
      </c>
      <c r="F763" s="1" t="s">
        <v>23</v>
      </c>
      <c r="G763" s="1" t="s">
        <v>10</v>
      </c>
      <c r="H763" s="1" t="s">
        <v>1150</v>
      </c>
      <c r="I763" s="1" t="s">
        <v>1151</v>
      </c>
      <c r="J763" s="1" t="s">
        <v>397</v>
      </c>
      <c r="K763" s="1" t="s">
        <v>1152</v>
      </c>
      <c r="L763" s="1" t="s">
        <v>25</v>
      </c>
      <c r="M763" s="1" t="s">
        <v>26</v>
      </c>
      <c r="N763" s="1" t="s">
        <v>25</v>
      </c>
      <c r="O763" s="1" t="s">
        <v>316</v>
      </c>
      <c r="P763" s="1" t="s">
        <v>25</v>
      </c>
      <c r="Q763" s="1" t="s">
        <v>25</v>
      </c>
      <c r="R763" s="85" t="str">
        <f t="shared" si="44"/>
        <v>6445911</v>
      </c>
      <c r="S763" t="str">
        <f>VLOOKUP(A763,Data_NV!$A:$C,3,0)</f>
        <v>Đoàn Thị Thanh Hương</v>
      </c>
      <c r="T763" t="str">
        <f>VLOOKUP(A763,Data_NV!$A:$E,4,0)</f>
        <v>Kế toán - Văn phòng</v>
      </c>
      <c r="U763" s="82">
        <f>DATEVALUE(Table2[[#This Row],[Ngày]])</f>
        <v>45911</v>
      </c>
      <c r="V763" t="str">
        <f>VLOOKUP(A763,Data_NV!$A:$E,5,0)</f>
        <v>Đang làm việc</v>
      </c>
      <c r="W763" s="10">
        <f>VLOOKUP(A763,Data_NV!$A:$I,8,0)</f>
        <v>0.33333333333333331</v>
      </c>
      <c r="X763" s="10">
        <f>VLOOKUP(A763,Data_NV!$A:$I,9,0)</f>
        <v>0.70833333333333337</v>
      </c>
      <c r="Y763" s="10">
        <f>IFERROR(TIMEVALUE(Table2[[#This Row],[Vào]]),0)</f>
        <v>0.35626157407407405</v>
      </c>
      <c r="Z763" s="10">
        <f>IFERROR(TIMEVALUE(Table2[[#This Row],[Ra]]),0)</f>
        <v>0.78670138888888885</v>
      </c>
      <c r="AA763" t="str">
        <f t="shared" si="45"/>
        <v>x</v>
      </c>
      <c r="AB763" s="105">
        <f t="shared" si="46"/>
        <v>33.016666666666659</v>
      </c>
      <c r="AC763" s="12" t="str">
        <f>IF(VLOOKUP(A763,Data_NV!$A:$I,7,0)="Không","",IF(OR(AND(Y763=0,Z763=0),AND(Y763&lt;&gt;0,Z763&lt;&gt;0)),"","Quên chấm công"))</f>
        <v/>
      </c>
      <c r="AD763" s="12">
        <f>IF(VLOOKUP(A763,Data_NV!$A:$I,7,0)="Không",0,IF(AND(Y763=0,Z763=0),0,IF(X763&lt;=Z763,0,ROUNDDOWN((X763-Z763)*24*60,0))))</f>
        <v>0</v>
      </c>
      <c r="AE763" s="12">
        <f>IF(VLOOKUP(A763,Data_NV!$A:$I,6,0)="Không",0,IF(Z763&lt;=X763,0,ROUNDDOWN((Z763-X763)*24*60,0)))</f>
        <v>112</v>
      </c>
      <c r="AF763" s="26">
        <f t="shared" si="47"/>
        <v>50000</v>
      </c>
      <c r="AG763" s="27" t="str">
        <f>IF(AC763="","",IF(COUNTIFS($AC$3:AC763,"Quên chấm công",$S$3:S763,S763)&gt;3,"Không chấm công do vi phạm quá 3 lần",IF(COUNTIFS($AC$3:AC763,"Quên chấm công",$S$3:S763,S763)&gt;2,"Trừ toàn bộ chuyên cần tháng do vi phạm lần 3",IF(COUNTIFS($AC$3:AC763,"Quên chấm công",$S$3:S763,S763)&gt;1,"Trừ 1/2 ngày lương",50000))))</f>
        <v/>
      </c>
      <c r="AH763" s="12" t="str">
        <f>IF(AF763=0,"",IF(COUNTIFS($AF$3:AF763,"&gt;0",$S$3:S763,S763)&gt;3,"Trừ toàn bộ chuyên cần tháng",""))</f>
        <v>Trừ toàn bộ chuyên cần tháng</v>
      </c>
      <c r="AI763" s="12"/>
    </row>
    <row r="764" spans="1:35" x14ac:dyDescent="0.25">
      <c r="A764" s="4" t="s">
        <v>1135</v>
      </c>
      <c r="B764" s="1" t="s">
        <v>1136</v>
      </c>
      <c r="C764" s="1" t="s">
        <v>20</v>
      </c>
      <c r="D764" s="1" t="s">
        <v>67</v>
      </c>
      <c r="E764" s="1" t="s">
        <v>22</v>
      </c>
      <c r="F764" s="1" t="s">
        <v>23</v>
      </c>
      <c r="G764" s="1" t="s">
        <v>10</v>
      </c>
      <c r="H764" s="1" t="s">
        <v>1153</v>
      </c>
      <c r="I764" s="1" t="s">
        <v>1068</v>
      </c>
      <c r="J764" s="1" t="s">
        <v>990</v>
      </c>
      <c r="K764" s="1" t="s">
        <v>692</v>
      </c>
      <c r="L764" s="1" t="s">
        <v>25</v>
      </c>
      <c r="M764" s="1" t="s">
        <v>26</v>
      </c>
      <c r="N764" s="1" t="s">
        <v>25</v>
      </c>
      <c r="O764" s="1" t="s">
        <v>407</v>
      </c>
      <c r="P764" s="1" t="s">
        <v>25</v>
      </c>
      <c r="Q764" s="1" t="s">
        <v>25</v>
      </c>
      <c r="R764" s="85" t="str">
        <f t="shared" si="44"/>
        <v>6445912</v>
      </c>
      <c r="S764" t="str">
        <f>VLOOKUP(A764,Data_NV!$A:$C,3,0)</f>
        <v>Đoàn Thị Thanh Hương</v>
      </c>
      <c r="T764" t="str">
        <f>VLOOKUP(A764,Data_NV!$A:$E,4,0)</f>
        <v>Kế toán - Văn phòng</v>
      </c>
      <c r="U764" s="82">
        <f>DATEVALUE(Table2[[#This Row],[Ngày]])</f>
        <v>45912</v>
      </c>
      <c r="V764" t="str">
        <f>VLOOKUP(A764,Data_NV!$A:$E,5,0)</f>
        <v>Đang làm việc</v>
      </c>
      <c r="W764" s="10">
        <f>VLOOKUP(A764,Data_NV!$A:$I,8,0)</f>
        <v>0.33333333333333331</v>
      </c>
      <c r="X764" s="10">
        <f>VLOOKUP(A764,Data_NV!$A:$I,9,0)</f>
        <v>0.70833333333333337</v>
      </c>
      <c r="Y764" s="10">
        <f>IFERROR(TIMEVALUE(Table2[[#This Row],[Vào]]),0)</f>
        <v>0.3397337962962963</v>
      </c>
      <c r="Z764" s="10">
        <f>IFERROR(TIMEVALUE(Table2[[#This Row],[Ra]]),0)</f>
        <v>0.73413194444444441</v>
      </c>
      <c r="AA764" t="str">
        <f t="shared" si="45"/>
        <v>x</v>
      </c>
      <c r="AB764" s="105">
        <f t="shared" si="46"/>
        <v>9.2166666666666952</v>
      </c>
      <c r="AC764" s="12" t="str">
        <f>IF(VLOOKUP(A764,Data_NV!$A:$I,7,0)="Không","",IF(OR(AND(Y764=0,Z764=0),AND(Y764&lt;&gt;0,Z764&lt;&gt;0)),"","Quên chấm công"))</f>
        <v/>
      </c>
      <c r="AD764" s="12">
        <f>IF(VLOOKUP(A764,Data_NV!$A:$I,7,0)="Không",0,IF(AND(Y764=0,Z764=0),0,IF(X764&lt;=Z764,0,ROUNDDOWN((X764-Z764)*24*60,0))))</f>
        <v>0</v>
      </c>
      <c r="AE764" s="12">
        <f>IF(VLOOKUP(A764,Data_NV!$A:$I,6,0)="Không",0,IF(Z764&lt;=X764,0,ROUNDDOWN((Z764-X764)*24*60,0)))</f>
        <v>37</v>
      </c>
      <c r="AF764" s="26">
        <f t="shared" si="47"/>
        <v>30000</v>
      </c>
      <c r="AG764" s="27" t="str">
        <f>IF(AC764="","",IF(COUNTIFS($AC$3:AC764,"Quên chấm công",$S$3:S764,S764)&gt;3,"Không chấm công do vi phạm quá 3 lần",IF(COUNTIFS($AC$3:AC764,"Quên chấm công",$S$3:S764,S764)&gt;2,"Trừ toàn bộ chuyên cần tháng do vi phạm lần 3",IF(COUNTIFS($AC$3:AC764,"Quên chấm công",$S$3:S764,S764)&gt;1,"Trừ 1/2 ngày lương",50000))))</f>
        <v/>
      </c>
      <c r="AH764" s="12" t="str">
        <f>IF(AF764=0,"",IF(COUNTIFS($AF$3:AF764,"&gt;0",$S$3:S764,S764)&gt;3,"Trừ toàn bộ chuyên cần tháng",""))</f>
        <v>Trừ toàn bộ chuyên cần tháng</v>
      </c>
      <c r="AI764" s="12"/>
    </row>
    <row r="765" spans="1:35" x14ac:dyDescent="0.25">
      <c r="A765" s="4" t="s">
        <v>1135</v>
      </c>
      <c r="B765" s="1" t="s">
        <v>1136</v>
      </c>
      <c r="C765" s="1" t="s">
        <v>20</v>
      </c>
      <c r="D765" s="1" t="s">
        <v>69</v>
      </c>
      <c r="E765" s="1" t="s">
        <v>22</v>
      </c>
      <c r="F765" s="1" t="s">
        <v>999</v>
      </c>
      <c r="G765" s="1" t="s">
        <v>12</v>
      </c>
      <c r="H765" s="1" t="s">
        <v>1154</v>
      </c>
      <c r="I765" s="1" t="s">
        <v>24</v>
      </c>
      <c r="J765" s="1" t="s">
        <v>25</v>
      </c>
      <c r="K765" s="1" t="s">
        <v>25</v>
      </c>
      <c r="L765" s="1" t="s">
        <v>1000</v>
      </c>
      <c r="M765" s="1" t="s">
        <v>25</v>
      </c>
      <c r="N765" s="1" t="s">
        <v>25</v>
      </c>
      <c r="O765" s="1" t="s">
        <v>25</v>
      </c>
      <c r="P765" s="1" t="s">
        <v>25</v>
      </c>
      <c r="Q765" s="1" t="s">
        <v>25</v>
      </c>
      <c r="R765" s="85" t="str">
        <f t="shared" si="44"/>
        <v>6445913</v>
      </c>
      <c r="S765" t="str">
        <f>VLOOKUP(A765,Data_NV!$A:$C,3,0)</f>
        <v>Đoàn Thị Thanh Hương</v>
      </c>
      <c r="T765" t="str">
        <f>VLOOKUP(A765,Data_NV!$A:$E,4,0)</f>
        <v>Kế toán - Văn phòng</v>
      </c>
      <c r="U765" s="82">
        <f>DATEVALUE(Table2[[#This Row],[Ngày]])</f>
        <v>45913</v>
      </c>
      <c r="V765" t="str">
        <f>VLOOKUP(A765,Data_NV!$A:$E,5,0)</f>
        <v>Đang làm việc</v>
      </c>
      <c r="W765" s="10">
        <f>VLOOKUP(A765,Data_NV!$A:$I,8,0)</f>
        <v>0.33333333333333331</v>
      </c>
      <c r="X765" s="10">
        <f>VLOOKUP(A765,Data_NV!$A:$I,9,0)</f>
        <v>0.70833333333333337</v>
      </c>
      <c r="Y765" s="10">
        <f>IFERROR(TIMEVALUE(Table2[[#This Row],[Vào]]),0)</f>
        <v>0.32876157407407408</v>
      </c>
      <c r="Z765" s="10">
        <f>IFERROR(TIMEVALUE(Table2[[#This Row],[Ra]]),0)</f>
        <v>0</v>
      </c>
      <c r="AA765" t="str">
        <f t="shared" si="45"/>
        <v>x</v>
      </c>
      <c r="AB765" s="105">
        <f t="shared" si="46"/>
        <v>0</v>
      </c>
      <c r="AC765" s="12" t="str">
        <f>IF(VLOOKUP(A765,Data_NV!$A:$I,7,0)="Không","",IF(OR(AND(Y765=0,Z765=0),AND(Y765&lt;&gt;0,Z765&lt;&gt;0)),"","Quên chấm công"))</f>
        <v>Quên chấm công</v>
      </c>
      <c r="AD765" s="12">
        <f>IF(VLOOKUP(A765,Data_NV!$A:$I,7,0)="Không",0,IF(AND(Y765=0,Z765=0),0,IF(X765&lt;=Z765,0,ROUNDDOWN((X765-Z765)*24*60,0))))</f>
        <v>1020</v>
      </c>
      <c r="AE765" s="12">
        <f>IF(VLOOKUP(A765,Data_NV!$A:$I,6,0)="Không",0,IF(Z765&lt;=X765,0,ROUNDDOWN((Z765-X765)*24*60,0)))</f>
        <v>0</v>
      </c>
      <c r="AF765" s="26">
        <f t="shared" si="47"/>
        <v>0</v>
      </c>
      <c r="AG765" s="27">
        <f>IF(AC765="","",IF(COUNTIFS($AC$3:AC765,"Quên chấm công",$S$3:S765,S765)&gt;3,"Không chấm công do vi phạm quá 3 lần",IF(COUNTIFS($AC$3:AC765,"Quên chấm công",$S$3:S765,S765)&gt;2,"Trừ toàn bộ chuyên cần tháng do vi phạm lần 3",IF(COUNTIFS($AC$3:AC765,"Quên chấm công",$S$3:S765,S765)&gt;1,"Trừ 1/2 ngày lương",50000))))</f>
        <v>50000</v>
      </c>
      <c r="AH765" s="12" t="str">
        <f>IF(AF765=0,"",IF(COUNTIFS($AF$3:AF765,"&gt;0",$S$3:S765,S765)&gt;3,"Trừ toàn bộ chuyên cần tháng",""))</f>
        <v/>
      </c>
      <c r="AI765" s="12"/>
    </row>
    <row r="766" spans="1:35" x14ac:dyDescent="0.25">
      <c r="A766" s="4" t="s">
        <v>1135</v>
      </c>
      <c r="B766" s="1" t="s">
        <v>1136</v>
      </c>
      <c r="C766" s="1" t="s">
        <v>20</v>
      </c>
      <c r="D766" s="1" t="s">
        <v>74</v>
      </c>
      <c r="E766" s="1" t="s">
        <v>22</v>
      </c>
      <c r="F766" s="1" t="s">
        <v>23</v>
      </c>
      <c r="G766" s="1" t="s">
        <v>12</v>
      </c>
      <c r="H766" s="1" t="s">
        <v>24</v>
      </c>
      <c r="I766" s="1" t="s">
        <v>24</v>
      </c>
      <c r="J766" s="1" t="s">
        <v>25</v>
      </c>
      <c r="K766" s="1" t="s">
        <v>25</v>
      </c>
      <c r="L766" s="1" t="s">
        <v>26</v>
      </c>
      <c r="M766" s="1" t="s">
        <v>25</v>
      </c>
      <c r="N766" s="1" t="s">
        <v>25</v>
      </c>
      <c r="O766" s="1" t="s">
        <v>25</v>
      </c>
      <c r="P766" s="1" t="s">
        <v>25</v>
      </c>
      <c r="Q766" s="1" t="s">
        <v>25</v>
      </c>
      <c r="R766" s="85" t="str">
        <f t="shared" si="44"/>
        <v>6445914</v>
      </c>
      <c r="S766" t="str">
        <f>VLOOKUP(A766,Data_NV!$A:$C,3,0)</f>
        <v>Đoàn Thị Thanh Hương</v>
      </c>
      <c r="T766" t="str">
        <f>VLOOKUP(A766,Data_NV!$A:$E,4,0)</f>
        <v>Kế toán - Văn phòng</v>
      </c>
      <c r="U766" s="82">
        <f>DATEVALUE(Table2[[#This Row],[Ngày]])</f>
        <v>45914</v>
      </c>
      <c r="V766" t="str">
        <f>VLOOKUP(A766,Data_NV!$A:$E,5,0)</f>
        <v>Đang làm việc</v>
      </c>
      <c r="W766" s="10">
        <f>VLOOKUP(A766,Data_NV!$A:$I,8,0)</f>
        <v>0.33333333333333331</v>
      </c>
      <c r="X766" s="10">
        <f>VLOOKUP(A766,Data_NV!$A:$I,9,0)</f>
        <v>0.70833333333333337</v>
      </c>
      <c r="Y766" s="10">
        <f>IFERROR(TIMEVALUE(Table2[[#This Row],[Vào]]),0)</f>
        <v>0</v>
      </c>
      <c r="Z766" s="10">
        <f>IFERROR(TIMEVALUE(Table2[[#This Row],[Ra]]),0)</f>
        <v>0</v>
      </c>
      <c r="AA766" t="str">
        <f t="shared" si="45"/>
        <v>Chủ nhật</v>
      </c>
      <c r="AB766" s="105">
        <f t="shared" si="46"/>
        <v>0</v>
      </c>
      <c r="AC766" s="12" t="str">
        <f>IF(VLOOKUP(A766,Data_NV!$A:$I,7,0)="Không","",IF(OR(AND(Y766=0,Z766=0),AND(Y766&lt;&gt;0,Z766&lt;&gt;0)),"","Quên chấm công"))</f>
        <v/>
      </c>
      <c r="AD766" s="12">
        <f>IF(VLOOKUP(A766,Data_NV!$A:$I,7,0)="Không",0,IF(AND(Y766=0,Z766=0),0,IF(X766&lt;=Z766,0,ROUNDDOWN((X766-Z766)*24*60,0))))</f>
        <v>0</v>
      </c>
      <c r="AE766" s="12">
        <f>IF(VLOOKUP(A766,Data_NV!$A:$I,6,0)="Không",0,IF(Z766&lt;=X766,0,ROUNDDOWN((Z766-X766)*24*60,0)))</f>
        <v>0</v>
      </c>
      <c r="AF766" s="26">
        <f t="shared" si="47"/>
        <v>0</v>
      </c>
      <c r="AG766" s="27" t="str">
        <f>IF(AC766="","",IF(COUNTIFS($AC$3:AC766,"Quên chấm công",$S$3:S766,S766)&gt;3,"Không chấm công do vi phạm quá 3 lần",IF(COUNTIFS($AC$3:AC766,"Quên chấm công",$S$3:S766,S766)&gt;2,"Trừ toàn bộ chuyên cần tháng do vi phạm lần 3",IF(COUNTIFS($AC$3:AC766,"Quên chấm công",$S$3:S766,S766)&gt;1,"Trừ 1/2 ngày lương",50000))))</f>
        <v/>
      </c>
      <c r="AH766" s="12" t="str">
        <f>IF(AF766=0,"",IF(COUNTIFS($AF$3:AF766,"&gt;0",$S$3:S766,S766)&gt;3,"Trừ toàn bộ chuyên cần tháng",""))</f>
        <v/>
      </c>
      <c r="AI766" s="12"/>
    </row>
    <row r="767" spans="1:35" x14ac:dyDescent="0.25">
      <c r="A767" s="4" t="s">
        <v>1135</v>
      </c>
      <c r="B767" s="1" t="s">
        <v>1136</v>
      </c>
      <c r="C767" s="1" t="s">
        <v>20</v>
      </c>
      <c r="D767" s="1" t="s">
        <v>75</v>
      </c>
      <c r="E767" s="1" t="s">
        <v>22</v>
      </c>
      <c r="F767" s="1" t="s">
        <v>23</v>
      </c>
      <c r="G767" s="1" t="s">
        <v>10</v>
      </c>
      <c r="H767" s="1" t="s">
        <v>1155</v>
      </c>
      <c r="I767" s="1" t="s">
        <v>844</v>
      </c>
      <c r="J767" s="1" t="s">
        <v>981</v>
      </c>
      <c r="K767" s="1" t="s">
        <v>860</v>
      </c>
      <c r="L767" s="1" t="s">
        <v>25</v>
      </c>
      <c r="M767" s="1" t="s">
        <v>26</v>
      </c>
      <c r="N767" s="1" t="s">
        <v>25</v>
      </c>
      <c r="O767" s="1" t="s">
        <v>846</v>
      </c>
      <c r="P767" s="1" t="s">
        <v>25</v>
      </c>
      <c r="Q767" s="1" t="s">
        <v>25</v>
      </c>
      <c r="R767" s="85" t="str">
        <f t="shared" si="44"/>
        <v>6445915</v>
      </c>
      <c r="S767" t="str">
        <f>VLOOKUP(A767,Data_NV!$A:$C,3,0)</f>
        <v>Đoàn Thị Thanh Hương</v>
      </c>
      <c r="T767" t="str">
        <f>VLOOKUP(A767,Data_NV!$A:$E,4,0)</f>
        <v>Kế toán - Văn phòng</v>
      </c>
      <c r="U767" s="82">
        <f>DATEVALUE(Table2[[#This Row],[Ngày]])</f>
        <v>45915</v>
      </c>
      <c r="V767" t="str">
        <f>VLOOKUP(A767,Data_NV!$A:$E,5,0)</f>
        <v>Đang làm việc</v>
      </c>
      <c r="W767" s="10">
        <f>VLOOKUP(A767,Data_NV!$A:$I,8,0)</f>
        <v>0.33333333333333331</v>
      </c>
      <c r="X767" s="10">
        <f>VLOOKUP(A767,Data_NV!$A:$I,9,0)</f>
        <v>0.70833333333333337</v>
      </c>
      <c r="Y767" s="10">
        <f>IFERROR(TIMEVALUE(Table2[[#This Row],[Vào]]),0)</f>
        <v>0.34446759259259258</v>
      </c>
      <c r="Z767" s="10">
        <f>IFERROR(TIMEVALUE(Table2[[#This Row],[Ra]]),0)</f>
        <v>0.78377314814814814</v>
      </c>
      <c r="AA767" t="str">
        <f t="shared" si="45"/>
        <v>x</v>
      </c>
      <c r="AB767" s="105">
        <f t="shared" si="46"/>
        <v>16.033333333333335</v>
      </c>
      <c r="AC767" s="12" t="str">
        <f>IF(VLOOKUP(A767,Data_NV!$A:$I,7,0)="Không","",IF(OR(AND(Y767=0,Z767=0),AND(Y767&lt;&gt;0,Z767&lt;&gt;0)),"","Quên chấm công"))</f>
        <v/>
      </c>
      <c r="AD767" s="12">
        <f>IF(VLOOKUP(A767,Data_NV!$A:$I,7,0)="Không",0,IF(AND(Y767=0,Z767=0),0,IF(X767&lt;=Z767,0,ROUNDDOWN((X767-Z767)*24*60,0))))</f>
        <v>0</v>
      </c>
      <c r="AE767" s="12">
        <f>IF(VLOOKUP(A767,Data_NV!$A:$I,6,0)="Không",0,IF(Z767&lt;=X767,0,ROUNDDOWN((Z767-X767)*24*60,0)))</f>
        <v>108</v>
      </c>
      <c r="AF767" s="26">
        <f t="shared" si="47"/>
        <v>50000</v>
      </c>
      <c r="AG767" s="27" t="str">
        <f>IF(AC767="","",IF(COUNTIFS($AC$3:AC767,"Quên chấm công",$S$3:S767,S767)&gt;3,"Không chấm công do vi phạm quá 3 lần",IF(COUNTIFS($AC$3:AC767,"Quên chấm công",$S$3:S767,S767)&gt;2,"Trừ toàn bộ chuyên cần tháng do vi phạm lần 3",IF(COUNTIFS($AC$3:AC767,"Quên chấm công",$S$3:S767,S767)&gt;1,"Trừ 1/2 ngày lương",50000))))</f>
        <v/>
      </c>
      <c r="AH767" s="12" t="str">
        <f>IF(AF767=0,"",IF(COUNTIFS($AF$3:AF767,"&gt;0",$S$3:S767,S767)&gt;3,"Trừ toàn bộ chuyên cần tháng",""))</f>
        <v>Trừ toàn bộ chuyên cần tháng</v>
      </c>
      <c r="AI767" s="12"/>
    </row>
    <row r="768" spans="1:35" x14ac:dyDescent="0.25">
      <c r="A768" s="4" t="s">
        <v>1135</v>
      </c>
      <c r="B768" s="1" t="s">
        <v>1136</v>
      </c>
      <c r="C768" s="1" t="s">
        <v>20</v>
      </c>
      <c r="D768" s="1" t="s">
        <v>80</v>
      </c>
      <c r="E768" s="1" t="s">
        <v>22</v>
      </c>
      <c r="F768" s="1" t="s">
        <v>23</v>
      </c>
      <c r="G768" s="1" t="s">
        <v>10</v>
      </c>
      <c r="H768" s="1" t="s">
        <v>1156</v>
      </c>
      <c r="I768" s="1" t="s">
        <v>1157</v>
      </c>
      <c r="J768" s="1" t="s">
        <v>628</v>
      </c>
      <c r="K768" s="1" t="s">
        <v>271</v>
      </c>
      <c r="L768" s="1" t="s">
        <v>25</v>
      </c>
      <c r="M768" s="1" t="s">
        <v>26</v>
      </c>
      <c r="N768" s="1" t="s">
        <v>25</v>
      </c>
      <c r="O768" s="1" t="s">
        <v>293</v>
      </c>
      <c r="P768" s="1" t="s">
        <v>25</v>
      </c>
      <c r="Q768" s="1" t="s">
        <v>25</v>
      </c>
      <c r="R768" s="85" t="str">
        <f t="shared" si="44"/>
        <v>6445916</v>
      </c>
      <c r="S768" t="str">
        <f>VLOOKUP(A768,Data_NV!$A:$C,3,0)</f>
        <v>Đoàn Thị Thanh Hương</v>
      </c>
      <c r="T768" t="str">
        <f>VLOOKUP(A768,Data_NV!$A:$E,4,0)</f>
        <v>Kế toán - Văn phòng</v>
      </c>
      <c r="U768" s="82">
        <f>DATEVALUE(Table2[[#This Row],[Ngày]])</f>
        <v>45916</v>
      </c>
      <c r="V768" t="str">
        <f>VLOOKUP(A768,Data_NV!$A:$E,5,0)</f>
        <v>Đang làm việc</v>
      </c>
      <c r="W768" s="10">
        <f>VLOOKUP(A768,Data_NV!$A:$I,8,0)</f>
        <v>0.33333333333333331</v>
      </c>
      <c r="X768" s="10">
        <f>VLOOKUP(A768,Data_NV!$A:$I,9,0)</f>
        <v>0.70833333333333337</v>
      </c>
      <c r="Y768" s="10">
        <f>IFERROR(TIMEVALUE(Table2[[#This Row],[Vào]]),0)</f>
        <v>0.3414699074074074</v>
      </c>
      <c r="Z768" s="10">
        <f>IFERROR(TIMEVALUE(Table2[[#This Row],[Ra]]),0)</f>
        <v>0.79030092592592593</v>
      </c>
      <c r="AA768" t="str">
        <f t="shared" si="45"/>
        <v>x</v>
      </c>
      <c r="AB768" s="105">
        <f t="shared" si="46"/>
        <v>11.716666666666686</v>
      </c>
      <c r="AC768" s="12" t="str">
        <f>IF(VLOOKUP(A768,Data_NV!$A:$I,7,0)="Không","",IF(OR(AND(Y768=0,Z768=0),AND(Y768&lt;&gt;0,Z768&lt;&gt;0)),"","Quên chấm công"))</f>
        <v/>
      </c>
      <c r="AD768" s="12">
        <f>IF(VLOOKUP(A768,Data_NV!$A:$I,7,0)="Không",0,IF(AND(Y768=0,Z768=0),0,IF(X768&lt;=Z768,0,ROUNDDOWN((X768-Z768)*24*60,0))))</f>
        <v>0</v>
      </c>
      <c r="AE768" s="12">
        <f>IF(VLOOKUP(A768,Data_NV!$A:$I,6,0)="Không",0,IF(Z768&lt;=X768,0,ROUNDDOWN((Z768-X768)*24*60,0)))</f>
        <v>118</v>
      </c>
      <c r="AF768" s="26">
        <f t="shared" si="47"/>
        <v>30000</v>
      </c>
      <c r="AG768" s="27" t="str">
        <f>IF(AC768="","",IF(COUNTIFS($AC$3:AC768,"Quên chấm công",$S$3:S768,S768)&gt;3,"Không chấm công do vi phạm quá 3 lần",IF(COUNTIFS($AC$3:AC768,"Quên chấm công",$S$3:S768,S768)&gt;2,"Trừ toàn bộ chuyên cần tháng do vi phạm lần 3",IF(COUNTIFS($AC$3:AC768,"Quên chấm công",$S$3:S768,S768)&gt;1,"Trừ 1/2 ngày lương",50000))))</f>
        <v/>
      </c>
      <c r="AH768" s="12" t="str">
        <f>IF(AF768=0,"",IF(COUNTIFS($AF$3:AF768,"&gt;0",$S$3:S768,S768)&gt;3,"Trừ toàn bộ chuyên cần tháng",""))</f>
        <v>Trừ toàn bộ chuyên cần tháng</v>
      </c>
      <c r="AI768" s="12"/>
    </row>
    <row r="769" spans="1:35" x14ac:dyDescent="0.25">
      <c r="A769" s="4" t="s">
        <v>1135</v>
      </c>
      <c r="B769" s="1" t="s">
        <v>1136</v>
      </c>
      <c r="C769" s="1" t="s">
        <v>20</v>
      </c>
      <c r="D769" s="1" t="s">
        <v>85</v>
      </c>
      <c r="E769" s="1" t="s">
        <v>22</v>
      </c>
      <c r="F769" s="1" t="s">
        <v>23</v>
      </c>
      <c r="G769" s="1" t="s">
        <v>10</v>
      </c>
      <c r="H769" s="1" t="s">
        <v>1158</v>
      </c>
      <c r="I769" s="1" t="s">
        <v>1159</v>
      </c>
      <c r="J769" s="1" t="s">
        <v>33</v>
      </c>
      <c r="K769" s="1" t="s">
        <v>884</v>
      </c>
      <c r="L769" s="1" t="s">
        <v>881</v>
      </c>
      <c r="M769" s="1" t="s">
        <v>884</v>
      </c>
      <c r="N769" s="1" t="s">
        <v>25</v>
      </c>
      <c r="O769" s="1" t="s">
        <v>115</v>
      </c>
      <c r="P769" s="1" t="s">
        <v>25</v>
      </c>
      <c r="Q769" s="1" t="s">
        <v>25</v>
      </c>
      <c r="R769" s="85" t="str">
        <f t="shared" si="44"/>
        <v>6445917</v>
      </c>
      <c r="S769" t="str">
        <f>VLOOKUP(A769,Data_NV!$A:$C,3,0)</f>
        <v>Đoàn Thị Thanh Hương</v>
      </c>
      <c r="T769" t="str">
        <f>VLOOKUP(A769,Data_NV!$A:$E,4,0)</f>
        <v>Kế toán - Văn phòng</v>
      </c>
      <c r="U769" s="82">
        <f>DATEVALUE(Table2[[#This Row],[Ngày]])</f>
        <v>45917</v>
      </c>
      <c r="V769" t="str">
        <f>VLOOKUP(A769,Data_NV!$A:$E,5,0)</f>
        <v>Đang làm việc</v>
      </c>
      <c r="W769" s="10">
        <f>VLOOKUP(A769,Data_NV!$A:$I,8,0)</f>
        <v>0.33333333333333331</v>
      </c>
      <c r="X769" s="10">
        <f>VLOOKUP(A769,Data_NV!$A:$I,9,0)</f>
        <v>0.70833333333333337</v>
      </c>
      <c r="Y769" s="10">
        <f>IFERROR(TIMEVALUE(Table2[[#This Row],[Vào]]),0)</f>
        <v>0.41662037037037036</v>
      </c>
      <c r="Z769" s="10">
        <f>IFERROR(TIMEVALUE(Table2[[#This Row],[Ra]]),0)</f>
        <v>0.77922453703703709</v>
      </c>
      <c r="AA769" t="str">
        <f t="shared" si="45"/>
        <v>1/2</v>
      </c>
      <c r="AB769" s="105">
        <f t="shared" si="46"/>
        <v>119.93333333333335</v>
      </c>
      <c r="AC769" s="12" t="str">
        <f>IF(VLOOKUP(A769,Data_NV!$A:$I,7,0)="Không","",IF(OR(AND(Y769=0,Z769=0),AND(Y769&lt;&gt;0,Z769&lt;&gt;0)),"","Quên chấm công"))</f>
        <v/>
      </c>
      <c r="AD769" s="12">
        <f>IF(VLOOKUP(A769,Data_NV!$A:$I,7,0)="Không",0,IF(AND(Y769=0,Z769=0),0,IF(X769&lt;=Z769,0,ROUNDDOWN((X769-Z769)*24*60,0))))</f>
        <v>0</v>
      </c>
      <c r="AE769" s="12">
        <f>IF(VLOOKUP(A769,Data_NV!$A:$I,6,0)="Không",0,IF(Z769&lt;=X769,0,ROUNDDOWN((Z769-X769)*24*60,0)))</f>
        <v>102</v>
      </c>
      <c r="AF769" s="26" t="str">
        <f t="shared" si="47"/>
        <v>Trừ 1/2 ngày lương</v>
      </c>
      <c r="AG769" s="27" t="str">
        <f>IF(AC769="","",IF(COUNTIFS($AC$3:AC769,"Quên chấm công",$S$3:S769,S769)&gt;3,"Không chấm công do vi phạm quá 3 lần",IF(COUNTIFS($AC$3:AC769,"Quên chấm công",$S$3:S769,S769)&gt;2,"Trừ toàn bộ chuyên cần tháng do vi phạm lần 3",IF(COUNTIFS($AC$3:AC769,"Quên chấm công",$S$3:S769,S769)&gt;1,"Trừ 1/2 ngày lương",50000))))</f>
        <v/>
      </c>
      <c r="AH769" s="12" t="str">
        <f>IF(AF769=0,"",IF(COUNTIFS($AF$3:AF769,"&gt;0",$S$3:S769,S769)&gt;3,"Trừ toàn bộ chuyên cần tháng",""))</f>
        <v>Trừ toàn bộ chuyên cần tháng</v>
      </c>
      <c r="AI769" s="12"/>
    </row>
    <row r="770" spans="1:35" x14ac:dyDescent="0.25">
      <c r="A770" s="4" t="s">
        <v>1135</v>
      </c>
      <c r="B770" s="1" t="s">
        <v>1136</v>
      </c>
      <c r="C770" s="1" t="s">
        <v>20</v>
      </c>
      <c r="D770" s="1" t="s">
        <v>90</v>
      </c>
      <c r="E770" s="1" t="s">
        <v>22</v>
      </c>
      <c r="F770" s="1" t="s">
        <v>23</v>
      </c>
      <c r="G770" s="1" t="s">
        <v>10</v>
      </c>
      <c r="H770" s="1" t="s">
        <v>1160</v>
      </c>
      <c r="I770" s="1" t="s">
        <v>1161</v>
      </c>
      <c r="J770" s="1" t="s">
        <v>251</v>
      </c>
      <c r="K770" s="1" t="s">
        <v>1162</v>
      </c>
      <c r="L770" s="1" t="s">
        <v>25</v>
      </c>
      <c r="M770" s="1" t="s">
        <v>26</v>
      </c>
      <c r="N770" s="1" t="s">
        <v>25</v>
      </c>
      <c r="O770" s="1" t="s">
        <v>33</v>
      </c>
      <c r="P770" s="1" t="s">
        <v>265</v>
      </c>
      <c r="Q770" s="1" t="s">
        <v>25</v>
      </c>
      <c r="R770" s="85" t="str">
        <f t="shared" si="44"/>
        <v>6445918</v>
      </c>
      <c r="S770" t="str">
        <f>VLOOKUP(A770,Data_NV!$A:$C,3,0)</f>
        <v>Đoàn Thị Thanh Hương</v>
      </c>
      <c r="T770" t="str">
        <f>VLOOKUP(A770,Data_NV!$A:$E,4,0)</f>
        <v>Kế toán - Văn phòng</v>
      </c>
      <c r="U770" s="82">
        <f>DATEVALUE(Table2[[#This Row],[Ngày]])</f>
        <v>45918</v>
      </c>
      <c r="V770" t="str">
        <f>VLOOKUP(A770,Data_NV!$A:$E,5,0)</f>
        <v>Đang làm việc</v>
      </c>
      <c r="W770" s="10">
        <f>VLOOKUP(A770,Data_NV!$A:$I,8,0)</f>
        <v>0.33333333333333331</v>
      </c>
      <c r="X770" s="10">
        <f>VLOOKUP(A770,Data_NV!$A:$I,9,0)</f>
        <v>0.70833333333333337</v>
      </c>
      <c r="Y770" s="10">
        <f>IFERROR(TIMEVALUE(Table2[[#This Row],[Vào]]),0)</f>
        <v>0.33603009259259259</v>
      </c>
      <c r="Z770" s="10">
        <f>IFERROR(TIMEVALUE(Table2[[#This Row],[Ra]]),0)</f>
        <v>0.80479166666666668</v>
      </c>
      <c r="AA770" t="str">
        <f t="shared" si="45"/>
        <v>x</v>
      </c>
      <c r="AB770" s="105">
        <f t="shared" si="46"/>
        <v>3.8833333333333542</v>
      </c>
      <c r="AC770" s="12" t="str">
        <f>IF(VLOOKUP(A770,Data_NV!$A:$I,7,0)="Không","",IF(OR(AND(Y770=0,Z770=0),AND(Y770&lt;&gt;0,Z770&lt;&gt;0)),"","Quên chấm công"))</f>
        <v/>
      </c>
      <c r="AD770" s="12">
        <f>IF(VLOOKUP(A770,Data_NV!$A:$I,7,0)="Không",0,IF(AND(Y770=0,Z770=0),0,IF(X770&lt;=Z770,0,ROUNDDOWN((X770-Z770)*24*60,0))))</f>
        <v>0</v>
      </c>
      <c r="AE770" s="12">
        <f>IF(VLOOKUP(A770,Data_NV!$A:$I,6,0)="Không",0,IF(Z770&lt;=X770,0,ROUNDDOWN((Z770-X770)*24*60,0)))</f>
        <v>138</v>
      </c>
      <c r="AF770" s="26">
        <f t="shared" si="47"/>
        <v>0</v>
      </c>
      <c r="AG770" s="27" t="str">
        <f>IF(AC770="","",IF(COUNTIFS($AC$3:AC770,"Quên chấm công",$S$3:S770,S770)&gt;3,"Không chấm công do vi phạm quá 3 lần",IF(COUNTIFS($AC$3:AC770,"Quên chấm công",$S$3:S770,S770)&gt;2,"Trừ toàn bộ chuyên cần tháng do vi phạm lần 3",IF(COUNTIFS($AC$3:AC770,"Quên chấm công",$S$3:S770,S770)&gt;1,"Trừ 1/2 ngày lương",50000))))</f>
        <v/>
      </c>
      <c r="AH770" s="12" t="str">
        <f>IF(AF770=0,"",IF(COUNTIFS($AF$3:AF770,"&gt;0",$S$3:S770,S770)&gt;3,"Trừ toàn bộ chuyên cần tháng",""))</f>
        <v/>
      </c>
      <c r="AI770" s="12"/>
    </row>
    <row r="771" spans="1:35" x14ac:dyDescent="0.25">
      <c r="A771" s="4" t="s">
        <v>1135</v>
      </c>
      <c r="B771" s="1" t="s">
        <v>1136</v>
      </c>
      <c r="C771" s="1" t="s">
        <v>20</v>
      </c>
      <c r="D771" s="1" t="s">
        <v>95</v>
      </c>
      <c r="E771" s="1" t="s">
        <v>22</v>
      </c>
      <c r="F771" s="1" t="s">
        <v>23</v>
      </c>
      <c r="G771" s="1" t="s">
        <v>10</v>
      </c>
      <c r="H771" s="1" t="s">
        <v>1163</v>
      </c>
      <c r="I771" s="1" t="s">
        <v>1164</v>
      </c>
      <c r="J771" s="1" t="s">
        <v>628</v>
      </c>
      <c r="K771" s="1" t="s">
        <v>512</v>
      </c>
      <c r="L771" s="1" t="s">
        <v>25</v>
      </c>
      <c r="M771" s="1" t="s">
        <v>26</v>
      </c>
      <c r="N771" s="1" t="s">
        <v>25</v>
      </c>
      <c r="O771" s="1" t="s">
        <v>870</v>
      </c>
      <c r="P771" s="1" t="s">
        <v>25</v>
      </c>
      <c r="Q771" s="1" t="s">
        <v>25</v>
      </c>
      <c r="R771" s="85" t="str">
        <f t="shared" ref="R771:R834" si="48">A771&amp;U771</f>
        <v>6445919</v>
      </c>
      <c r="S771" t="str">
        <f>VLOOKUP(A771,Data_NV!$A:$C,3,0)</f>
        <v>Đoàn Thị Thanh Hương</v>
      </c>
      <c r="T771" t="str">
        <f>VLOOKUP(A771,Data_NV!$A:$E,4,0)</f>
        <v>Kế toán - Văn phòng</v>
      </c>
      <c r="U771" s="82">
        <f>DATEVALUE(Table2[[#This Row],[Ngày]])</f>
        <v>45919</v>
      </c>
      <c r="V771" t="str">
        <f>VLOOKUP(A771,Data_NV!$A:$E,5,0)</f>
        <v>Đang làm việc</v>
      </c>
      <c r="W771" s="10">
        <f>VLOOKUP(A771,Data_NV!$A:$I,8,0)</f>
        <v>0.33333333333333331</v>
      </c>
      <c r="X771" s="10">
        <f>VLOOKUP(A771,Data_NV!$A:$I,9,0)</f>
        <v>0.70833333333333337</v>
      </c>
      <c r="Y771" s="10">
        <f>IFERROR(TIMEVALUE(Table2[[#This Row],[Vào]]),0)</f>
        <v>0.34142361111111114</v>
      </c>
      <c r="Z771" s="10">
        <f>IFERROR(TIMEVALUE(Table2[[#This Row],[Ra]]),0)</f>
        <v>0.78464120370370372</v>
      </c>
      <c r="AA771" t="str">
        <f t="shared" ref="AA771:AA834" si="49">IF(TEXT($U771,"ddd")="CN","Chủ nhật",IF(OR(AND(Y771=0,Z771=0),AG771="Không chấm công do vi phạm quá 3 lần"),"",IF(OR(AG771="Trừ 1/2 ngày lương",AF771="Trừ 1/2 ngày lương",AB771&gt;=60),"1/2","x")))</f>
        <v>x</v>
      </c>
      <c r="AB771" s="105">
        <f t="shared" ref="AB771:AB834" si="50">IF(Y771&lt;=W771,0,(Y771-W771)*24*60)</f>
        <v>11.650000000000063</v>
      </c>
      <c r="AC771" s="12" t="str">
        <f>IF(VLOOKUP(A771,Data_NV!$A:$I,7,0)="Không","",IF(OR(AND(Y771=0,Z771=0),AND(Y771&lt;&gt;0,Z771&lt;&gt;0)),"","Quên chấm công"))</f>
        <v/>
      </c>
      <c r="AD771" s="12">
        <f>IF(VLOOKUP(A771,Data_NV!$A:$I,7,0)="Không",0,IF(AND(Y771=0,Z771=0),0,IF(X771&lt;=Z771,0,ROUNDDOWN((X771-Z771)*24*60,0))))</f>
        <v>0</v>
      </c>
      <c r="AE771" s="12">
        <f>IF(VLOOKUP(A771,Data_NV!$A:$I,6,0)="Không",0,IF(Z771&lt;=X771,0,ROUNDDOWN((Z771-X771)*24*60,0)))</f>
        <v>109</v>
      </c>
      <c r="AF771" s="26">
        <f t="shared" ref="AF771:AF834" si="51">IF(AB771&gt;60,"Trừ 1/2 ngày lương",IF(AB771&gt;15,50000,IF(AB771&gt;6,30000,0)))</f>
        <v>30000</v>
      </c>
      <c r="AG771" s="27" t="str">
        <f>IF(AC771="","",IF(COUNTIFS($AC$3:AC771,"Quên chấm công",$S$3:S771,S771)&gt;3,"Không chấm công do vi phạm quá 3 lần",IF(COUNTIFS($AC$3:AC771,"Quên chấm công",$S$3:S771,S771)&gt;2,"Trừ toàn bộ chuyên cần tháng do vi phạm lần 3",IF(COUNTIFS($AC$3:AC771,"Quên chấm công",$S$3:S771,S771)&gt;1,"Trừ 1/2 ngày lương",50000))))</f>
        <v/>
      </c>
      <c r="AH771" s="12" t="str">
        <f>IF(AF771=0,"",IF(COUNTIFS($AF$3:AF771,"&gt;0",$S$3:S771,S771)&gt;3,"Trừ toàn bộ chuyên cần tháng",""))</f>
        <v>Trừ toàn bộ chuyên cần tháng</v>
      </c>
      <c r="AI771" s="12"/>
    </row>
    <row r="772" spans="1:35" x14ac:dyDescent="0.25">
      <c r="A772" s="4" t="s">
        <v>1135</v>
      </c>
      <c r="B772" s="1" t="s">
        <v>1136</v>
      </c>
      <c r="C772" s="1" t="s">
        <v>20</v>
      </c>
      <c r="D772" s="1" t="s">
        <v>100</v>
      </c>
      <c r="E772" s="1" t="s">
        <v>22</v>
      </c>
      <c r="F772" s="1" t="s">
        <v>23</v>
      </c>
      <c r="G772" s="1" t="s">
        <v>10</v>
      </c>
      <c r="H772" s="1" t="s">
        <v>820</v>
      </c>
      <c r="I772" s="1" t="s">
        <v>1165</v>
      </c>
      <c r="J772" s="1" t="s">
        <v>691</v>
      </c>
      <c r="K772" s="1" t="s">
        <v>565</v>
      </c>
      <c r="L772" s="1" t="s">
        <v>25</v>
      </c>
      <c r="M772" s="1" t="s">
        <v>26</v>
      </c>
      <c r="N772" s="1" t="s">
        <v>25</v>
      </c>
      <c r="O772" s="1" t="s">
        <v>52</v>
      </c>
      <c r="P772" s="1" t="s">
        <v>25</v>
      </c>
      <c r="Q772" s="1" t="s">
        <v>25</v>
      </c>
      <c r="R772" s="85" t="str">
        <f t="shared" si="48"/>
        <v>6445920</v>
      </c>
      <c r="S772" t="str">
        <f>VLOOKUP(A772,Data_NV!$A:$C,3,0)</f>
        <v>Đoàn Thị Thanh Hương</v>
      </c>
      <c r="T772" t="str">
        <f>VLOOKUP(A772,Data_NV!$A:$E,4,0)</f>
        <v>Kế toán - Văn phòng</v>
      </c>
      <c r="U772" s="82">
        <f>DATEVALUE(Table2[[#This Row],[Ngày]])</f>
        <v>45920</v>
      </c>
      <c r="V772" t="str">
        <f>VLOOKUP(A772,Data_NV!$A:$E,5,0)</f>
        <v>Đang làm việc</v>
      </c>
      <c r="W772" s="10">
        <f>VLOOKUP(A772,Data_NV!$A:$I,8,0)</f>
        <v>0.33333333333333331</v>
      </c>
      <c r="X772" s="10">
        <f>VLOOKUP(A772,Data_NV!$A:$I,9,0)</f>
        <v>0.70833333333333337</v>
      </c>
      <c r="Y772" s="10">
        <f>IFERROR(TIMEVALUE(Table2[[#This Row],[Vào]]),0)</f>
        <v>0.33556712962962965</v>
      </c>
      <c r="Z772" s="10">
        <f>IFERROR(TIMEVALUE(Table2[[#This Row],[Ra]]),0)</f>
        <v>0.77217592592592588</v>
      </c>
      <c r="AA772" t="str">
        <f t="shared" si="49"/>
        <v>x</v>
      </c>
      <c r="AB772" s="105">
        <f t="shared" si="50"/>
        <v>3.2166666666667165</v>
      </c>
      <c r="AC772" s="12" t="str">
        <f>IF(VLOOKUP(A772,Data_NV!$A:$I,7,0)="Không","",IF(OR(AND(Y772=0,Z772=0),AND(Y772&lt;&gt;0,Z772&lt;&gt;0)),"","Quên chấm công"))</f>
        <v/>
      </c>
      <c r="AD772" s="12">
        <f>IF(VLOOKUP(A772,Data_NV!$A:$I,7,0)="Không",0,IF(AND(Y772=0,Z772=0),0,IF(X772&lt;=Z772,0,ROUNDDOWN((X772-Z772)*24*60,0))))</f>
        <v>0</v>
      </c>
      <c r="AE772" s="12">
        <f>IF(VLOOKUP(A772,Data_NV!$A:$I,6,0)="Không",0,IF(Z772&lt;=X772,0,ROUNDDOWN((Z772-X772)*24*60,0)))</f>
        <v>91</v>
      </c>
      <c r="AF772" s="26">
        <f t="shared" si="51"/>
        <v>0</v>
      </c>
      <c r="AG772" s="27" t="str">
        <f>IF(AC772="","",IF(COUNTIFS($AC$3:AC772,"Quên chấm công",$S$3:S772,S772)&gt;3,"Không chấm công do vi phạm quá 3 lần",IF(COUNTIFS($AC$3:AC772,"Quên chấm công",$S$3:S772,S772)&gt;2,"Trừ toàn bộ chuyên cần tháng do vi phạm lần 3",IF(COUNTIFS($AC$3:AC772,"Quên chấm công",$S$3:S772,S772)&gt;1,"Trừ 1/2 ngày lương",50000))))</f>
        <v/>
      </c>
      <c r="AH772" s="12" t="str">
        <f>IF(AF772=0,"",IF(COUNTIFS($AF$3:AF772,"&gt;0",$S$3:S772,S772)&gt;3,"Trừ toàn bộ chuyên cần tháng",""))</f>
        <v/>
      </c>
      <c r="AI772" s="12"/>
    </row>
    <row r="773" spans="1:35" x14ac:dyDescent="0.25">
      <c r="A773" s="4" t="s">
        <v>1135</v>
      </c>
      <c r="B773" s="1" t="s">
        <v>1136</v>
      </c>
      <c r="C773" s="1" t="s">
        <v>20</v>
      </c>
      <c r="D773" s="1" t="s">
        <v>105</v>
      </c>
      <c r="E773" s="1" t="s">
        <v>22</v>
      </c>
      <c r="F773" s="1" t="s">
        <v>23</v>
      </c>
      <c r="G773" s="1" t="s">
        <v>12</v>
      </c>
      <c r="H773" s="1" t="s">
        <v>24</v>
      </c>
      <c r="I773" s="1" t="s">
        <v>24</v>
      </c>
      <c r="J773" s="1" t="s">
        <v>25</v>
      </c>
      <c r="K773" s="1" t="s">
        <v>25</v>
      </c>
      <c r="L773" s="1" t="s">
        <v>26</v>
      </c>
      <c r="M773" s="1" t="s">
        <v>25</v>
      </c>
      <c r="N773" s="1" t="s">
        <v>25</v>
      </c>
      <c r="O773" s="1" t="s">
        <v>25</v>
      </c>
      <c r="P773" s="1" t="s">
        <v>25</v>
      </c>
      <c r="Q773" s="1" t="s">
        <v>25</v>
      </c>
      <c r="R773" s="85" t="str">
        <f t="shared" si="48"/>
        <v>6445921</v>
      </c>
      <c r="S773" t="str">
        <f>VLOOKUP(A773,Data_NV!$A:$C,3,0)</f>
        <v>Đoàn Thị Thanh Hương</v>
      </c>
      <c r="T773" t="str">
        <f>VLOOKUP(A773,Data_NV!$A:$E,4,0)</f>
        <v>Kế toán - Văn phòng</v>
      </c>
      <c r="U773" s="82">
        <f>DATEVALUE(Table2[[#This Row],[Ngày]])</f>
        <v>45921</v>
      </c>
      <c r="V773" t="str">
        <f>VLOOKUP(A773,Data_NV!$A:$E,5,0)</f>
        <v>Đang làm việc</v>
      </c>
      <c r="W773" s="10">
        <f>VLOOKUP(A773,Data_NV!$A:$I,8,0)</f>
        <v>0.33333333333333331</v>
      </c>
      <c r="X773" s="10">
        <f>VLOOKUP(A773,Data_NV!$A:$I,9,0)</f>
        <v>0.70833333333333337</v>
      </c>
      <c r="Y773" s="10">
        <f>IFERROR(TIMEVALUE(Table2[[#This Row],[Vào]]),0)</f>
        <v>0</v>
      </c>
      <c r="Z773" s="10">
        <f>IFERROR(TIMEVALUE(Table2[[#This Row],[Ra]]),0)</f>
        <v>0</v>
      </c>
      <c r="AA773" t="str">
        <f t="shared" si="49"/>
        <v>Chủ nhật</v>
      </c>
      <c r="AB773" s="105">
        <f t="shared" si="50"/>
        <v>0</v>
      </c>
      <c r="AC773" s="12" t="str">
        <f>IF(VLOOKUP(A773,Data_NV!$A:$I,7,0)="Không","",IF(OR(AND(Y773=0,Z773=0),AND(Y773&lt;&gt;0,Z773&lt;&gt;0)),"","Quên chấm công"))</f>
        <v/>
      </c>
      <c r="AD773" s="12">
        <f>IF(VLOOKUP(A773,Data_NV!$A:$I,7,0)="Không",0,IF(AND(Y773=0,Z773=0),0,IF(X773&lt;=Z773,0,ROUNDDOWN((X773-Z773)*24*60,0))))</f>
        <v>0</v>
      </c>
      <c r="AE773" s="12">
        <f>IF(VLOOKUP(A773,Data_NV!$A:$I,6,0)="Không",0,IF(Z773&lt;=X773,0,ROUNDDOWN((Z773-X773)*24*60,0)))</f>
        <v>0</v>
      </c>
      <c r="AF773" s="26">
        <f t="shared" si="51"/>
        <v>0</v>
      </c>
      <c r="AG773" s="27" t="str">
        <f>IF(AC773="","",IF(COUNTIFS($AC$3:AC773,"Quên chấm công",$S$3:S773,S773)&gt;3,"Không chấm công do vi phạm quá 3 lần",IF(COUNTIFS($AC$3:AC773,"Quên chấm công",$S$3:S773,S773)&gt;2,"Trừ toàn bộ chuyên cần tháng do vi phạm lần 3",IF(COUNTIFS($AC$3:AC773,"Quên chấm công",$S$3:S773,S773)&gt;1,"Trừ 1/2 ngày lương",50000))))</f>
        <v/>
      </c>
      <c r="AH773" s="12" t="str">
        <f>IF(AF773=0,"",IF(COUNTIFS($AF$3:AF773,"&gt;0",$S$3:S773,S773)&gt;3,"Trừ toàn bộ chuyên cần tháng",""))</f>
        <v/>
      </c>
      <c r="AI773" s="12"/>
    </row>
    <row r="774" spans="1:35" x14ac:dyDescent="0.25">
      <c r="A774" s="4" t="s">
        <v>1135</v>
      </c>
      <c r="B774" s="1" t="s">
        <v>1136</v>
      </c>
      <c r="C774" s="1" t="s">
        <v>20</v>
      </c>
      <c r="D774" s="1" t="s">
        <v>106</v>
      </c>
      <c r="E774" s="1" t="s">
        <v>22</v>
      </c>
      <c r="F774" s="1" t="s">
        <v>23</v>
      </c>
      <c r="G774" s="1" t="s">
        <v>10</v>
      </c>
      <c r="H774" s="1" t="s">
        <v>1166</v>
      </c>
      <c r="I774" s="1" t="s">
        <v>1167</v>
      </c>
      <c r="J774" s="1" t="s">
        <v>634</v>
      </c>
      <c r="K774" s="1" t="s">
        <v>412</v>
      </c>
      <c r="L774" s="1" t="s">
        <v>25</v>
      </c>
      <c r="M774" s="1" t="s">
        <v>26</v>
      </c>
      <c r="N774" s="1" t="s">
        <v>25</v>
      </c>
      <c r="O774" s="1" t="s">
        <v>33</v>
      </c>
      <c r="P774" s="1" t="s">
        <v>1083</v>
      </c>
      <c r="Q774" s="1" t="s">
        <v>25</v>
      </c>
      <c r="R774" s="85" t="str">
        <f t="shared" si="48"/>
        <v>6445922</v>
      </c>
      <c r="S774" t="str">
        <f>VLOOKUP(A774,Data_NV!$A:$C,3,0)</f>
        <v>Đoàn Thị Thanh Hương</v>
      </c>
      <c r="T774" t="str">
        <f>VLOOKUP(A774,Data_NV!$A:$E,4,0)</f>
        <v>Kế toán - Văn phòng</v>
      </c>
      <c r="U774" s="82">
        <f>DATEVALUE(Table2[[#This Row],[Ngày]])</f>
        <v>45922</v>
      </c>
      <c r="V774" t="str">
        <f>VLOOKUP(A774,Data_NV!$A:$E,5,0)</f>
        <v>Đang làm việc</v>
      </c>
      <c r="W774" s="10">
        <f>VLOOKUP(A774,Data_NV!$A:$I,8,0)</f>
        <v>0.33333333333333331</v>
      </c>
      <c r="X774" s="10">
        <f>VLOOKUP(A774,Data_NV!$A:$I,9,0)</f>
        <v>0.70833333333333337</v>
      </c>
      <c r="Y774" s="10">
        <f>IFERROR(TIMEVALUE(Table2[[#This Row],[Vào]]),0)</f>
        <v>0.34722222222222221</v>
      </c>
      <c r="Z774" s="10">
        <f>IFERROR(TIMEVALUE(Table2[[#This Row],[Ra]]),0)</f>
        <v>0.80347222222222225</v>
      </c>
      <c r="AA774" t="str">
        <f t="shared" si="49"/>
        <v>x</v>
      </c>
      <c r="AB774" s="105">
        <f t="shared" si="50"/>
        <v>20.000000000000007</v>
      </c>
      <c r="AC774" s="12" t="str">
        <f>IF(VLOOKUP(A774,Data_NV!$A:$I,7,0)="Không","",IF(OR(AND(Y774=0,Z774=0),AND(Y774&lt;&gt;0,Z774&lt;&gt;0)),"","Quên chấm công"))</f>
        <v/>
      </c>
      <c r="AD774" s="12">
        <f>IF(VLOOKUP(A774,Data_NV!$A:$I,7,0)="Không",0,IF(AND(Y774=0,Z774=0),0,IF(X774&lt;=Z774,0,ROUNDDOWN((X774-Z774)*24*60,0))))</f>
        <v>0</v>
      </c>
      <c r="AE774" s="12">
        <f>IF(VLOOKUP(A774,Data_NV!$A:$I,6,0)="Không",0,IF(Z774&lt;=X774,0,ROUNDDOWN((Z774-X774)*24*60,0)))</f>
        <v>137</v>
      </c>
      <c r="AF774" s="26">
        <f t="shared" si="51"/>
        <v>50000</v>
      </c>
      <c r="AG774" s="27" t="str">
        <f>IF(AC774="","",IF(COUNTIFS($AC$3:AC774,"Quên chấm công",$S$3:S774,S774)&gt;3,"Không chấm công do vi phạm quá 3 lần",IF(COUNTIFS($AC$3:AC774,"Quên chấm công",$S$3:S774,S774)&gt;2,"Trừ toàn bộ chuyên cần tháng do vi phạm lần 3",IF(COUNTIFS($AC$3:AC774,"Quên chấm công",$S$3:S774,S774)&gt;1,"Trừ 1/2 ngày lương",50000))))</f>
        <v/>
      </c>
      <c r="AH774" s="12" t="str">
        <f>IF(AF774=0,"",IF(COUNTIFS($AF$3:AF774,"&gt;0",$S$3:S774,S774)&gt;3,"Trừ toàn bộ chuyên cần tháng",""))</f>
        <v>Trừ toàn bộ chuyên cần tháng</v>
      </c>
      <c r="AI774" s="12"/>
    </row>
    <row r="775" spans="1:35" x14ac:dyDescent="0.25">
      <c r="A775" s="4" t="s">
        <v>1135</v>
      </c>
      <c r="B775" s="1" t="s">
        <v>1136</v>
      </c>
      <c r="C775" s="1" t="s">
        <v>20</v>
      </c>
      <c r="D775" s="1" t="s">
        <v>111</v>
      </c>
      <c r="E775" s="1" t="s">
        <v>22</v>
      </c>
      <c r="F775" s="1" t="s">
        <v>23</v>
      </c>
      <c r="G775" s="1" t="s">
        <v>10</v>
      </c>
      <c r="H775" s="1" t="s">
        <v>1168</v>
      </c>
      <c r="I775" s="1" t="s">
        <v>1169</v>
      </c>
      <c r="J775" s="1" t="s">
        <v>981</v>
      </c>
      <c r="K775" s="1" t="s">
        <v>1170</v>
      </c>
      <c r="L775" s="1" t="s">
        <v>25</v>
      </c>
      <c r="M775" s="1" t="s">
        <v>26</v>
      </c>
      <c r="N775" s="1" t="s">
        <v>25</v>
      </c>
      <c r="O775" s="1" t="s">
        <v>311</v>
      </c>
      <c r="P775" s="1" t="s">
        <v>25</v>
      </c>
      <c r="Q775" s="1" t="s">
        <v>25</v>
      </c>
      <c r="R775" s="85" t="str">
        <f t="shared" si="48"/>
        <v>6445923</v>
      </c>
      <c r="S775" t="str">
        <f>VLOOKUP(A775,Data_NV!$A:$C,3,0)</f>
        <v>Đoàn Thị Thanh Hương</v>
      </c>
      <c r="T775" t="str">
        <f>VLOOKUP(A775,Data_NV!$A:$E,4,0)</f>
        <v>Kế toán - Văn phòng</v>
      </c>
      <c r="U775" s="82">
        <f>DATEVALUE(Table2[[#This Row],[Ngày]])</f>
        <v>45923</v>
      </c>
      <c r="V775" t="str">
        <f>VLOOKUP(A775,Data_NV!$A:$E,5,0)</f>
        <v>Đang làm việc</v>
      </c>
      <c r="W775" s="10">
        <f>VLOOKUP(A775,Data_NV!$A:$I,8,0)</f>
        <v>0.33333333333333331</v>
      </c>
      <c r="X775" s="10">
        <f>VLOOKUP(A775,Data_NV!$A:$I,9,0)</f>
        <v>0.70833333333333337</v>
      </c>
      <c r="Y775" s="10">
        <f>IFERROR(TIMEVALUE(Table2[[#This Row],[Vào]]),0)</f>
        <v>0.34422453703703704</v>
      </c>
      <c r="Z775" s="10">
        <f>IFERROR(TIMEVALUE(Table2[[#This Row],[Ra]]),0)</f>
        <v>0.76542824074074078</v>
      </c>
      <c r="AA775" t="str">
        <f t="shared" si="49"/>
        <v>x</v>
      </c>
      <c r="AB775" s="105">
        <f t="shared" si="50"/>
        <v>15.68333333333336</v>
      </c>
      <c r="AC775" s="12" t="str">
        <f>IF(VLOOKUP(A775,Data_NV!$A:$I,7,0)="Không","",IF(OR(AND(Y775=0,Z775=0),AND(Y775&lt;&gt;0,Z775&lt;&gt;0)),"","Quên chấm công"))</f>
        <v/>
      </c>
      <c r="AD775" s="12">
        <f>IF(VLOOKUP(A775,Data_NV!$A:$I,7,0)="Không",0,IF(AND(Y775=0,Z775=0),0,IF(X775&lt;=Z775,0,ROUNDDOWN((X775-Z775)*24*60,0))))</f>
        <v>0</v>
      </c>
      <c r="AE775" s="12">
        <f>IF(VLOOKUP(A775,Data_NV!$A:$I,6,0)="Không",0,IF(Z775&lt;=X775,0,ROUNDDOWN((Z775-X775)*24*60,0)))</f>
        <v>82</v>
      </c>
      <c r="AF775" s="26">
        <f t="shared" si="51"/>
        <v>50000</v>
      </c>
      <c r="AG775" s="27" t="str">
        <f>IF(AC775="","",IF(COUNTIFS($AC$3:AC775,"Quên chấm công",$S$3:S775,S775)&gt;3,"Không chấm công do vi phạm quá 3 lần",IF(COUNTIFS($AC$3:AC775,"Quên chấm công",$S$3:S775,S775)&gt;2,"Trừ toàn bộ chuyên cần tháng do vi phạm lần 3",IF(COUNTIFS($AC$3:AC775,"Quên chấm công",$S$3:S775,S775)&gt;1,"Trừ 1/2 ngày lương",50000))))</f>
        <v/>
      </c>
      <c r="AH775" s="12" t="str">
        <f>IF(AF775=0,"",IF(COUNTIFS($AF$3:AF775,"&gt;0",$S$3:S775,S775)&gt;3,"Trừ toàn bộ chuyên cần tháng",""))</f>
        <v>Trừ toàn bộ chuyên cần tháng</v>
      </c>
      <c r="AI775" s="12"/>
    </row>
    <row r="776" spans="1:35" x14ac:dyDescent="0.25">
      <c r="A776" s="4" t="s">
        <v>1135</v>
      </c>
      <c r="B776" s="1" t="s">
        <v>1136</v>
      </c>
      <c r="C776" s="1" t="s">
        <v>20</v>
      </c>
      <c r="D776" s="1" t="s">
        <v>116</v>
      </c>
      <c r="E776" s="1" t="s">
        <v>22</v>
      </c>
      <c r="F776" s="1" t="s">
        <v>23</v>
      </c>
      <c r="G776" s="1" t="s">
        <v>10</v>
      </c>
      <c r="H776" s="1" t="s">
        <v>1171</v>
      </c>
      <c r="I776" s="1" t="s">
        <v>1172</v>
      </c>
      <c r="J776" s="1" t="s">
        <v>996</v>
      </c>
      <c r="K776" s="1" t="s">
        <v>271</v>
      </c>
      <c r="L776" s="1" t="s">
        <v>25</v>
      </c>
      <c r="M776" s="1" t="s">
        <v>26</v>
      </c>
      <c r="N776" s="1" t="s">
        <v>25</v>
      </c>
      <c r="O776" s="1" t="s">
        <v>424</v>
      </c>
      <c r="P776" s="1" t="s">
        <v>25</v>
      </c>
      <c r="Q776" s="1" t="s">
        <v>25</v>
      </c>
      <c r="R776" s="85" t="str">
        <f t="shared" si="48"/>
        <v>6445924</v>
      </c>
      <c r="S776" t="str">
        <f>VLOOKUP(A776,Data_NV!$A:$C,3,0)</f>
        <v>Đoàn Thị Thanh Hương</v>
      </c>
      <c r="T776" t="str">
        <f>VLOOKUP(A776,Data_NV!$A:$E,4,0)</f>
        <v>Kế toán - Văn phòng</v>
      </c>
      <c r="U776" s="82">
        <f>DATEVALUE(Table2[[#This Row],[Ngày]])</f>
        <v>45924</v>
      </c>
      <c r="V776" t="str">
        <f>VLOOKUP(A776,Data_NV!$A:$E,5,0)</f>
        <v>Đang làm việc</v>
      </c>
      <c r="W776" s="10">
        <f>VLOOKUP(A776,Data_NV!$A:$I,8,0)</f>
        <v>0.33333333333333331</v>
      </c>
      <c r="X776" s="10">
        <f>VLOOKUP(A776,Data_NV!$A:$I,9,0)</f>
        <v>0.70833333333333337</v>
      </c>
      <c r="Y776" s="10">
        <f>IFERROR(TIMEVALUE(Table2[[#This Row],[Vào]]),0)</f>
        <v>0.34019675925925924</v>
      </c>
      <c r="Z776" s="10">
        <f>IFERROR(TIMEVALUE(Table2[[#This Row],[Ra]]),0)</f>
        <v>0.78908564814814819</v>
      </c>
      <c r="AA776" t="str">
        <f t="shared" si="49"/>
        <v>x</v>
      </c>
      <c r="AB776" s="105">
        <f t="shared" si="50"/>
        <v>9.8833333333333329</v>
      </c>
      <c r="AC776" s="12" t="str">
        <f>IF(VLOOKUP(A776,Data_NV!$A:$I,7,0)="Không","",IF(OR(AND(Y776=0,Z776=0),AND(Y776&lt;&gt;0,Z776&lt;&gt;0)),"","Quên chấm công"))</f>
        <v/>
      </c>
      <c r="AD776" s="12">
        <f>IF(VLOOKUP(A776,Data_NV!$A:$I,7,0)="Không",0,IF(AND(Y776=0,Z776=0),0,IF(X776&lt;=Z776,0,ROUNDDOWN((X776-Z776)*24*60,0))))</f>
        <v>0</v>
      </c>
      <c r="AE776" s="12">
        <f>IF(VLOOKUP(A776,Data_NV!$A:$I,6,0)="Không",0,IF(Z776&lt;=X776,0,ROUNDDOWN((Z776-X776)*24*60,0)))</f>
        <v>116</v>
      </c>
      <c r="AF776" s="26">
        <f t="shared" si="51"/>
        <v>30000</v>
      </c>
      <c r="AG776" s="27" t="str">
        <f>IF(AC776="","",IF(COUNTIFS($AC$3:AC776,"Quên chấm công",$S$3:S776,S776)&gt;3,"Không chấm công do vi phạm quá 3 lần",IF(COUNTIFS($AC$3:AC776,"Quên chấm công",$S$3:S776,S776)&gt;2,"Trừ toàn bộ chuyên cần tháng do vi phạm lần 3",IF(COUNTIFS($AC$3:AC776,"Quên chấm công",$S$3:S776,S776)&gt;1,"Trừ 1/2 ngày lương",50000))))</f>
        <v/>
      </c>
      <c r="AH776" s="12" t="str">
        <f>IF(AF776=0,"",IF(COUNTIFS($AF$3:AF776,"&gt;0",$S$3:S776,S776)&gt;3,"Trừ toàn bộ chuyên cần tháng",""))</f>
        <v>Trừ toàn bộ chuyên cần tháng</v>
      </c>
      <c r="AI776" s="12"/>
    </row>
    <row r="777" spans="1:35" x14ac:dyDescent="0.25">
      <c r="A777" s="4" t="s">
        <v>1135</v>
      </c>
      <c r="B777" s="1" t="s">
        <v>1136</v>
      </c>
      <c r="C777" s="1" t="s">
        <v>20</v>
      </c>
      <c r="D777" s="1" t="s">
        <v>121</v>
      </c>
      <c r="E777" s="1" t="s">
        <v>22</v>
      </c>
      <c r="F777" s="1" t="s">
        <v>23</v>
      </c>
      <c r="G777" s="1" t="s">
        <v>12</v>
      </c>
      <c r="H777" s="1" t="s">
        <v>24</v>
      </c>
      <c r="I777" s="1" t="s">
        <v>24</v>
      </c>
      <c r="J777" s="1" t="s">
        <v>25</v>
      </c>
      <c r="K777" s="1" t="s">
        <v>25</v>
      </c>
      <c r="L777" s="1" t="s">
        <v>26</v>
      </c>
      <c r="M777" s="1" t="s">
        <v>25</v>
      </c>
      <c r="N777" s="1" t="s">
        <v>25</v>
      </c>
      <c r="O777" s="1" t="s">
        <v>25</v>
      </c>
      <c r="P777" s="1" t="s">
        <v>25</v>
      </c>
      <c r="Q777" s="1" t="s">
        <v>25</v>
      </c>
      <c r="R777" s="85" t="str">
        <f t="shared" si="48"/>
        <v>6445925</v>
      </c>
      <c r="S777" t="str">
        <f>VLOOKUP(A777,Data_NV!$A:$C,3,0)</f>
        <v>Đoàn Thị Thanh Hương</v>
      </c>
      <c r="T777" t="str">
        <f>VLOOKUP(A777,Data_NV!$A:$E,4,0)</f>
        <v>Kế toán - Văn phòng</v>
      </c>
      <c r="U777" s="82">
        <f>DATEVALUE(Table2[[#This Row],[Ngày]])</f>
        <v>45925</v>
      </c>
      <c r="V777" t="str">
        <f>VLOOKUP(A777,Data_NV!$A:$E,5,0)</f>
        <v>Đang làm việc</v>
      </c>
      <c r="W777" s="10">
        <f>VLOOKUP(A777,Data_NV!$A:$I,8,0)</f>
        <v>0.33333333333333331</v>
      </c>
      <c r="X777" s="10">
        <f>VLOOKUP(A777,Data_NV!$A:$I,9,0)</f>
        <v>0.70833333333333337</v>
      </c>
      <c r="Y777" s="10">
        <f>IFERROR(TIMEVALUE(Table2[[#This Row],[Vào]]),0)</f>
        <v>0</v>
      </c>
      <c r="Z777" s="10">
        <f>IFERROR(TIMEVALUE(Table2[[#This Row],[Ra]]),0)</f>
        <v>0</v>
      </c>
      <c r="AA777" t="str">
        <f t="shared" si="49"/>
        <v/>
      </c>
      <c r="AB777" s="105">
        <f t="shared" si="50"/>
        <v>0</v>
      </c>
      <c r="AC777" s="12" t="str">
        <f>IF(VLOOKUP(A777,Data_NV!$A:$I,7,0)="Không","",IF(OR(AND(Y777=0,Z777=0),AND(Y777&lt;&gt;0,Z777&lt;&gt;0)),"","Quên chấm công"))</f>
        <v/>
      </c>
      <c r="AD777" s="12">
        <f>IF(VLOOKUP(A777,Data_NV!$A:$I,7,0)="Không",0,IF(AND(Y777=0,Z777=0),0,IF(X777&lt;=Z777,0,ROUNDDOWN((X777-Z777)*24*60,0))))</f>
        <v>0</v>
      </c>
      <c r="AE777" s="12">
        <f>IF(VLOOKUP(A777,Data_NV!$A:$I,6,0)="Không",0,IF(Z777&lt;=X777,0,ROUNDDOWN((Z777-X777)*24*60,0)))</f>
        <v>0</v>
      </c>
      <c r="AF777" s="26">
        <f t="shared" si="51"/>
        <v>0</v>
      </c>
      <c r="AG777" s="27" t="str">
        <f>IF(AC777="","",IF(COUNTIFS($AC$3:AC777,"Quên chấm công",$S$3:S777,S777)&gt;3,"Không chấm công do vi phạm quá 3 lần",IF(COUNTIFS($AC$3:AC777,"Quên chấm công",$S$3:S777,S777)&gt;2,"Trừ toàn bộ chuyên cần tháng do vi phạm lần 3",IF(COUNTIFS($AC$3:AC777,"Quên chấm công",$S$3:S777,S777)&gt;1,"Trừ 1/2 ngày lương",50000))))</f>
        <v/>
      </c>
      <c r="AH777" s="12" t="str">
        <f>IF(AF777=0,"",IF(COUNTIFS($AF$3:AF777,"&gt;0",$S$3:S777,S777)&gt;3,"Trừ toàn bộ chuyên cần tháng",""))</f>
        <v/>
      </c>
      <c r="AI777" s="12" t="s">
        <v>1421</v>
      </c>
    </row>
    <row r="778" spans="1:35" x14ac:dyDescent="0.25">
      <c r="A778" s="4" t="s">
        <v>1135</v>
      </c>
      <c r="B778" s="1" t="s">
        <v>1136</v>
      </c>
      <c r="C778" s="1" t="s">
        <v>20</v>
      </c>
      <c r="D778" s="1" t="s">
        <v>123</v>
      </c>
      <c r="E778" s="1" t="s">
        <v>22</v>
      </c>
      <c r="F778" s="1" t="s">
        <v>23</v>
      </c>
      <c r="G778" s="1" t="s">
        <v>10</v>
      </c>
      <c r="H778" s="1" t="s">
        <v>1173</v>
      </c>
      <c r="I778" s="1" t="s">
        <v>1174</v>
      </c>
      <c r="J778" s="1" t="s">
        <v>241</v>
      </c>
      <c r="K778" s="1" t="s">
        <v>877</v>
      </c>
      <c r="L778" s="1" t="s">
        <v>25</v>
      </c>
      <c r="M778" s="1" t="s">
        <v>26</v>
      </c>
      <c r="N778" s="1" t="s">
        <v>25</v>
      </c>
      <c r="O778" s="1" t="s">
        <v>33</v>
      </c>
      <c r="P778" s="1" t="s">
        <v>420</v>
      </c>
      <c r="Q778" s="1" t="s">
        <v>25</v>
      </c>
      <c r="R778" s="85" t="str">
        <f t="shared" si="48"/>
        <v>6445926</v>
      </c>
      <c r="S778" t="str">
        <f>VLOOKUP(A778,Data_NV!$A:$C,3,0)</f>
        <v>Đoàn Thị Thanh Hương</v>
      </c>
      <c r="T778" t="str">
        <f>VLOOKUP(A778,Data_NV!$A:$E,4,0)</f>
        <v>Kế toán - Văn phòng</v>
      </c>
      <c r="U778" s="82">
        <f>DATEVALUE(Table2[[#This Row],[Ngày]])</f>
        <v>45926</v>
      </c>
      <c r="V778" t="str">
        <f>VLOOKUP(A778,Data_NV!$A:$E,5,0)</f>
        <v>Đang làm việc</v>
      </c>
      <c r="W778" s="10">
        <f>VLOOKUP(A778,Data_NV!$A:$I,8,0)</f>
        <v>0.33333333333333331</v>
      </c>
      <c r="X778" s="10">
        <f>VLOOKUP(A778,Data_NV!$A:$I,9,0)</f>
        <v>0.70833333333333337</v>
      </c>
      <c r="Y778" s="10">
        <f>IFERROR(TIMEVALUE(Table2[[#This Row],[Vào]]),0)</f>
        <v>0.34098379629629627</v>
      </c>
      <c r="Z778" s="10">
        <f>IFERROR(TIMEVALUE(Table2[[#This Row],[Ra]]),0)</f>
        <v>0.80074074074074075</v>
      </c>
      <c r="AA778" t="str">
        <f t="shared" si="49"/>
        <v>x</v>
      </c>
      <c r="AB778" s="105">
        <f t="shared" si="50"/>
        <v>11.016666666666657</v>
      </c>
      <c r="AC778" s="12" t="str">
        <f>IF(VLOOKUP(A778,Data_NV!$A:$I,7,0)="Không","",IF(OR(AND(Y778=0,Z778=0),AND(Y778&lt;&gt;0,Z778&lt;&gt;0)),"","Quên chấm công"))</f>
        <v/>
      </c>
      <c r="AD778" s="12">
        <f>IF(VLOOKUP(A778,Data_NV!$A:$I,7,0)="Không",0,IF(AND(Y778=0,Z778=0),0,IF(X778&lt;=Z778,0,ROUNDDOWN((X778-Z778)*24*60,0))))</f>
        <v>0</v>
      </c>
      <c r="AE778" s="12">
        <f>IF(VLOOKUP(A778,Data_NV!$A:$I,6,0)="Không",0,IF(Z778&lt;=X778,0,ROUNDDOWN((Z778-X778)*24*60,0)))</f>
        <v>133</v>
      </c>
      <c r="AF778" s="26">
        <f t="shared" si="51"/>
        <v>30000</v>
      </c>
      <c r="AG778" s="27" t="str">
        <f>IF(AC778="","",IF(COUNTIFS($AC$3:AC778,"Quên chấm công",$S$3:S778,S778)&gt;3,"Không chấm công do vi phạm quá 3 lần",IF(COUNTIFS($AC$3:AC778,"Quên chấm công",$S$3:S778,S778)&gt;2,"Trừ toàn bộ chuyên cần tháng do vi phạm lần 3",IF(COUNTIFS($AC$3:AC778,"Quên chấm công",$S$3:S778,S778)&gt;1,"Trừ 1/2 ngày lương",50000))))</f>
        <v/>
      </c>
      <c r="AH778" s="12" t="str">
        <f>IF(AF778=0,"",IF(COUNTIFS($AF$3:AF778,"&gt;0",$S$3:S778,S778)&gt;3,"Trừ toàn bộ chuyên cần tháng",""))</f>
        <v>Trừ toàn bộ chuyên cần tháng</v>
      </c>
      <c r="AI778" s="12"/>
    </row>
    <row r="779" spans="1:35" x14ac:dyDescent="0.25">
      <c r="A779" s="4" t="s">
        <v>1135</v>
      </c>
      <c r="B779" s="1" t="s">
        <v>1136</v>
      </c>
      <c r="C779" s="1" t="s">
        <v>20</v>
      </c>
      <c r="D779" s="1" t="s">
        <v>125</v>
      </c>
      <c r="E779" s="1" t="s">
        <v>22</v>
      </c>
      <c r="F779" s="1" t="s">
        <v>23</v>
      </c>
      <c r="G779" s="1" t="s">
        <v>10</v>
      </c>
      <c r="H779" s="1" t="s">
        <v>1175</v>
      </c>
      <c r="I779" s="1" t="s">
        <v>1176</v>
      </c>
      <c r="J779" s="1" t="s">
        <v>251</v>
      </c>
      <c r="K779" s="1" t="s">
        <v>369</v>
      </c>
      <c r="L779" s="1" t="s">
        <v>25</v>
      </c>
      <c r="M779" s="1" t="s">
        <v>26</v>
      </c>
      <c r="N779" s="1" t="s">
        <v>25</v>
      </c>
      <c r="O779" s="1" t="s">
        <v>413</v>
      </c>
      <c r="P779" s="1" t="s">
        <v>25</v>
      </c>
      <c r="Q779" s="1" t="s">
        <v>25</v>
      </c>
      <c r="R779" s="85" t="str">
        <f t="shared" si="48"/>
        <v>6445927</v>
      </c>
      <c r="S779" t="str">
        <f>VLOOKUP(A779,Data_NV!$A:$C,3,0)</f>
        <v>Đoàn Thị Thanh Hương</v>
      </c>
      <c r="T779" t="str">
        <f>VLOOKUP(A779,Data_NV!$A:$E,4,0)</f>
        <v>Kế toán - Văn phòng</v>
      </c>
      <c r="U779" s="82">
        <f>DATEVALUE(Table2[[#This Row],[Ngày]])</f>
        <v>45927</v>
      </c>
      <c r="V779" t="str">
        <f>VLOOKUP(A779,Data_NV!$A:$E,5,0)</f>
        <v>Đang làm việc</v>
      </c>
      <c r="W779" s="10">
        <f>VLOOKUP(A779,Data_NV!$A:$I,8,0)</f>
        <v>0.33333333333333331</v>
      </c>
      <c r="X779" s="10">
        <f>VLOOKUP(A779,Data_NV!$A:$I,9,0)</f>
        <v>0.70833333333333337</v>
      </c>
      <c r="Y779" s="10">
        <f>IFERROR(TIMEVALUE(Table2[[#This Row],[Vào]]),0)</f>
        <v>0.33606481481481482</v>
      </c>
      <c r="Z779" s="10">
        <f>IFERROR(TIMEVALUE(Table2[[#This Row],[Ra]]),0)</f>
        <v>0.78934027777777782</v>
      </c>
      <c r="AA779" t="str">
        <f t="shared" si="49"/>
        <v>x</v>
      </c>
      <c r="AB779" s="105">
        <f t="shared" si="50"/>
        <v>3.933333333333362</v>
      </c>
      <c r="AC779" s="12" t="str">
        <f>IF(VLOOKUP(A779,Data_NV!$A:$I,7,0)="Không","",IF(OR(AND(Y779=0,Z779=0),AND(Y779&lt;&gt;0,Z779&lt;&gt;0)),"","Quên chấm công"))</f>
        <v/>
      </c>
      <c r="AD779" s="12">
        <f>IF(VLOOKUP(A779,Data_NV!$A:$I,7,0)="Không",0,IF(AND(Y779=0,Z779=0),0,IF(X779&lt;=Z779,0,ROUNDDOWN((X779-Z779)*24*60,0))))</f>
        <v>0</v>
      </c>
      <c r="AE779" s="12">
        <f>IF(VLOOKUP(A779,Data_NV!$A:$I,6,0)="Không",0,IF(Z779&lt;=X779,0,ROUNDDOWN((Z779-X779)*24*60,0)))</f>
        <v>116</v>
      </c>
      <c r="AF779" s="26">
        <f t="shared" si="51"/>
        <v>0</v>
      </c>
      <c r="AG779" s="27" t="str">
        <f>IF(AC779="","",IF(COUNTIFS($AC$3:AC779,"Quên chấm công",$S$3:S779,S779)&gt;3,"Không chấm công do vi phạm quá 3 lần",IF(COUNTIFS($AC$3:AC779,"Quên chấm công",$S$3:S779,S779)&gt;2,"Trừ toàn bộ chuyên cần tháng do vi phạm lần 3",IF(COUNTIFS($AC$3:AC779,"Quên chấm công",$S$3:S779,S779)&gt;1,"Trừ 1/2 ngày lương",50000))))</f>
        <v/>
      </c>
      <c r="AH779" s="12" t="str">
        <f>IF(AF779=0,"",IF(COUNTIFS($AF$3:AF779,"&gt;0",$S$3:S779,S779)&gt;3,"Trừ toàn bộ chuyên cần tháng",""))</f>
        <v/>
      </c>
      <c r="AI779" s="12"/>
    </row>
    <row r="780" spans="1:35" x14ac:dyDescent="0.25">
      <c r="A780" s="4" t="s">
        <v>1135</v>
      </c>
      <c r="B780" s="1" t="s">
        <v>1136</v>
      </c>
      <c r="C780" s="1" t="s">
        <v>20</v>
      </c>
      <c r="D780" s="1" t="s">
        <v>130</v>
      </c>
      <c r="E780" s="1" t="s">
        <v>22</v>
      </c>
      <c r="F780" s="1" t="s">
        <v>23</v>
      </c>
      <c r="G780" s="1" t="s">
        <v>12</v>
      </c>
      <c r="H780" s="1" t="s">
        <v>24</v>
      </c>
      <c r="I780" s="1" t="s">
        <v>24</v>
      </c>
      <c r="J780" s="1" t="s">
        <v>25</v>
      </c>
      <c r="K780" s="1" t="s">
        <v>25</v>
      </c>
      <c r="L780" s="1" t="s">
        <v>26</v>
      </c>
      <c r="M780" s="1" t="s">
        <v>25</v>
      </c>
      <c r="N780" s="1" t="s">
        <v>25</v>
      </c>
      <c r="O780" s="1" t="s">
        <v>25</v>
      </c>
      <c r="P780" s="1" t="s">
        <v>25</v>
      </c>
      <c r="Q780" s="1" t="s">
        <v>25</v>
      </c>
      <c r="R780" s="85" t="str">
        <f t="shared" si="48"/>
        <v>6445928</v>
      </c>
      <c r="S780" t="str">
        <f>VLOOKUP(A780,Data_NV!$A:$C,3,0)</f>
        <v>Đoàn Thị Thanh Hương</v>
      </c>
      <c r="T780" t="str">
        <f>VLOOKUP(A780,Data_NV!$A:$E,4,0)</f>
        <v>Kế toán - Văn phòng</v>
      </c>
      <c r="U780" s="82">
        <f>DATEVALUE(Table2[[#This Row],[Ngày]])</f>
        <v>45928</v>
      </c>
      <c r="V780" t="str">
        <f>VLOOKUP(A780,Data_NV!$A:$E,5,0)</f>
        <v>Đang làm việc</v>
      </c>
      <c r="W780" s="10">
        <f>VLOOKUP(A780,Data_NV!$A:$I,8,0)</f>
        <v>0.33333333333333331</v>
      </c>
      <c r="X780" s="10">
        <f>VLOOKUP(A780,Data_NV!$A:$I,9,0)</f>
        <v>0.70833333333333337</v>
      </c>
      <c r="Y780" s="10">
        <f>IFERROR(TIMEVALUE(Table2[[#This Row],[Vào]]),0)</f>
        <v>0</v>
      </c>
      <c r="Z780" s="10">
        <f>IFERROR(TIMEVALUE(Table2[[#This Row],[Ra]]),0)</f>
        <v>0</v>
      </c>
      <c r="AA780" t="str">
        <f t="shared" si="49"/>
        <v>Chủ nhật</v>
      </c>
      <c r="AB780" s="105">
        <f t="shared" si="50"/>
        <v>0</v>
      </c>
      <c r="AC780" s="12" t="str">
        <f>IF(VLOOKUP(A780,Data_NV!$A:$I,7,0)="Không","",IF(OR(AND(Y780=0,Z780=0),AND(Y780&lt;&gt;0,Z780&lt;&gt;0)),"","Quên chấm công"))</f>
        <v/>
      </c>
      <c r="AD780" s="12">
        <f>IF(VLOOKUP(A780,Data_NV!$A:$I,7,0)="Không",0,IF(AND(Y780=0,Z780=0),0,IF(X780&lt;=Z780,0,ROUNDDOWN((X780-Z780)*24*60,0))))</f>
        <v>0</v>
      </c>
      <c r="AE780" s="12">
        <f>IF(VLOOKUP(A780,Data_NV!$A:$I,6,0)="Không",0,IF(Z780&lt;=X780,0,ROUNDDOWN((Z780-X780)*24*60,0)))</f>
        <v>0</v>
      </c>
      <c r="AF780" s="26">
        <f t="shared" si="51"/>
        <v>0</v>
      </c>
      <c r="AG780" s="27" t="str">
        <f>IF(AC780="","",IF(COUNTIFS($AC$3:AC780,"Quên chấm công",$S$3:S780,S780)&gt;3,"Không chấm công do vi phạm quá 3 lần",IF(COUNTIFS($AC$3:AC780,"Quên chấm công",$S$3:S780,S780)&gt;2,"Trừ toàn bộ chuyên cần tháng do vi phạm lần 3",IF(COUNTIFS($AC$3:AC780,"Quên chấm công",$S$3:S780,S780)&gt;1,"Trừ 1/2 ngày lương",50000))))</f>
        <v/>
      </c>
      <c r="AH780" s="12" t="str">
        <f>IF(AF780=0,"",IF(COUNTIFS($AF$3:AF780,"&gt;0",$S$3:S780,S780)&gt;3,"Trừ toàn bộ chuyên cần tháng",""))</f>
        <v/>
      </c>
      <c r="AI780" s="12"/>
    </row>
    <row r="781" spans="1:35" x14ac:dyDescent="0.25">
      <c r="A781" s="4" t="s">
        <v>1135</v>
      </c>
      <c r="B781" s="1" t="s">
        <v>1136</v>
      </c>
      <c r="C781" s="1" t="s">
        <v>20</v>
      </c>
      <c r="D781" s="1" t="s">
        <v>131</v>
      </c>
      <c r="E781" s="1" t="s">
        <v>22</v>
      </c>
      <c r="F781" s="1" t="s">
        <v>23</v>
      </c>
      <c r="G781" s="1" t="s">
        <v>10</v>
      </c>
      <c r="H781" s="1" t="s">
        <v>1177</v>
      </c>
      <c r="I781" s="1" t="s">
        <v>1178</v>
      </c>
      <c r="J781" s="1" t="s">
        <v>990</v>
      </c>
      <c r="K781" s="1" t="s">
        <v>292</v>
      </c>
      <c r="L781" s="1" t="s">
        <v>25</v>
      </c>
      <c r="M781" s="1" t="s">
        <v>26</v>
      </c>
      <c r="N781" s="1" t="s">
        <v>25</v>
      </c>
      <c r="O781" s="1" t="s">
        <v>33</v>
      </c>
      <c r="P781" s="1" t="s">
        <v>981</v>
      </c>
      <c r="Q781" s="1" t="s">
        <v>25</v>
      </c>
      <c r="R781" s="85" t="str">
        <f t="shared" si="48"/>
        <v>6445929</v>
      </c>
      <c r="S781" t="str">
        <f>VLOOKUP(A781,Data_NV!$A:$C,3,0)</f>
        <v>Đoàn Thị Thanh Hương</v>
      </c>
      <c r="T781" t="str">
        <f>VLOOKUP(A781,Data_NV!$A:$E,4,0)</f>
        <v>Kế toán - Văn phòng</v>
      </c>
      <c r="U781" s="82">
        <f>DATEVALUE(Table2[[#This Row],[Ngày]])</f>
        <v>45929</v>
      </c>
      <c r="V781" t="str">
        <f>VLOOKUP(A781,Data_NV!$A:$E,5,0)</f>
        <v>Đang làm việc</v>
      </c>
      <c r="W781" s="10">
        <f>VLOOKUP(A781,Data_NV!$A:$I,8,0)</f>
        <v>0.33333333333333331</v>
      </c>
      <c r="X781" s="10">
        <f>VLOOKUP(A781,Data_NV!$A:$I,9,0)</f>
        <v>0.70833333333333337</v>
      </c>
      <c r="Y781" s="10">
        <f>IFERROR(TIMEVALUE(Table2[[#This Row],[Vào]]),0)</f>
        <v>0.33990740740740738</v>
      </c>
      <c r="Z781" s="10">
        <f>IFERROR(TIMEVALUE(Table2[[#This Row],[Ra]]),0)</f>
        <v>0.7971759259259259</v>
      </c>
      <c r="AA781" t="str">
        <f t="shared" si="49"/>
        <v>x</v>
      </c>
      <c r="AB781" s="105">
        <f t="shared" si="50"/>
        <v>9.4666666666666544</v>
      </c>
      <c r="AC781" s="12" t="str">
        <f>IF(VLOOKUP(A781,Data_NV!$A:$I,7,0)="Không","",IF(OR(AND(Y781=0,Z781=0),AND(Y781&lt;&gt;0,Z781&lt;&gt;0)),"","Quên chấm công"))</f>
        <v/>
      </c>
      <c r="AD781" s="12">
        <f>IF(VLOOKUP(A781,Data_NV!$A:$I,7,0)="Không",0,IF(AND(Y781=0,Z781=0),0,IF(X781&lt;=Z781,0,ROUNDDOWN((X781-Z781)*24*60,0))))</f>
        <v>0</v>
      </c>
      <c r="AE781" s="12">
        <f>IF(VLOOKUP(A781,Data_NV!$A:$I,6,0)="Không",0,IF(Z781&lt;=X781,0,ROUNDDOWN((Z781-X781)*24*60,0)))</f>
        <v>127</v>
      </c>
      <c r="AF781" s="26">
        <f t="shared" si="51"/>
        <v>30000</v>
      </c>
      <c r="AG781" s="27" t="str">
        <f>IF(AC781="","",IF(COUNTIFS($AC$3:AC781,"Quên chấm công",$S$3:S781,S781)&gt;3,"Không chấm công do vi phạm quá 3 lần",IF(COUNTIFS($AC$3:AC781,"Quên chấm công",$S$3:S781,S781)&gt;2,"Trừ toàn bộ chuyên cần tháng do vi phạm lần 3",IF(COUNTIFS($AC$3:AC781,"Quên chấm công",$S$3:S781,S781)&gt;1,"Trừ 1/2 ngày lương",50000))))</f>
        <v/>
      </c>
      <c r="AH781" s="12" t="str">
        <f>IF(AF781=0,"",IF(COUNTIFS($AF$3:AF781,"&gt;0",$S$3:S781,S781)&gt;3,"Trừ toàn bộ chuyên cần tháng",""))</f>
        <v>Trừ toàn bộ chuyên cần tháng</v>
      </c>
      <c r="AI781" s="12"/>
    </row>
    <row r="782" spans="1:35" x14ac:dyDescent="0.25">
      <c r="A782" s="4" t="s">
        <v>1135</v>
      </c>
      <c r="B782" s="1" t="s">
        <v>1136</v>
      </c>
      <c r="C782" s="1" t="s">
        <v>20</v>
      </c>
      <c r="D782" s="1" t="s">
        <v>136</v>
      </c>
      <c r="E782" s="1" t="s">
        <v>22</v>
      </c>
      <c r="F782" s="1" t="s">
        <v>23</v>
      </c>
      <c r="G782" s="1" t="s">
        <v>10</v>
      </c>
      <c r="H782" s="1" t="s">
        <v>1179</v>
      </c>
      <c r="I782" s="1" t="s">
        <v>1180</v>
      </c>
      <c r="J782" s="1" t="s">
        <v>104</v>
      </c>
      <c r="K782" s="1" t="s">
        <v>1108</v>
      </c>
      <c r="L782" s="1" t="s">
        <v>25</v>
      </c>
      <c r="M782" s="1" t="s">
        <v>26</v>
      </c>
      <c r="N782" s="1" t="s">
        <v>25</v>
      </c>
      <c r="O782" s="1" t="s">
        <v>272</v>
      </c>
      <c r="P782" s="1" t="s">
        <v>25</v>
      </c>
      <c r="Q782" s="1" t="s">
        <v>25</v>
      </c>
      <c r="R782" s="85" t="str">
        <f t="shared" si="48"/>
        <v>6445930</v>
      </c>
      <c r="S782" t="str">
        <f>VLOOKUP(A782,Data_NV!$A:$C,3,0)</f>
        <v>Đoàn Thị Thanh Hương</v>
      </c>
      <c r="T782" t="str">
        <f>VLOOKUP(A782,Data_NV!$A:$E,4,0)</f>
        <v>Kế toán - Văn phòng</v>
      </c>
      <c r="U782" s="82">
        <f>DATEVALUE(Table2[[#This Row],[Ngày]])</f>
        <v>45930</v>
      </c>
      <c r="V782" t="str">
        <f>VLOOKUP(A782,Data_NV!$A:$E,5,0)</f>
        <v>Đang làm việc</v>
      </c>
      <c r="W782" s="10">
        <f>VLOOKUP(A782,Data_NV!$A:$I,8,0)</f>
        <v>0.33333333333333331</v>
      </c>
      <c r="X782" s="10">
        <f>VLOOKUP(A782,Data_NV!$A:$I,9,0)</f>
        <v>0.70833333333333337</v>
      </c>
      <c r="Y782" s="10">
        <f>IFERROR(TIMEVALUE(Table2[[#This Row],[Vào]]),0)</f>
        <v>0.37380787037037039</v>
      </c>
      <c r="Z782" s="10">
        <f>IFERROR(TIMEVALUE(Table2[[#This Row],[Ra]]),0)</f>
        <v>0.78163194444444439</v>
      </c>
      <c r="AA782" t="str">
        <f t="shared" si="49"/>
        <v>x</v>
      </c>
      <c r="AB782" s="105">
        <f t="shared" si="50"/>
        <v>58.283333333333388</v>
      </c>
      <c r="AC782" s="12" t="str">
        <f>IF(VLOOKUP(A782,Data_NV!$A:$I,7,0)="Không","",IF(OR(AND(Y782=0,Z782=0),AND(Y782&lt;&gt;0,Z782&lt;&gt;0)),"","Quên chấm công"))</f>
        <v/>
      </c>
      <c r="AD782" s="12">
        <f>IF(VLOOKUP(A782,Data_NV!$A:$I,7,0)="Không",0,IF(AND(Y782=0,Z782=0),0,IF(X782&lt;=Z782,0,ROUNDDOWN((X782-Z782)*24*60,0))))</f>
        <v>0</v>
      </c>
      <c r="AE782" s="12">
        <f>IF(VLOOKUP(A782,Data_NV!$A:$I,6,0)="Không",0,IF(Z782&lt;=X782,0,ROUNDDOWN((Z782-X782)*24*60,0)))</f>
        <v>105</v>
      </c>
      <c r="AF782" s="26">
        <f t="shared" si="51"/>
        <v>50000</v>
      </c>
      <c r="AG782" s="27" t="str">
        <f>IF(AC782="","",IF(COUNTIFS($AC$3:AC782,"Quên chấm công",$S$3:S782,S782)&gt;3,"Không chấm công do vi phạm quá 3 lần",IF(COUNTIFS($AC$3:AC782,"Quên chấm công",$S$3:S782,S782)&gt;2,"Trừ toàn bộ chuyên cần tháng do vi phạm lần 3",IF(COUNTIFS($AC$3:AC782,"Quên chấm công",$S$3:S782,S782)&gt;1,"Trừ 1/2 ngày lương",50000))))</f>
        <v/>
      </c>
      <c r="AH782" s="12" t="str">
        <f>IF(AF782=0,"",IF(COUNTIFS($AF$3:AF782,"&gt;0",$S$3:S782,S782)&gt;3,"Trừ toàn bộ chuyên cần tháng",""))</f>
        <v>Trừ toàn bộ chuyên cần tháng</v>
      </c>
      <c r="AI782" s="12"/>
    </row>
    <row r="783" spans="1:35" x14ac:dyDescent="0.25">
      <c r="A783" s="4" t="s">
        <v>1181</v>
      </c>
      <c r="B783" s="1" t="s">
        <v>1182</v>
      </c>
      <c r="C783" s="1" t="s">
        <v>20</v>
      </c>
      <c r="D783" s="1" t="s">
        <v>21</v>
      </c>
      <c r="E783" s="1" t="s">
        <v>22</v>
      </c>
      <c r="F783" s="1" t="s">
        <v>23</v>
      </c>
      <c r="G783" s="1" t="s">
        <v>12</v>
      </c>
      <c r="H783" s="1" t="s">
        <v>24</v>
      </c>
      <c r="I783" s="1" t="s">
        <v>24</v>
      </c>
      <c r="J783" s="1" t="s">
        <v>25</v>
      </c>
      <c r="K783" s="1" t="s">
        <v>25</v>
      </c>
      <c r="L783" s="1" t="s">
        <v>26</v>
      </c>
      <c r="M783" s="1" t="s">
        <v>25</v>
      </c>
      <c r="N783" s="1" t="s">
        <v>25</v>
      </c>
      <c r="O783" s="1" t="s">
        <v>25</v>
      </c>
      <c r="P783" s="1" t="s">
        <v>25</v>
      </c>
      <c r="Q783" s="1" t="s">
        <v>25</v>
      </c>
      <c r="R783" s="85" t="str">
        <f t="shared" si="48"/>
        <v>6545901</v>
      </c>
      <c r="S783" t="str">
        <f>VLOOKUP(A783,Data_NV!$A:$C,3,0)</f>
        <v>Lý Kim Hồ</v>
      </c>
      <c r="T783" t="str">
        <f>VLOOKUP(A783,Data_NV!$A:$E,4,0)</f>
        <v>Kế toán - Văn phòng</v>
      </c>
      <c r="U783" s="82">
        <f>DATEVALUE(Table2[[#This Row],[Ngày]])</f>
        <v>45901</v>
      </c>
      <c r="V783" t="str">
        <f>VLOOKUP(A783,Data_NV!$A:$E,5,0)</f>
        <v>Đang làm việc</v>
      </c>
      <c r="W783" s="10">
        <f>VLOOKUP(A783,Data_NV!$A:$I,8,0)</f>
        <v>0.33333333333333331</v>
      </c>
      <c r="X783" s="10">
        <f>VLOOKUP(A783,Data_NV!$A:$I,9,0)</f>
        <v>0.70833333333333337</v>
      </c>
      <c r="Y783" s="10">
        <f>IFERROR(TIMEVALUE(Table2[[#This Row],[Vào]]),0)</f>
        <v>0</v>
      </c>
      <c r="Z783" s="10">
        <f>IFERROR(TIMEVALUE(Table2[[#This Row],[Ra]]),0)</f>
        <v>0</v>
      </c>
      <c r="AA783" s="97" t="s">
        <v>1349</v>
      </c>
      <c r="AB783" s="105">
        <f t="shared" si="50"/>
        <v>0</v>
      </c>
      <c r="AC783" s="12" t="str">
        <f>IF(VLOOKUP(A783,Data_NV!$A:$I,7,0)="Không","",IF(OR(AND(Y783=0,Z783=0),AND(Y783&lt;&gt;0,Z783&lt;&gt;0)),"","Quên chấm công"))</f>
        <v/>
      </c>
      <c r="AD783" s="12">
        <f>IF(VLOOKUP(A783,Data_NV!$A:$I,7,0)="Không",0,IF(AND(Y783=0,Z783=0),0,IF(X783&lt;=Z783,0,ROUNDDOWN((X783-Z783)*24*60,0))))</f>
        <v>0</v>
      </c>
      <c r="AE783" s="12">
        <f>IF(VLOOKUP(A783,Data_NV!$A:$I,6,0)="Không",0,IF(Z783&lt;=X783,0,ROUNDDOWN((Z783-X783)*24*60,0)))</f>
        <v>0</v>
      </c>
      <c r="AF783" s="26">
        <f t="shared" si="51"/>
        <v>0</v>
      </c>
      <c r="AG783" s="27" t="str">
        <f>IF(AC783="","",IF(COUNTIFS($AC$3:AC783,"Quên chấm công",$S$3:S783,S783)&gt;3,"Không chấm công do vi phạm quá 3 lần",IF(COUNTIFS($AC$3:AC783,"Quên chấm công",$S$3:S783,S783)&gt;2,"Trừ toàn bộ chuyên cần tháng do vi phạm lần 3",IF(COUNTIFS($AC$3:AC783,"Quên chấm công",$S$3:S783,S783)&gt;1,"Trừ 1/2 ngày lương",50000))))</f>
        <v/>
      </c>
      <c r="AH783" s="12" t="str">
        <f>IF(AF783=0,"",IF(COUNTIFS($AF$3:AF783,"&gt;0",$S$3:S783,S783)&gt;3,"Trừ toàn bộ chuyên cần tháng",""))</f>
        <v/>
      </c>
      <c r="AI783" s="98" t="s">
        <v>1369</v>
      </c>
    </row>
    <row r="784" spans="1:35" x14ac:dyDescent="0.25">
      <c r="A784" s="4" t="s">
        <v>1181</v>
      </c>
      <c r="B784" s="1" t="s">
        <v>1182</v>
      </c>
      <c r="C784" s="1" t="s">
        <v>20</v>
      </c>
      <c r="D784" s="1" t="s">
        <v>27</v>
      </c>
      <c r="E784" s="1" t="s">
        <v>22</v>
      </c>
      <c r="F784" s="1" t="s">
        <v>23</v>
      </c>
      <c r="G784" s="1" t="s">
        <v>12</v>
      </c>
      <c r="H784" s="1" t="s">
        <v>24</v>
      </c>
      <c r="I784" s="1" t="s">
        <v>24</v>
      </c>
      <c r="J784" s="1" t="s">
        <v>25</v>
      </c>
      <c r="K784" s="1" t="s">
        <v>25</v>
      </c>
      <c r="L784" s="1" t="s">
        <v>26</v>
      </c>
      <c r="M784" s="1" t="s">
        <v>25</v>
      </c>
      <c r="N784" s="1" t="s">
        <v>25</v>
      </c>
      <c r="O784" s="1" t="s">
        <v>25</v>
      </c>
      <c r="P784" s="1" t="s">
        <v>25</v>
      </c>
      <c r="Q784" s="1" t="s">
        <v>25</v>
      </c>
      <c r="R784" s="85" t="str">
        <f t="shared" si="48"/>
        <v>6545902</v>
      </c>
      <c r="S784" t="str">
        <f>VLOOKUP(A784,Data_NV!$A:$C,3,0)</f>
        <v>Lý Kim Hồ</v>
      </c>
      <c r="T784" t="str">
        <f>VLOOKUP(A784,Data_NV!$A:$E,4,0)</f>
        <v>Kế toán - Văn phòng</v>
      </c>
      <c r="U784" s="82">
        <f>DATEVALUE(Table2[[#This Row],[Ngày]])</f>
        <v>45902</v>
      </c>
      <c r="V784" t="str">
        <f>VLOOKUP(A784,Data_NV!$A:$E,5,0)</f>
        <v>Đang làm việc</v>
      </c>
      <c r="W784" s="10">
        <f>VLOOKUP(A784,Data_NV!$A:$I,8,0)</f>
        <v>0.33333333333333331</v>
      </c>
      <c r="X784" s="10">
        <f>VLOOKUP(A784,Data_NV!$A:$I,9,0)</f>
        <v>0.70833333333333337</v>
      </c>
      <c r="Y784" s="10">
        <f>IFERROR(TIMEVALUE(Table2[[#This Row],[Vào]]),0)</f>
        <v>0</v>
      </c>
      <c r="Z784" s="10">
        <f>IFERROR(TIMEVALUE(Table2[[#This Row],[Ra]]),0)</f>
        <v>0</v>
      </c>
      <c r="AA784" s="97" t="s">
        <v>1349</v>
      </c>
      <c r="AB784" s="105">
        <f t="shared" si="50"/>
        <v>0</v>
      </c>
      <c r="AC784" s="12" t="str">
        <f>IF(VLOOKUP(A784,Data_NV!$A:$I,7,0)="Không","",IF(OR(AND(Y784=0,Z784=0),AND(Y784&lt;&gt;0,Z784&lt;&gt;0)),"","Quên chấm công"))</f>
        <v/>
      </c>
      <c r="AD784" s="12">
        <f>IF(VLOOKUP(A784,Data_NV!$A:$I,7,0)="Không",0,IF(AND(Y784=0,Z784=0),0,IF(X784&lt;=Z784,0,ROUNDDOWN((X784-Z784)*24*60,0))))</f>
        <v>0</v>
      </c>
      <c r="AE784" s="12">
        <f>IF(VLOOKUP(A784,Data_NV!$A:$I,6,0)="Không",0,IF(Z784&lt;=X784,0,ROUNDDOWN((Z784-X784)*24*60,0)))</f>
        <v>0</v>
      </c>
      <c r="AF784" s="26">
        <f t="shared" si="51"/>
        <v>0</v>
      </c>
      <c r="AG784" s="27" t="str">
        <f>IF(AC784="","",IF(COUNTIFS($AC$3:AC784,"Quên chấm công",$S$3:S784,S784)&gt;3,"Không chấm công do vi phạm quá 3 lần",IF(COUNTIFS($AC$3:AC784,"Quên chấm công",$S$3:S784,S784)&gt;2,"Trừ toàn bộ chuyên cần tháng do vi phạm lần 3",IF(COUNTIFS($AC$3:AC784,"Quên chấm công",$S$3:S784,S784)&gt;1,"Trừ 1/2 ngày lương",50000))))</f>
        <v/>
      </c>
      <c r="AH784" s="12" t="str">
        <f>IF(AF784=0,"",IF(COUNTIFS($AF$3:AF784,"&gt;0",$S$3:S784,S784)&gt;3,"Trừ toàn bộ chuyên cần tháng",""))</f>
        <v/>
      </c>
      <c r="AI784" s="98" t="s">
        <v>1369</v>
      </c>
    </row>
    <row r="785" spans="1:35" x14ac:dyDescent="0.25">
      <c r="A785" s="4" t="s">
        <v>1181</v>
      </c>
      <c r="B785" s="1" t="s">
        <v>1182</v>
      </c>
      <c r="C785" s="1" t="s">
        <v>20</v>
      </c>
      <c r="D785" s="1" t="s">
        <v>28</v>
      </c>
      <c r="E785" s="1" t="s">
        <v>22</v>
      </c>
      <c r="F785" s="1" t="s">
        <v>23</v>
      </c>
      <c r="G785" s="1" t="s">
        <v>12</v>
      </c>
      <c r="H785" s="1" t="s">
        <v>24</v>
      </c>
      <c r="I785" s="1" t="s">
        <v>24</v>
      </c>
      <c r="J785" s="1" t="s">
        <v>25</v>
      </c>
      <c r="K785" s="1" t="s">
        <v>25</v>
      </c>
      <c r="L785" s="1" t="s">
        <v>26</v>
      </c>
      <c r="M785" s="1" t="s">
        <v>25</v>
      </c>
      <c r="N785" s="1" t="s">
        <v>25</v>
      </c>
      <c r="O785" s="1" t="s">
        <v>25</v>
      </c>
      <c r="P785" s="1" t="s">
        <v>25</v>
      </c>
      <c r="Q785" s="1" t="s">
        <v>25</v>
      </c>
      <c r="R785" s="85" t="str">
        <f t="shared" si="48"/>
        <v>6545903</v>
      </c>
      <c r="S785" t="str">
        <f>VLOOKUP(A785,Data_NV!$A:$C,3,0)</f>
        <v>Lý Kim Hồ</v>
      </c>
      <c r="T785" t="str">
        <f>VLOOKUP(A785,Data_NV!$A:$E,4,0)</f>
        <v>Kế toán - Văn phòng</v>
      </c>
      <c r="U785" s="82">
        <f>DATEVALUE(Table2[[#This Row],[Ngày]])</f>
        <v>45903</v>
      </c>
      <c r="V785" t="str">
        <f>VLOOKUP(A785,Data_NV!$A:$E,5,0)</f>
        <v>Đang làm việc</v>
      </c>
      <c r="W785" s="10">
        <f>VLOOKUP(A785,Data_NV!$A:$I,8,0)</f>
        <v>0.33333333333333331</v>
      </c>
      <c r="X785" s="10">
        <f>VLOOKUP(A785,Data_NV!$A:$I,9,0)</f>
        <v>0.70833333333333337</v>
      </c>
      <c r="Y785" s="10">
        <f>IFERROR(TIMEVALUE(Table2[[#This Row],[Vào]]),0)</f>
        <v>0</v>
      </c>
      <c r="Z785" s="10">
        <f>IFERROR(TIMEVALUE(Table2[[#This Row],[Ra]]),0)</f>
        <v>0</v>
      </c>
      <c r="AA785" t="str">
        <f t="shared" si="49"/>
        <v/>
      </c>
      <c r="AB785" s="105">
        <f t="shared" si="50"/>
        <v>0</v>
      </c>
      <c r="AC785" s="12" t="str">
        <f>IF(VLOOKUP(A785,Data_NV!$A:$I,7,0)="Không","",IF(OR(AND(Y785=0,Z785=0),AND(Y785&lt;&gt;0,Z785&lt;&gt;0)),"","Quên chấm công"))</f>
        <v/>
      </c>
      <c r="AD785" s="12">
        <f>IF(VLOOKUP(A785,Data_NV!$A:$I,7,0)="Không",0,IF(AND(Y785=0,Z785=0),0,IF(X785&lt;=Z785,0,ROUNDDOWN((X785-Z785)*24*60,0))))</f>
        <v>0</v>
      </c>
      <c r="AE785" s="12">
        <f>IF(VLOOKUP(A785,Data_NV!$A:$I,6,0)="Không",0,IF(Z785&lt;=X785,0,ROUNDDOWN((Z785-X785)*24*60,0)))</f>
        <v>0</v>
      </c>
      <c r="AF785" s="26">
        <f t="shared" si="51"/>
        <v>0</v>
      </c>
      <c r="AG785" s="27" t="str">
        <f>IF(AC785="","",IF(COUNTIFS($AC$3:AC785,"Quên chấm công",$S$3:S785,S785)&gt;3,"Không chấm công do vi phạm quá 3 lần",IF(COUNTIFS($AC$3:AC785,"Quên chấm công",$S$3:S785,S785)&gt;2,"Trừ toàn bộ chuyên cần tháng do vi phạm lần 3",IF(COUNTIFS($AC$3:AC785,"Quên chấm công",$S$3:S785,S785)&gt;1,"Trừ 1/2 ngày lương",50000))))</f>
        <v/>
      </c>
      <c r="AH785" s="12" t="str">
        <f>IF(AF785=0,"",IF(COUNTIFS($AF$3:AF785,"&gt;0",$S$3:S785,S785)&gt;3,"Trừ toàn bộ chuyên cần tháng",""))</f>
        <v/>
      </c>
      <c r="AI785" s="12"/>
    </row>
    <row r="786" spans="1:35" x14ac:dyDescent="0.25">
      <c r="A786" s="4" t="s">
        <v>1181</v>
      </c>
      <c r="B786" s="1" t="s">
        <v>1182</v>
      </c>
      <c r="C786" s="1" t="s">
        <v>20</v>
      </c>
      <c r="D786" s="1" t="s">
        <v>35</v>
      </c>
      <c r="E786" s="1" t="s">
        <v>22</v>
      </c>
      <c r="F786" s="1" t="s">
        <v>23</v>
      </c>
      <c r="G786" s="1" t="s">
        <v>12</v>
      </c>
      <c r="H786" s="1" t="s">
        <v>24</v>
      </c>
      <c r="I786" s="1" t="s">
        <v>24</v>
      </c>
      <c r="J786" s="1" t="s">
        <v>25</v>
      </c>
      <c r="K786" s="1" t="s">
        <v>25</v>
      </c>
      <c r="L786" s="1" t="s">
        <v>26</v>
      </c>
      <c r="M786" s="1" t="s">
        <v>25</v>
      </c>
      <c r="N786" s="1" t="s">
        <v>25</v>
      </c>
      <c r="O786" s="1" t="s">
        <v>25</v>
      </c>
      <c r="P786" s="1" t="s">
        <v>25</v>
      </c>
      <c r="Q786" s="1" t="s">
        <v>25</v>
      </c>
      <c r="R786" s="85" t="str">
        <f t="shared" si="48"/>
        <v>6545904</v>
      </c>
      <c r="S786" t="str">
        <f>VLOOKUP(A786,Data_NV!$A:$C,3,0)</f>
        <v>Lý Kim Hồ</v>
      </c>
      <c r="T786" t="str">
        <f>VLOOKUP(A786,Data_NV!$A:$E,4,0)</f>
        <v>Kế toán - Văn phòng</v>
      </c>
      <c r="U786" s="82">
        <f>DATEVALUE(Table2[[#This Row],[Ngày]])</f>
        <v>45904</v>
      </c>
      <c r="V786" t="str">
        <f>VLOOKUP(A786,Data_NV!$A:$E,5,0)</f>
        <v>Đang làm việc</v>
      </c>
      <c r="W786" s="10">
        <f>VLOOKUP(A786,Data_NV!$A:$I,8,0)</f>
        <v>0.33333333333333331</v>
      </c>
      <c r="X786" s="10">
        <f>VLOOKUP(A786,Data_NV!$A:$I,9,0)</f>
        <v>0.70833333333333337</v>
      </c>
      <c r="Y786" s="10">
        <f>IFERROR(TIMEVALUE(Table2[[#This Row],[Vào]]),0)</f>
        <v>0</v>
      </c>
      <c r="Z786" s="10">
        <f>IFERROR(TIMEVALUE(Table2[[#This Row],[Ra]]),0)</f>
        <v>0</v>
      </c>
      <c r="AA786" t="str">
        <f t="shared" si="49"/>
        <v/>
      </c>
      <c r="AB786" s="105">
        <f t="shared" si="50"/>
        <v>0</v>
      </c>
      <c r="AC786" s="12" t="str">
        <f>IF(VLOOKUP(A786,Data_NV!$A:$I,7,0)="Không","",IF(OR(AND(Y786=0,Z786=0),AND(Y786&lt;&gt;0,Z786&lt;&gt;0)),"","Quên chấm công"))</f>
        <v/>
      </c>
      <c r="AD786" s="12">
        <f>IF(VLOOKUP(A786,Data_NV!$A:$I,7,0)="Không",0,IF(AND(Y786=0,Z786=0),0,IF(X786&lt;=Z786,0,ROUNDDOWN((X786-Z786)*24*60,0))))</f>
        <v>0</v>
      </c>
      <c r="AE786" s="12">
        <f>IF(VLOOKUP(A786,Data_NV!$A:$I,6,0)="Không",0,IF(Z786&lt;=X786,0,ROUNDDOWN((Z786-X786)*24*60,0)))</f>
        <v>0</v>
      </c>
      <c r="AF786" s="26">
        <f t="shared" si="51"/>
        <v>0</v>
      </c>
      <c r="AG786" s="27" t="str">
        <f>IF(AC786="","",IF(COUNTIFS($AC$3:AC786,"Quên chấm công",$S$3:S786,S786)&gt;3,"Không chấm công do vi phạm quá 3 lần",IF(COUNTIFS($AC$3:AC786,"Quên chấm công",$S$3:S786,S786)&gt;2,"Trừ toàn bộ chuyên cần tháng do vi phạm lần 3",IF(COUNTIFS($AC$3:AC786,"Quên chấm công",$S$3:S786,S786)&gt;1,"Trừ 1/2 ngày lương",50000))))</f>
        <v/>
      </c>
      <c r="AH786" s="12" t="str">
        <f>IF(AF786=0,"",IF(COUNTIFS($AF$3:AF786,"&gt;0",$S$3:S786,S786)&gt;3,"Trừ toàn bộ chuyên cần tháng",""))</f>
        <v/>
      </c>
      <c r="AI786" s="12"/>
    </row>
    <row r="787" spans="1:35" x14ac:dyDescent="0.25">
      <c r="A787" s="4" t="s">
        <v>1181</v>
      </c>
      <c r="B787" s="1" t="s">
        <v>1182</v>
      </c>
      <c r="C787" s="1" t="s">
        <v>20</v>
      </c>
      <c r="D787" s="1" t="s">
        <v>37</v>
      </c>
      <c r="E787" s="1" t="s">
        <v>22</v>
      </c>
      <c r="F787" s="1" t="s">
        <v>23</v>
      </c>
      <c r="G787" s="1" t="s">
        <v>12</v>
      </c>
      <c r="H787" s="1" t="s">
        <v>24</v>
      </c>
      <c r="I787" s="1" t="s">
        <v>24</v>
      </c>
      <c r="J787" s="1" t="s">
        <v>25</v>
      </c>
      <c r="K787" s="1" t="s">
        <v>25</v>
      </c>
      <c r="L787" s="1" t="s">
        <v>26</v>
      </c>
      <c r="M787" s="1" t="s">
        <v>25</v>
      </c>
      <c r="N787" s="1" t="s">
        <v>25</v>
      </c>
      <c r="O787" s="1" t="s">
        <v>25</v>
      </c>
      <c r="P787" s="1" t="s">
        <v>25</v>
      </c>
      <c r="Q787" s="1" t="s">
        <v>25</v>
      </c>
      <c r="R787" s="85" t="str">
        <f t="shared" si="48"/>
        <v>6545905</v>
      </c>
      <c r="S787" t="str">
        <f>VLOOKUP(A787,Data_NV!$A:$C,3,0)</f>
        <v>Lý Kim Hồ</v>
      </c>
      <c r="T787" t="str">
        <f>VLOOKUP(A787,Data_NV!$A:$E,4,0)</f>
        <v>Kế toán - Văn phòng</v>
      </c>
      <c r="U787" s="82">
        <f>DATEVALUE(Table2[[#This Row],[Ngày]])</f>
        <v>45905</v>
      </c>
      <c r="V787" t="str">
        <f>VLOOKUP(A787,Data_NV!$A:$E,5,0)</f>
        <v>Đang làm việc</v>
      </c>
      <c r="W787" s="10">
        <f>VLOOKUP(A787,Data_NV!$A:$I,8,0)</f>
        <v>0.33333333333333331</v>
      </c>
      <c r="X787" s="10">
        <f>VLOOKUP(A787,Data_NV!$A:$I,9,0)</f>
        <v>0.70833333333333337</v>
      </c>
      <c r="Y787" s="10">
        <f>IFERROR(TIMEVALUE(Table2[[#This Row],[Vào]]),0)</f>
        <v>0</v>
      </c>
      <c r="Z787" s="10">
        <f>IFERROR(TIMEVALUE(Table2[[#This Row],[Ra]]),0)</f>
        <v>0</v>
      </c>
      <c r="AA787" t="str">
        <f t="shared" si="49"/>
        <v/>
      </c>
      <c r="AB787" s="105">
        <f t="shared" si="50"/>
        <v>0</v>
      </c>
      <c r="AC787" s="12" t="str">
        <f>IF(VLOOKUP(A787,Data_NV!$A:$I,7,0)="Không","",IF(OR(AND(Y787=0,Z787=0),AND(Y787&lt;&gt;0,Z787&lt;&gt;0)),"","Quên chấm công"))</f>
        <v/>
      </c>
      <c r="AD787" s="12">
        <f>IF(VLOOKUP(A787,Data_NV!$A:$I,7,0)="Không",0,IF(AND(Y787=0,Z787=0),0,IF(X787&lt;=Z787,0,ROUNDDOWN((X787-Z787)*24*60,0))))</f>
        <v>0</v>
      </c>
      <c r="AE787" s="12">
        <f>IF(VLOOKUP(A787,Data_NV!$A:$I,6,0)="Không",0,IF(Z787&lt;=X787,0,ROUNDDOWN((Z787-X787)*24*60,0)))</f>
        <v>0</v>
      </c>
      <c r="AF787" s="26">
        <f t="shared" si="51"/>
        <v>0</v>
      </c>
      <c r="AG787" s="27" t="str">
        <f>IF(AC787="","",IF(COUNTIFS($AC$3:AC787,"Quên chấm công",$S$3:S787,S787)&gt;3,"Không chấm công do vi phạm quá 3 lần",IF(COUNTIFS($AC$3:AC787,"Quên chấm công",$S$3:S787,S787)&gt;2,"Trừ toàn bộ chuyên cần tháng do vi phạm lần 3",IF(COUNTIFS($AC$3:AC787,"Quên chấm công",$S$3:S787,S787)&gt;1,"Trừ 1/2 ngày lương",50000))))</f>
        <v/>
      </c>
      <c r="AH787" s="12" t="str">
        <f>IF(AF787=0,"",IF(COUNTIFS($AF$3:AF787,"&gt;0",$S$3:S787,S787)&gt;3,"Trừ toàn bộ chuyên cần tháng",""))</f>
        <v/>
      </c>
      <c r="AI787" s="12"/>
    </row>
    <row r="788" spans="1:35" x14ac:dyDescent="0.25">
      <c r="A788" s="4" t="s">
        <v>1181</v>
      </c>
      <c r="B788" s="1" t="s">
        <v>1182</v>
      </c>
      <c r="C788" s="1" t="s">
        <v>20</v>
      </c>
      <c r="D788" s="1" t="s">
        <v>42</v>
      </c>
      <c r="E788" s="1" t="s">
        <v>22</v>
      </c>
      <c r="F788" s="1" t="s">
        <v>23</v>
      </c>
      <c r="G788" s="1" t="s">
        <v>12</v>
      </c>
      <c r="H788" s="1" t="s">
        <v>24</v>
      </c>
      <c r="I788" s="1" t="s">
        <v>24</v>
      </c>
      <c r="J788" s="1" t="s">
        <v>25</v>
      </c>
      <c r="K788" s="1" t="s">
        <v>25</v>
      </c>
      <c r="L788" s="1" t="s">
        <v>26</v>
      </c>
      <c r="M788" s="1" t="s">
        <v>25</v>
      </c>
      <c r="N788" s="1" t="s">
        <v>25</v>
      </c>
      <c r="O788" s="1" t="s">
        <v>25</v>
      </c>
      <c r="P788" s="1" t="s">
        <v>25</v>
      </c>
      <c r="Q788" s="1" t="s">
        <v>25</v>
      </c>
      <c r="R788" s="85" t="str">
        <f t="shared" si="48"/>
        <v>6545906</v>
      </c>
      <c r="S788" t="str">
        <f>VLOOKUP(A788,Data_NV!$A:$C,3,0)</f>
        <v>Lý Kim Hồ</v>
      </c>
      <c r="T788" t="str">
        <f>VLOOKUP(A788,Data_NV!$A:$E,4,0)</f>
        <v>Kế toán - Văn phòng</v>
      </c>
      <c r="U788" s="82">
        <f>DATEVALUE(Table2[[#This Row],[Ngày]])</f>
        <v>45906</v>
      </c>
      <c r="V788" t="str">
        <f>VLOOKUP(A788,Data_NV!$A:$E,5,0)</f>
        <v>Đang làm việc</v>
      </c>
      <c r="W788" s="10">
        <f>VLOOKUP(A788,Data_NV!$A:$I,8,0)</f>
        <v>0.33333333333333331</v>
      </c>
      <c r="X788" s="10">
        <f>VLOOKUP(A788,Data_NV!$A:$I,9,0)</f>
        <v>0.70833333333333337</v>
      </c>
      <c r="Y788" s="10">
        <f>IFERROR(TIMEVALUE(Table2[[#This Row],[Vào]]),0)</f>
        <v>0</v>
      </c>
      <c r="Z788" s="10">
        <f>IFERROR(TIMEVALUE(Table2[[#This Row],[Ra]]),0)</f>
        <v>0</v>
      </c>
      <c r="AA788" t="str">
        <f t="shared" si="49"/>
        <v/>
      </c>
      <c r="AB788" s="105">
        <f t="shared" si="50"/>
        <v>0</v>
      </c>
      <c r="AC788" s="12" t="str">
        <f>IF(VLOOKUP(A788,Data_NV!$A:$I,7,0)="Không","",IF(OR(AND(Y788=0,Z788=0),AND(Y788&lt;&gt;0,Z788&lt;&gt;0)),"","Quên chấm công"))</f>
        <v/>
      </c>
      <c r="AD788" s="12">
        <f>IF(VLOOKUP(A788,Data_NV!$A:$I,7,0)="Không",0,IF(AND(Y788=0,Z788=0),0,IF(X788&lt;=Z788,0,ROUNDDOWN((X788-Z788)*24*60,0))))</f>
        <v>0</v>
      </c>
      <c r="AE788" s="12">
        <f>IF(VLOOKUP(A788,Data_NV!$A:$I,6,0)="Không",0,IF(Z788&lt;=X788,0,ROUNDDOWN((Z788-X788)*24*60,0)))</f>
        <v>0</v>
      </c>
      <c r="AF788" s="26">
        <f t="shared" si="51"/>
        <v>0</v>
      </c>
      <c r="AG788" s="27" t="str">
        <f>IF(AC788="","",IF(COUNTIFS($AC$3:AC788,"Quên chấm công",$S$3:S788,S788)&gt;3,"Không chấm công do vi phạm quá 3 lần",IF(COUNTIFS($AC$3:AC788,"Quên chấm công",$S$3:S788,S788)&gt;2,"Trừ toàn bộ chuyên cần tháng do vi phạm lần 3",IF(COUNTIFS($AC$3:AC788,"Quên chấm công",$S$3:S788,S788)&gt;1,"Trừ 1/2 ngày lương",50000))))</f>
        <v/>
      </c>
      <c r="AH788" s="12" t="str">
        <f>IF(AF788=0,"",IF(COUNTIFS($AF$3:AF788,"&gt;0",$S$3:S788,S788)&gt;3,"Trừ toàn bộ chuyên cần tháng",""))</f>
        <v/>
      </c>
      <c r="AI788" s="12"/>
    </row>
    <row r="789" spans="1:35" x14ac:dyDescent="0.25">
      <c r="A789" s="4" t="s">
        <v>1181</v>
      </c>
      <c r="B789" s="1" t="s">
        <v>1182</v>
      </c>
      <c r="C789" s="1" t="s">
        <v>20</v>
      </c>
      <c r="D789" s="1" t="s">
        <v>47</v>
      </c>
      <c r="E789" s="1" t="s">
        <v>22</v>
      </c>
      <c r="F789" s="1" t="s">
        <v>23</v>
      </c>
      <c r="G789" s="1" t="s">
        <v>12</v>
      </c>
      <c r="H789" s="1" t="s">
        <v>24</v>
      </c>
      <c r="I789" s="1" t="s">
        <v>24</v>
      </c>
      <c r="J789" s="1" t="s">
        <v>25</v>
      </c>
      <c r="K789" s="1" t="s">
        <v>25</v>
      </c>
      <c r="L789" s="1" t="s">
        <v>26</v>
      </c>
      <c r="M789" s="1" t="s">
        <v>25</v>
      </c>
      <c r="N789" s="1" t="s">
        <v>25</v>
      </c>
      <c r="O789" s="1" t="s">
        <v>25</v>
      </c>
      <c r="P789" s="1" t="s">
        <v>25</v>
      </c>
      <c r="Q789" s="1" t="s">
        <v>25</v>
      </c>
      <c r="R789" s="85" t="str">
        <f t="shared" si="48"/>
        <v>6545907</v>
      </c>
      <c r="S789" t="str">
        <f>VLOOKUP(A789,Data_NV!$A:$C,3,0)</f>
        <v>Lý Kim Hồ</v>
      </c>
      <c r="T789" t="str">
        <f>VLOOKUP(A789,Data_NV!$A:$E,4,0)</f>
        <v>Kế toán - Văn phòng</v>
      </c>
      <c r="U789" s="82">
        <f>DATEVALUE(Table2[[#This Row],[Ngày]])</f>
        <v>45907</v>
      </c>
      <c r="V789" t="str">
        <f>VLOOKUP(A789,Data_NV!$A:$E,5,0)</f>
        <v>Đang làm việc</v>
      </c>
      <c r="W789" s="10">
        <f>VLOOKUP(A789,Data_NV!$A:$I,8,0)</f>
        <v>0.33333333333333331</v>
      </c>
      <c r="X789" s="10">
        <f>VLOOKUP(A789,Data_NV!$A:$I,9,0)</f>
        <v>0.70833333333333337</v>
      </c>
      <c r="Y789" s="10">
        <f>IFERROR(TIMEVALUE(Table2[[#This Row],[Vào]]),0)</f>
        <v>0</v>
      </c>
      <c r="Z789" s="10">
        <f>IFERROR(TIMEVALUE(Table2[[#This Row],[Ra]]),0)</f>
        <v>0</v>
      </c>
      <c r="AA789" t="str">
        <f t="shared" si="49"/>
        <v>Chủ nhật</v>
      </c>
      <c r="AB789" s="105">
        <f t="shared" si="50"/>
        <v>0</v>
      </c>
      <c r="AC789" s="12" t="str">
        <f>IF(VLOOKUP(A789,Data_NV!$A:$I,7,0)="Không","",IF(OR(AND(Y789=0,Z789=0),AND(Y789&lt;&gt;0,Z789&lt;&gt;0)),"","Quên chấm công"))</f>
        <v/>
      </c>
      <c r="AD789" s="12">
        <f>IF(VLOOKUP(A789,Data_NV!$A:$I,7,0)="Không",0,IF(AND(Y789=0,Z789=0),0,IF(X789&lt;=Z789,0,ROUNDDOWN((X789-Z789)*24*60,0))))</f>
        <v>0</v>
      </c>
      <c r="AE789" s="12">
        <f>IF(VLOOKUP(A789,Data_NV!$A:$I,6,0)="Không",0,IF(Z789&lt;=X789,0,ROUNDDOWN((Z789-X789)*24*60,0)))</f>
        <v>0</v>
      </c>
      <c r="AF789" s="26">
        <f t="shared" si="51"/>
        <v>0</v>
      </c>
      <c r="AG789" s="27" t="str">
        <f>IF(AC789="","",IF(COUNTIFS($AC$3:AC789,"Quên chấm công",$S$3:S789,S789)&gt;3,"Không chấm công do vi phạm quá 3 lần",IF(COUNTIFS($AC$3:AC789,"Quên chấm công",$S$3:S789,S789)&gt;2,"Trừ toàn bộ chuyên cần tháng do vi phạm lần 3",IF(COUNTIFS($AC$3:AC789,"Quên chấm công",$S$3:S789,S789)&gt;1,"Trừ 1/2 ngày lương",50000))))</f>
        <v/>
      </c>
      <c r="AH789" s="12" t="str">
        <f>IF(AF789=0,"",IF(COUNTIFS($AF$3:AF789,"&gt;0",$S$3:S789,S789)&gt;3,"Trừ toàn bộ chuyên cần tháng",""))</f>
        <v/>
      </c>
      <c r="AI789" s="12"/>
    </row>
    <row r="790" spans="1:35" x14ac:dyDescent="0.25">
      <c r="A790" s="4" t="s">
        <v>1181</v>
      </c>
      <c r="B790" s="1" t="s">
        <v>1182</v>
      </c>
      <c r="C790" s="1" t="s">
        <v>20</v>
      </c>
      <c r="D790" s="1" t="s">
        <v>48</v>
      </c>
      <c r="E790" s="1" t="s">
        <v>22</v>
      </c>
      <c r="F790" s="1" t="s">
        <v>23</v>
      </c>
      <c r="G790" s="1" t="s">
        <v>12</v>
      </c>
      <c r="H790" s="1" t="s">
        <v>24</v>
      </c>
      <c r="I790" s="1" t="s">
        <v>24</v>
      </c>
      <c r="J790" s="1" t="s">
        <v>25</v>
      </c>
      <c r="K790" s="1" t="s">
        <v>25</v>
      </c>
      <c r="L790" s="1" t="s">
        <v>26</v>
      </c>
      <c r="M790" s="1" t="s">
        <v>25</v>
      </c>
      <c r="N790" s="1" t="s">
        <v>25</v>
      </c>
      <c r="O790" s="1" t="s">
        <v>25</v>
      </c>
      <c r="P790" s="1" t="s">
        <v>25</v>
      </c>
      <c r="Q790" s="1" t="s">
        <v>25</v>
      </c>
      <c r="R790" s="85" t="str">
        <f t="shared" si="48"/>
        <v>6545908</v>
      </c>
      <c r="S790" t="str">
        <f>VLOOKUP(A790,Data_NV!$A:$C,3,0)</f>
        <v>Lý Kim Hồ</v>
      </c>
      <c r="T790" t="str">
        <f>VLOOKUP(A790,Data_NV!$A:$E,4,0)</f>
        <v>Kế toán - Văn phòng</v>
      </c>
      <c r="U790" s="82">
        <f>DATEVALUE(Table2[[#This Row],[Ngày]])</f>
        <v>45908</v>
      </c>
      <c r="V790" t="str">
        <f>VLOOKUP(A790,Data_NV!$A:$E,5,0)</f>
        <v>Đang làm việc</v>
      </c>
      <c r="W790" s="10">
        <f>VLOOKUP(A790,Data_NV!$A:$I,8,0)</f>
        <v>0.33333333333333331</v>
      </c>
      <c r="X790" s="10">
        <f>VLOOKUP(A790,Data_NV!$A:$I,9,0)</f>
        <v>0.70833333333333337</v>
      </c>
      <c r="Y790" s="10">
        <f>IFERROR(TIMEVALUE(Table2[[#This Row],[Vào]]),0)</f>
        <v>0</v>
      </c>
      <c r="Z790" s="10">
        <f>IFERROR(TIMEVALUE(Table2[[#This Row],[Ra]]),0)</f>
        <v>0</v>
      </c>
      <c r="AA790" t="str">
        <f t="shared" si="49"/>
        <v/>
      </c>
      <c r="AB790" s="105">
        <f t="shared" si="50"/>
        <v>0</v>
      </c>
      <c r="AC790" s="12" t="str">
        <f>IF(VLOOKUP(A790,Data_NV!$A:$I,7,0)="Không","",IF(OR(AND(Y790=0,Z790=0),AND(Y790&lt;&gt;0,Z790&lt;&gt;0)),"","Quên chấm công"))</f>
        <v/>
      </c>
      <c r="AD790" s="12">
        <f>IF(VLOOKUP(A790,Data_NV!$A:$I,7,0)="Không",0,IF(AND(Y790=0,Z790=0),0,IF(X790&lt;=Z790,0,ROUNDDOWN((X790-Z790)*24*60,0))))</f>
        <v>0</v>
      </c>
      <c r="AE790" s="12">
        <f>IF(VLOOKUP(A790,Data_NV!$A:$I,6,0)="Không",0,IF(Z790&lt;=X790,0,ROUNDDOWN((Z790-X790)*24*60,0)))</f>
        <v>0</v>
      </c>
      <c r="AF790" s="26">
        <f t="shared" si="51"/>
        <v>0</v>
      </c>
      <c r="AG790" s="27" t="str">
        <f>IF(AC790="","",IF(COUNTIFS($AC$3:AC790,"Quên chấm công",$S$3:S790,S790)&gt;3,"Không chấm công do vi phạm quá 3 lần",IF(COUNTIFS($AC$3:AC790,"Quên chấm công",$S$3:S790,S790)&gt;2,"Trừ toàn bộ chuyên cần tháng do vi phạm lần 3",IF(COUNTIFS($AC$3:AC790,"Quên chấm công",$S$3:S790,S790)&gt;1,"Trừ 1/2 ngày lương",50000))))</f>
        <v/>
      </c>
      <c r="AH790" s="12" t="str">
        <f>IF(AF790=0,"",IF(COUNTIFS($AF$3:AF790,"&gt;0",$S$3:S790,S790)&gt;3,"Trừ toàn bộ chuyên cần tháng",""))</f>
        <v/>
      </c>
      <c r="AI790" s="12"/>
    </row>
    <row r="791" spans="1:35" x14ac:dyDescent="0.25">
      <c r="A791" s="4" t="s">
        <v>1181</v>
      </c>
      <c r="B791" s="1" t="s">
        <v>1182</v>
      </c>
      <c r="C791" s="1" t="s">
        <v>20</v>
      </c>
      <c r="D791" s="1" t="s">
        <v>53</v>
      </c>
      <c r="E791" s="1" t="s">
        <v>22</v>
      </c>
      <c r="F791" s="1" t="s">
        <v>23</v>
      </c>
      <c r="G791" s="1" t="s">
        <v>12</v>
      </c>
      <c r="H791" s="1" t="s">
        <v>24</v>
      </c>
      <c r="I791" s="1" t="s">
        <v>24</v>
      </c>
      <c r="J791" s="1" t="s">
        <v>25</v>
      </c>
      <c r="K791" s="1" t="s">
        <v>25</v>
      </c>
      <c r="L791" s="1" t="s">
        <v>26</v>
      </c>
      <c r="M791" s="1" t="s">
        <v>25</v>
      </c>
      <c r="N791" s="1" t="s">
        <v>25</v>
      </c>
      <c r="O791" s="1" t="s">
        <v>25</v>
      </c>
      <c r="P791" s="1" t="s">
        <v>25</v>
      </c>
      <c r="Q791" s="1" t="s">
        <v>25</v>
      </c>
      <c r="R791" s="85" t="str">
        <f t="shared" si="48"/>
        <v>6545909</v>
      </c>
      <c r="S791" t="str">
        <f>VLOOKUP(A791,Data_NV!$A:$C,3,0)</f>
        <v>Lý Kim Hồ</v>
      </c>
      <c r="T791" t="str">
        <f>VLOOKUP(A791,Data_NV!$A:$E,4,0)</f>
        <v>Kế toán - Văn phòng</v>
      </c>
      <c r="U791" s="82">
        <f>DATEVALUE(Table2[[#This Row],[Ngày]])</f>
        <v>45909</v>
      </c>
      <c r="V791" t="str">
        <f>VLOOKUP(A791,Data_NV!$A:$E,5,0)</f>
        <v>Đang làm việc</v>
      </c>
      <c r="W791" s="10">
        <f>VLOOKUP(A791,Data_NV!$A:$I,8,0)</f>
        <v>0.33333333333333331</v>
      </c>
      <c r="X791" s="10">
        <f>VLOOKUP(A791,Data_NV!$A:$I,9,0)</f>
        <v>0.70833333333333337</v>
      </c>
      <c r="Y791" s="10">
        <f>IFERROR(TIMEVALUE(Table2[[#This Row],[Vào]]),0)</f>
        <v>0</v>
      </c>
      <c r="Z791" s="10">
        <f>IFERROR(TIMEVALUE(Table2[[#This Row],[Ra]]),0)</f>
        <v>0</v>
      </c>
      <c r="AA791" t="str">
        <f t="shared" si="49"/>
        <v/>
      </c>
      <c r="AB791" s="105">
        <f t="shared" si="50"/>
        <v>0</v>
      </c>
      <c r="AC791" s="12" t="str">
        <f>IF(VLOOKUP(A791,Data_NV!$A:$I,7,0)="Không","",IF(OR(AND(Y791=0,Z791=0),AND(Y791&lt;&gt;0,Z791&lt;&gt;0)),"","Quên chấm công"))</f>
        <v/>
      </c>
      <c r="AD791" s="12">
        <f>IF(VLOOKUP(A791,Data_NV!$A:$I,7,0)="Không",0,IF(AND(Y791=0,Z791=0),0,IF(X791&lt;=Z791,0,ROUNDDOWN((X791-Z791)*24*60,0))))</f>
        <v>0</v>
      </c>
      <c r="AE791" s="12">
        <f>IF(VLOOKUP(A791,Data_NV!$A:$I,6,0)="Không",0,IF(Z791&lt;=X791,0,ROUNDDOWN((Z791-X791)*24*60,0)))</f>
        <v>0</v>
      </c>
      <c r="AF791" s="26">
        <f t="shared" si="51"/>
        <v>0</v>
      </c>
      <c r="AG791" s="27" t="str">
        <f>IF(AC791="","",IF(COUNTIFS($AC$3:AC791,"Quên chấm công",$S$3:S791,S791)&gt;3,"Không chấm công do vi phạm quá 3 lần",IF(COUNTIFS($AC$3:AC791,"Quên chấm công",$S$3:S791,S791)&gt;2,"Trừ toàn bộ chuyên cần tháng do vi phạm lần 3",IF(COUNTIFS($AC$3:AC791,"Quên chấm công",$S$3:S791,S791)&gt;1,"Trừ 1/2 ngày lương",50000))))</f>
        <v/>
      </c>
      <c r="AH791" s="12" t="str">
        <f>IF(AF791=0,"",IF(COUNTIFS($AF$3:AF791,"&gt;0",$S$3:S791,S791)&gt;3,"Trừ toàn bộ chuyên cần tháng",""))</f>
        <v/>
      </c>
      <c r="AI791" s="12"/>
    </row>
    <row r="792" spans="1:35" x14ac:dyDescent="0.25">
      <c r="A792" s="4" t="s">
        <v>1181</v>
      </c>
      <c r="B792" s="1" t="s">
        <v>1182</v>
      </c>
      <c r="C792" s="1" t="s">
        <v>20</v>
      </c>
      <c r="D792" s="1" t="s">
        <v>58</v>
      </c>
      <c r="E792" s="1" t="s">
        <v>22</v>
      </c>
      <c r="F792" s="1" t="s">
        <v>23</v>
      </c>
      <c r="G792" s="1" t="s">
        <v>12</v>
      </c>
      <c r="H792" s="1" t="s">
        <v>1221</v>
      </c>
      <c r="I792" s="1" t="s">
        <v>1365</v>
      </c>
      <c r="J792" s="1" t="s">
        <v>25</v>
      </c>
      <c r="K792" s="1" t="s">
        <v>25</v>
      </c>
      <c r="L792" s="1" t="s">
        <v>26</v>
      </c>
      <c r="M792" s="1" t="s">
        <v>25</v>
      </c>
      <c r="N792" s="1" t="s">
        <v>25</v>
      </c>
      <c r="O792" s="1" t="s">
        <v>25</v>
      </c>
      <c r="P792" s="1" t="s">
        <v>25</v>
      </c>
      <c r="Q792" s="1" t="s">
        <v>25</v>
      </c>
      <c r="R792" s="85" t="str">
        <f t="shared" si="48"/>
        <v>6545910</v>
      </c>
      <c r="S792" t="str">
        <f>VLOOKUP(A792,Data_NV!$A:$C,3,0)</f>
        <v>Lý Kim Hồ</v>
      </c>
      <c r="T792" t="str">
        <f>VLOOKUP(A792,Data_NV!$A:$E,4,0)</f>
        <v>Kế toán - Văn phòng</v>
      </c>
      <c r="U792" s="82">
        <f>DATEVALUE(Table2[[#This Row],[Ngày]])</f>
        <v>45910</v>
      </c>
      <c r="V792" t="str">
        <f>VLOOKUP(A792,Data_NV!$A:$E,5,0)</f>
        <v>Đang làm việc</v>
      </c>
      <c r="W792" s="10">
        <f>VLOOKUP(A792,Data_NV!$A:$I,8,0)</f>
        <v>0.33333333333333331</v>
      </c>
      <c r="X792" s="10">
        <f>VLOOKUP(A792,Data_NV!$A:$I,9,0)</f>
        <v>0.70833333333333337</v>
      </c>
      <c r="Y792" s="10">
        <f>IFERROR(TIMEVALUE(Table2[[#This Row],[Vào]]),0)</f>
        <v>0.33333333333333331</v>
      </c>
      <c r="Z792" s="10">
        <f>IFERROR(TIMEVALUE(Table2[[#This Row],[Ra]]),0)</f>
        <v>0.70833333333333337</v>
      </c>
      <c r="AA792" t="str">
        <f t="shared" si="49"/>
        <v>x</v>
      </c>
      <c r="AB792" s="105">
        <f t="shared" si="50"/>
        <v>0</v>
      </c>
      <c r="AC792" s="12" t="str">
        <f>IF(VLOOKUP(A792,Data_NV!$A:$I,7,0)="Không","",IF(OR(AND(Y792=0,Z792=0),AND(Y792&lt;&gt;0,Z792&lt;&gt;0)),"","Quên chấm công"))</f>
        <v/>
      </c>
      <c r="AD792" s="12">
        <f>IF(VLOOKUP(A792,Data_NV!$A:$I,7,0)="Không",0,IF(AND(Y792=0,Z792=0),0,IF(X792&lt;=Z792,0,ROUNDDOWN((X792-Z792)*24*60,0))))</f>
        <v>0</v>
      </c>
      <c r="AE792" s="12">
        <f>IF(VLOOKUP(A792,Data_NV!$A:$I,6,0)="Không",0,IF(Z792&lt;=X792,0,ROUNDDOWN((Z792-X792)*24*60,0)))</f>
        <v>0</v>
      </c>
      <c r="AF792" s="26">
        <f t="shared" si="51"/>
        <v>0</v>
      </c>
      <c r="AG792" s="27" t="str">
        <f>IF(AC792="","",IF(COUNTIFS($AC$3:AC792,"Quên chấm công",$S$3:S792,S792)&gt;3,"Không chấm công do vi phạm quá 3 lần",IF(COUNTIFS($AC$3:AC792,"Quên chấm công",$S$3:S792,S792)&gt;2,"Trừ toàn bộ chuyên cần tháng do vi phạm lần 3",IF(COUNTIFS($AC$3:AC792,"Quên chấm công",$S$3:S792,S792)&gt;1,"Trừ 1/2 ngày lương",50000))))</f>
        <v/>
      </c>
      <c r="AH792" s="12" t="str">
        <f>IF(AF792=0,"",IF(COUNTIFS($AF$3:AF792,"&gt;0",$S$3:S792,S792)&gt;3,"Trừ toàn bộ chuyên cần tháng",""))</f>
        <v/>
      </c>
      <c r="AI792" s="92" t="s">
        <v>1368</v>
      </c>
    </row>
    <row r="793" spans="1:35" x14ac:dyDescent="0.25">
      <c r="A793" s="4" t="s">
        <v>1181</v>
      </c>
      <c r="B793" s="1" t="s">
        <v>1182</v>
      </c>
      <c r="C793" s="1" t="s">
        <v>20</v>
      </c>
      <c r="D793" s="1" t="s">
        <v>63</v>
      </c>
      <c r="E793" s="1" t="s">
        <v>22</v>
      </c>
      <c r="F793" s="1" t="s">
        <v>23</v>
      </c>
      <c r="G793" s="1" t="s">
        <v>12</v>
      </c>
      <c r="H793" s="1" t="s">
        <v>1221</v>
      </c>
      <c r="I793" s="1" t="s">
        <v>1365</v>
      </c>
      <c r="J793" s="1" t="s">
        <v>25</v>
      </c>
      <c r="K793" s="1" t="s">
        <v>25</v>
      </c>
      <c r="L793" s="1" t="s">
        <v>26</v>
      </c>
      <c r="M793" s="1" t="s">
        <v>25</v>
      </c>
      <c r="N793" s="1" t="s">
        <v>25</v>
      </c>
      <c r="O793" s="1" t="s">
        <v>25</v>
      </c>
      <c r="P793" s="1" t="s">
        <v>25</v>
      </c>
      <c r="Q793" s="1" t="s">
        <v>25</v>
      </c>
      <c r="R793" s="85" t="str">
        <f t="shared" si="48"/>
        <v>6545911</v>
      </c>
      <c r="S793" t="str">
        <f>VLOOKUP(A793,Data_NV!$A:$C,3,0)</f>
        <v>Lý Kim Hồ</v>
      </c>
      <c r="T793" t="str">
        <f>VLOOKUP(A793,Data_NV!$A:$E,4,0)</f>
        <v>Kế toán - Văn phòng</v>
      </c>
      <c r="U793" s="82">
        <f>DATEVALUE(Table2[[#This Row],[Ngày]])</f>
        <v>45911</v>
      </c>
      <c r="V793" t="str">
        <f>VLOOKUP(A793,Data_NV!$A:$E,5,0)</f>
        <v>Đang làm việc</v>
      </c>
      <c r="W793" s="10">
        <f>VLOOKUP(A793,Data_NV!$A:$I,8,0)</f>
        <v>0.33333333333333331</v>
      </c>
      <c r="X793" s="10">
        <f>VLOOKUP(A793,Data_NV!$A:$I,9,0)</f>
        <v>0.70833333333333337</v>
      </c>
      <c r="Y793" s="10">
        <f>IFERROR(TIMEVALUE(Table2[[#This Row],[Vào]]),0)</f>
        <v>0.33333333333333331</v>
      </c>
      <c r="Z793" s="10">
        <f>IFERROR(TIMEVALUE(Table2[[#This Row],[Ra]]),0)</f>
        <v>0.70833333333333337</v>
      </c>
      <c r="AA793" t="str">
        <f t="shared" si="49"/>
        <v>x</v>
      </c>
      <c r="AB793" s="105">
        <f t="shared" si="50"/>
        <v>0</v>
      </c>
      <c r="AC793" s="12" t="str">
        <f>IF(VLOOKUP(A793,Data_NV!$A:$I,7,0)="Không","",IF(OR(AND(Y793=0,Z793=0),AND(Y793&lt;&gt;0,Z793&lt;&gt;0)),"","Quên chấm công"))</f>
        <v/>
      </c>
      <c r="AD793" s="12">
        <f>IF(VLOOKUP(A793,Data_NV!$A:$I,7,0)="Không",0,IF(AND(Y793=0,Z793=0),0,IF(X793&lt;=Z793,0,ROUNDDOWN((X793-Z793)*24*60,0))))</f>
        <v>0</v>
      </c>
      <c r="AE793" s="12">
        <f>IF(VLOOKUP(A793,Data_NV!$A:$I,6,0)="Không",0,IF(Z793&lt;=X793,0,ROUNDDOWN((Z793-X793)*24*60,0)))</f>
        <v>0</v>
      </c>
      <c r="AF793" s="26">
        <f t="shared" si="51"/>
        <v>0</v>
      </c>
      <c r="AG793" s="27" t="str">
        <f>IF(AC793="","",IF(COUNTIFS($AC$3:AC793,"Quên chấm công",$S$3:S793,S793)&gt;3,"Không chấm công do vi phạm quá 3 lần",IF(COUNTIFS($AC$3:AC793,"Quên chấm công",$S$3:S793,S793)&gt;2,"Trừ toàn bộ chuyên cần tháng do vi phạm lần 3",IF(COUNTIFS($AC$3:AC793,"Quên chấm công",$S$3:S793,S793)&gt;1,"Trừ 1/2 ngày lương",50000))))</f>
        <v/>
      </c>
      <c r="AH793" s="12" t="str">
        <f>IF(AF793=0,"",IF(COUNTIFS($AF$3:AF793,"&gt;0",$S$3:S793,S793)&gt;3,"Trừ toàn bộ chuyên cần tháng",""))</f>
        <v/>
      </c>
      <c r="AI793" s="89" t="s">
        <v>1367</v>
      </c>
    </row>
    <row r="794" spans="1:35" x14ac:dyDescent="0.25">
      <c r="A794" s="4" t="s">
        <v>1181</v>
      </c>
      <c r="B794" s="1" t="s">
        <v>1182</v>
      </c>
      <c r="C794" s="1" t="s">
        <v>20</v>
      </c>
      <c r="D794" s="1" t="s">
        <v>67</v>
      </c>
      <c r="E794" s="1" t="s">
        <v>22</v>
      </c>
      <c r="F794" s="1" t="s">
        <v>23</v>
      </c>
      <c r="G794" s="1" t="s">
        <v>12</v>
      </c>
      <c r="H794" s="1" t="s">
        <v>1221</v>
      </c>
      <c r="I794" s="1" t="s">
        <v>1365</v>
      </c>
      <c r="J794" s="1" t="s">
        <v>25</v>
      </c>
      <c r="K794" s="1" t="s">
        <v>25</v>
      </c>
      <c r="L794" s="1" t="s">
        <v>26</v>
      </c>
      <c r="M794" s="1" t="s">
        <v>25</v>
      </c>
      <c r="N794" s="1" t="s">
        <v>25</v>
      </c>
      <c r="O794" s="1" t="s">
        <v>25</v>
      </c>
      <c r="P794" s="1" t="s">
        <v>25</v>
      </c>
      <c r="Q794" s="1" t="s">
        <v>25</v>
      </c>
      <c r="R794" s="85" t="str">
        <f t="shared" si="48"/>
        <v>6545912</v>
      </c>
      <c r="S794" t="str">
        <f>VLOOKUP(A794,Data_NV!$A:$C,3,0)</f>
        <v>Lý Kim Hồ</v>
      </c>
      <c r="T794" t="str">
        <f>VLOOKUP(A794,Data_NV!$A:$E,4,0)</f>
        <v>Kế toán - Văn phòng</v>
      </c>
      <c r="U794" s="82">
        <f>DATEVALUE(Table2[[#This Row],[Ngày]])</f>
        <v>45912</v>
      </c>
      <c r="V794" t="str">
        <f>VLOOKUP(A794,Data_NV!$A:$E,5,0)</f>
        <v>Đang làm việc</v>
      </c>
      <c r="W794" s="10">
        <f>VLOOKUP(A794,Data_NV!$A:$I,8,0)</f>
        <v>0.33333333333333331</v>
      </c>
      <c r="X794" s="10">
        <f>VLOOKUP(A794,Data_NV!$A:$I,9,0)</f>
        <v>0.70833333333333337</v>
      </c>
      <c r="Y794" s="10">
        <f>IFERROR(TIMEVALUE(Table2[[#This Row],[Vào]]),0)</f>
        <v>0.33333333333333331</v>
      </c>
      <c r="Z794" s="10">
        <f>IFERROR(TIMEVALUE(Table2[[#This Row],[Ra]]),0)</f>
        <v>0.70833333333333337</v>
      </c>
      <c r="AA794" t="str">
        <f t="shared" si="49"/>
        <v>x</v>
      </c>
      <c r="AB794" s="105">
        <f t="shared" si="50"/>
        <v>0</v>
      </c>
      <c r="AC794" s="12" t="str">
        <f>IF(VLOOKUP(A794,Data_NV!$A:$I,7,0)="Không","",IF(OR(AND(Y794=0,Z794=0),AND(Y794&lt;&gt;0,Z794&lt;&gt;0)),"","Quên chấm công"))</f>
        <v/>
      </c>
      <c r="AD794" s="12">
        <f>IF(VLOOKUP(A794,Data_NV!$A:$I,7,0)="Không",0,IF(AND(Y794=0,Z794=0),0,IF(X794&lt;=Z794,0,ROUNDDOWN((X794-Z794)*24*60,0))))</f>
        <v>0</v>
      </c>
      <c r="AE794" s="12">
        <f>IF(VLOOKUP(A794,Data_NV!$A:$I,6,0)="Không",0,IF(Z794&lt;=X794,0,ROUNDDOWN((Z794-X794)*24*60,0)))</f>
        <v>0</v>
      </c>
      <c r="AF794" s="26">
        <f t="shared" si="51"/>
        <v>0</v>
      </c>
      <c r="AG794" s="27" t="str">
        <f>IF(AC794="","",IF(COUNTIFS($AC$3:AC794,"Quên chấm công",$S$3:S794,S794)&gt;3,"Không chấm công do vi phạm quá 3 lần",IF(COUNTIFS($AC$3:AC794,"Quên chấm công",$S$3:S794,S794)&gt;2,"Trừ toàn bộ chuyên cần tháng do vi phạm lần 3",IF(COUNTIFS($AC$3:AC794,"Quên chấm công",$S$3:S794,S794)&gt;1,"Trừ 1/2 ngày lương",50000))))</f>
        <v/>
      </c>
      <c r="AH794" s="12" t="str">
        <f>IF(AF794=0,"",IF(COUNTIFS($AF$3:AF794,"&gt;0",$S$3:S794,S794)&gt;3,"Trừ toàn bộ chuyên cần tháng",""))</f>
        <v/>
      </c>
      <c r="AI794" s="89" t="s">
        <v>1367</v>
      </c>
    </row>
    <row r="795" spans="1:35" x14ac:dyDescent="0.25">
      <c r="A795" s="4" t="s">
        <v>1181</v>
      </c>
      <c r="B795" s="1" t="s">
        <v>1182</v>
      </c>
      <c r="C795" s="1" t="s">
        <v>20</v>
      </c>
      <c r="D795" s="1" t="s">
        <v>69</v>
      </c>
      <c r="E795" s="1" t="s">
        <v>22</v>
      </c>
      <c r="F795" s="1" t="s">
        <v>23</v>
      </c>
      <c r="G795" s="1" t="s">
        <v>12</v>
      </c>
      <c r="H795" s="1" t="s">
        <v>1221</v>
      </c>
      <c r="I795" s="1" t="s">
        <v>1365</v>
      </c>
      <c r="J795" s="1" t="s">
        <v>25</v>
      </c>
      <c r="K795" s="1" t="s">
        <v>25</v>
      </c>
      <c r="L795" s="1" t="s">
        <v>26</v>
      </c>
      <c r="M795" s="1" t="s">
        <v>25</v>
      </c>
      <c r="N795" s="1" t="s">
        <v>25</v>
      </c>
      <c r="O795" s="1" t="s">
        <v>25</v>
      </c>
      <c r="P795" s="1" t="s">
        <v>25</v>
      </c>
      <c r="Q795" s="1" t="s">
        <v>25</v>
      </c>
      <c r="R795" s="85" t="str">
        <f t="shared" si="48"/>
        <v>6545913</v>
      </c>
      <c r="S795" t="str">
        <f>VLOOKUP(A795,Data_NV!$A:$C,3,0)</f>
        <v>Lý Kim Hồ</v>
      </c>
      <c r="T795" t="str">
        <f>VLOOKUP(A795,Data_NV!$A:$E,4,0)</f>
        <v>Kế toán - Văn phòng</v>
      </c>
      <c r="U795" s="82">
        <f>DATEVALUE(Table2[[#This Row],[Ngày]])</f>
        <v>45913</v>
      </c>
      <c r="V795" t="str">
        <f>VLOOKUP(A795,Data_NV!$A:$E,5,0)</f>
        <v>Đang làm việc</v>
      </c>
      <c r="W795" s="10">
        <f>VLOOKUP(A795,Data_NV!$A:$I,8,0)</f>
        <v>0.33333333333333331</v>
      </c>
      <c r="X795" s="10">
        <f>VLOOKUP(A795,Data_NV!$A:$I,9,0)</f>
        <v>0.70833333333333337</v>
      </c>
      <c r="Y795" s="10">
        <f>IFERROR(TIMEVALUE(Table2[[#This Row],[Vào]]),0)</f>
        <v>0.33333333333333331</v>
      </c>
      <c r="Z795" s="10">
        <f>IFERROR(TIMEVALUE(Table2[[#This Row],[Ra]]),0)</f>
        <v>0.70833333333333337</v>
      </c>
      <c r="AA795" t="str">
        <f t="shared" si="49"/>
        <v>x</v>
      </c>
      <c r="AB795" s="105">
        <f t="shared" si="50"/>
        <v>0</v>
      </c>
      <c r="AC795" s="12" t="str">
        <f>IF(VLOOKUP(A795,Data_NV!$A:$I,7,0)="Không","",IF(OR(AND(Y795=0,Z795=0),AND(Y795&lt;&gt;0,Z795&lt;&gt;0)),"","Quên chấm công"))</f>
        <v/>
      </c>
      <c r="AD795" s="12">
        <f>IF(VLOOKUP(A795,Data_NV!$A:$I,7,0)="Không",0,IF(AND(Y795=0,Z795=0),0,IF(X795&lt;=Z795,0,ROUNDDOWN((X795-Z795)*24*60,0))))</f>
        <v>0</v>
      </c>
      <c r="AE795" s="12">
        <f>IF(VLOOKUP(A795,Data_NV!$A:$I,6,0)="Không",0,IF(Z795&lt;=X795,0,ROUNDDOWN((Z795-X795)*24*60,0)))</f>
        <v>0</v>
      </c>
      <c r="AF795" s="26">
        <f t="shared" si="51"/>
        <v>0</v>
      </c>
      <c r="AG795" s="27" t="str">
        <f>IF(AC795="","",IF(COUNTIFS($AC$3:AC795,"Quên chấm công",$S$3:S795,S795)&gt;3,"Không chấm công do vi phạm quá 3 lần",IF(COUNTIFS($AC$3:AC795,"Quên chấm công",$S$3:S795,S795)&gt;2,"Trừ toàn bộ chuyên cần tháng do vi phạm lần 3",IF(COUNTIFS($AC$3:AC795,"Quên chấm công",$S$3:S795,S795)&gt;1,"Trừ 1/2 ngày lương",50000))))</f>
        <v/>
      </c>
      <c r="AH795" s="12" t="str">
        <f>IF(AF795=0,"",IF(COUNTIFS($AF$3:AF795,"&gt;0",$S$3:S795,S795)&gt;3,"Trừ toàn bộ chuyên cần tháng",""))</f>
        <v/>
      </c>
      <c r="AI795" s="89" t="s">
        <v>1367</v>
      </c>
    </row>
    <row r="796" spans="1:35" x14ac:dyDescent="0.25">
      <c r="A796" s="4" t="s">
        <v>1181</v>
      </c>
      <c r="B796" s="1" t="s">
        <v>1182</v>
      </c>
      <c r="C796" s="1" t="s">
        <v>20</v>
      </c>
      <c r="D796" s="1" t="s">
        <v>74</v>
      </c>
      <c r="E796" s="1" t="s">
        <v>22</v>
      </c>
      <c r="F796" s="1" t="s">
        <v>23</v>
      </c>
      <c r="G796" s="1" t="s">
        <v>12</v>
      </c>
      <c r="H796" s="1" t="s">
        <v>1221</v>
      </c>
      <c r="I796" s="1" t="s">
        <v>1365</v>
      </c>
      <c r="J796" s="1" t="s">
        <v>25</v>
      </c>
      <c r="K796" s="1" t="s">
        <v>25</v>
      </c>
      <c r="L796" s="1" t="s">
        <v>26</v>
      </c>
      <c r="M796" s="1" t="s">
        <v>25</v>
      </c>
      <c r="N796" s="1" t="s">
        <v>25</v>
      </c>
      <c r="O796" s="1" t="s">
        <v>25</v>
      </c>
      <c r="P796" s="1" t="s">
        <v>25</v>
      </c>
      <c r="Q796" s="1" t="s">
        <v>25</v>
      </c>
      <c r="R796" s="85" t="str">
        <f t="shared" si="48"/>
        <v>6545914</v>
      </c>
      <c r="S796" t="str">
        <f>VLOOKUP(A796,Data_NV!$A:$C,3,0)</f>
        <v>Lý Kim Hồ</v>
      </c>
      <c r="T796" t="str">
        <f>VLOOKUP(A796,Data_NV!$A:$E,4,0)</f>
        <v>Kế toán - Văn phòng</v>
      </c>
      <c r="U796" s="82">
        <f>DATEVALUE(Table2[[#This Row],[Ngày]])</f>
        <v>45914</v>
      </c>
      <c r="V796" t="str">
        <f>VLOOKUP(A796,Data_NV!$A:$E,5,0)</f>
        <v>Đang làm việc</v>
      </c>
      <c r="W796" s="10">
        <f>VLOOKUP(A796,Data_NV!$A:$I,8,0)</f>
        <v>0.33333333333333331</v>
      </c>
      <c r="X796" s="10">
        <f>VLOOKUP(A796,Data_NV!$A:$I,9,0)</f>
        <v>0.70833333333333337</v>
      </c>
      <c r="Y796" s="10">
        <f>IFERROR(TIMEVALUE(Table2[[#This Row],[Vào]]),0)</f>
        <v>0.33333333333333331</v>
      </c>
      <c r="Z796" s="10">
        <f>IFERROR(TIMEVALUE(Table2[[#This Row],[Ra]]),0)</f>
        <v>0.70833333333333337</v>
      </c>
      <c r="AA796" t="str">
        <f t="shared" si="49"/>
        <v>Chủ nhật</v>
      </c>
      <c r="AB796" s="105">
        <f t="shared" si="50"/>
        <v>0</v>
      </c>
      <c r="AC796" s="12" t="str">
        <f>IF(VLOOKUP(A796,Data_NV!$A:$I,7,0)="Không","",IF(OR(AND(Y796=0,Z796=0),AND(Y796&lt;&gt;0,Z796&lt;&gt;0)),"","Quên chấm công"))</f>
        <v/>
      </c>
      <c r="AD796" s="12">
        <f>IF(VLOOKUP(A796,Data_NV!$A:$I,7,0)="Không",0,IF(AND(Y796=0,Z796=0),0,IF(X796&lt;=Z796,0,ROUNDDOWN((X796-Z796)*24*60,0))))</f>
        <v>0</v>
      </c>
      <c r="AE796" s="12">
        <f>IF(VLOOKUP(A796,Data_NV!$A:$I,6,0)="Không",0,IF(Z796&lt;=X796,0,ROUNDDOWN((Z796-X796)*24*60,0)))</f>
        <v>0</v>
      </c>
      <c r="AF796" s="26">
        <f t="shared" si="51"/>
        <v>0</v>
      </c>
      <c r="AG796" s="27" t="str">
        <f>IF(AC796="","",IF(COUNTIFS($AC$3:AC796,"Quên chấm công",$S$3:S796,S796)&gt;3,"Không chấm công do vi phạm quá 3 lần",IF(COUNTIFS($AC$3:AC796,"Quên chấm công",$S$3:S796,S796)&gt;2,"Trừ toàn bộ chuyên cần tháng do vi phạm lần 3",IF(COUNTIFS($AC$3:AC796,"Quên chấm công",$S$3:S796,S796)&gt;1,"Trừ 1/2 ngày lương",50000))))</f>
        <v/>
      </c>
      <c r="AH796" s="12" t="str">
        <f>IF(AF796=0,"",IF(COUNTIFS($AF$3:AF796,"&gt;0",$S$3:S796,S796)&gt;3,"Trừ toàn bộ chuyên cần tháng",""))</f>
        <v/>
      </c>
      <c r="AI796" s="89" t="s">
        <v>1367</v>
      </c>
    </row>
    <row r="797" spans="1:35" x14ac:dyDescent="0.25">
      <c r="A797" s="4" t="s">
        <v>1181</v>
      </c>
      <c r="B797" s="1" t="s">
        <v>1182</v>
      </c>
      <c r="C797" s="1" t="s">
        <v>20</v>
      </c>
      <c r="D797" s="1" t="s">
        <v>75</v>
      </c>
      <c r="E797" s="1" t="s">
        <v>22</v>
      </c>
      <c r="F797" s="1" t="s">
        <v>23</v>
      </c>
      <c r="G797" s="1" t="s">
        <v>12</v>
      </c>
      <c r="H797" s="1" t="s">
        <v>1221</v>
      </c>
      <c r="I797" s="1" t="s">
        <v>1365</v>
      </c>
      <c r="J797" s="1" t="s">
        <v>25</v>
      </c>
      <c r="K797" s="1" t="s">
        <v>25</v>
      </c>
      <c r="L797" s="1" t="s">
        <v>26</v>
      </c>
      <c r="M797" s="1" t="s">
        <v>25</v>
      </c>
      <c r="N797" s="1" t="s">
        <v>25</v>
      </c>
      <c r="O797" s="1" t="s">
        <v>25</v>
      </c>
      <c r="P797" s="1" t="s">
        <v>25</v>
      </c>
      <c r="Q797" s="1" t="s">
        <v>25</v>
      </c>
      <c r="R797" s="85" t="str">
        <f t="shared" si="48"/>
        <v>6545915</v>
      </c>
      <c r="S797" t="str">
        <f>VLOOKUP(A797,Data_NV!$A:$C,3,0)</f>
        <v>Lý Kim Hồ</v>
      </c>
      <c r="T797" t="str">
        <f>VLOOKUP(A797,Data_NV!$A:$E,4,0)</f>
        <v>Kế toán - Văn phòng</v>
      </c>
      <c r="U797" s="82">
        <f>DATEVALUE(Table2[[#This Row],[Ngày]])</f>
        <v>45915</v>
      </c>
      <c r="V797" t="str">
        <f>VLOOKUP(A797,Data_NV!$A:$E,5,0)</f>
        <v>Đang làm việc</v>
      </c>
      <c r="W797" s="10">
        <f>VLOOKUP(A797,Data_NV!$A:$I,8,0)</f>
        <v>0.33333333333333331</v>
      </c>
      <c r="X797" s="10">
        <f>VLOOKUP(A797,Data_NV!$A:$I,9,0)</f>
        <v>0.70833333333333337</v>
      </c>
      <c r="Y797" s="10">
        <f>IFERROR(TIMEVALUE(Table2[[#This Row],[Vào]]),0)</f>
        <v>0.33333333333333331</v>
      </c>
      <c r="Z797" s="10">
        <f>IFERROR(TIMEVALUE(Table2[[#This Row],[Ra]]),0)</f>
        <v>0.70833333333333337</v>
      </c>
      <c r="AA797" t="str">
        <f t="shared" si="49"/>
        <v>x</v>
      </c>
      <c r="AB797" s="105">
        <f t="shared" si="50"/>
        <v>0</v>
      </c>
      <c r="AC797" s="12" t="str">
        <f>IF(VLOOKUP(A797,Data_NV!$A:$I,7,0)="Không","",IF(OR(AND(Y797=0,Z797=0),AND(Y797&lt;&gt;0,Z797&lt;&gt;0)),"","Quên chấm công"))</f>
        <v/>
      </c>
      <c r="AD797" s="12">
        <f>IF(VLOOKUP(A797,Data_NV!$A:$I,7,0)="Không",0,IF(AND(Y797=0,Z797=0),0,IF(X797&lt;=Z797,0,ROUNDDOWN((X797-Z797)*24*60,0))))</f>
        <v>0</v>
      </c>
      <c r="AE797" s="12">
        <f>IF(VLOOKUP(A797,Data_NV!$A:$I,6,0)="Không",0,IF(Z797&lt;=X797,0,ROUNDDOWN((Z797-X797)*24*60,0)))</f>
        <v>0</v>
      </c>
      <c r="AF797" s="26">
        <f t="shared" si="51"/>
        <v>0</v>
      </c>
      <c r="AG797" s="27" t="str">
        <f>IF(AC797="","",IF(COUNTIFS($AC$3:AC797,"Quên chấm công",$S$3:S797,S797)&gt;3,"Không chấm công do vi phạm quá 3 lần",IF(COUNTIFS($AC$3:AC797,"Quên chấm công",$S$3:S797,S797)&gt;2,"Trừ toàn bộ chuyên cần tháng do vi phạm lần 3",IF(COUNTIFS($AC$3:AC797,"Quên chấm công",$S$3:S797,S797)&gt;1,"Trừ 1/2 ngày lương",50000))))</f>
        <v/>
      </c>
      <c r="AH797" s="12" t="str">
        <f>IF(AF797=0,"",IF(COUNTIFS($AF$3:AF797,"&gt;0",$S$3:S797,S797)&gt;3,"Trừ toàn bộ chuyên cần tháng",""))</f>
        <v/>
      </c>
      <c r="AI797" s="89" t="s">
        <v>1367</v>
      </c>
    </row>
    <row r="798" spans="1:35" x14ac:dyDescent="0.25">
      <c r="A798" s="4" t="s">
        <v>1181</v>
      </c>
      <c r="B798" s="1" t="s">
        <v>1182</v>
      </c>
      <c r="C798" s="1" t="s">
        <v>20</v>
      </c>
      <c r="D798" s="1" t="s">
        <v>80</v>
      </c>
      <c r="E798" s="1" t="s">
        <v>22</v>
      </c>
      <c r="F798" s="1" t="s">
        <v>23</v>
      </c>
      <c r="G798" s="1" t="s">
        <v>12</v>
      </c>
      <c r="H798" s="1" t="s">
        <v>1221</v>
      </c>
      <c r="I798" s="1" t="s">
        <v>1365</v>
      </c>
      <c r="J798" s="1" t="s">
        <v>25</v>
      </c>
      <c r="K798" s="1" t="s">
        <v>25</v>
      </c>
      <c r="L798" s="1" t="s">
        <v>26</v>
      </c>
      <c r="M798" s="1" t="s">
        <v>25</v>
      </c>
      <c r="N798" s="1" t="s">
        <v>25</v>
      </c>
      <c r="O798" s="1" t="s">
        <v>25</v>
      </c>
      <c r="P798" s="1" t="s">
        <v>25</v>
      </c>
      <c r="Q798" s="1" t="s">
        <v>25</v>
      </c>
      <c r="R798" s="85" t="str">
        <f t="shared" si="48"/>
        <v>6545916</v>
      </c>
      <c r="S798" t="str">
        <f>VLOOKUP(A798,Data_NV!$A:$C,3,0)</f>
        <v>Lý Kim Hồ</v>
      </c>
      <c r="T798" t="str">
        <f>VLOOKUP(A798,Data_NV!$A:$E,4,0)</f>
        <v>Kế toán - Văn phòng</v>
      </c>
      <c r="U798" s="82">
        <f>DATEVALUE(Table2[[#This Row],[Ngày]])</f>
        <v>45916</v>
      </c>
      <c r="V798" t="str">
        <f>VLOOKUP(A798,Data_NV!$A:$E,5,0)</f>
        <v>Đang làm việc</v>
      </c>
      <c r="W798" s="10">
        <f>VLOOKUP(A798,Data_NV!$A:$I,8,0)</f>
        <v>0.33333333333333331</v>
      </c>
      <c r="X798" s="10">
        <f>VLOOKUP(A798,Data_NV!$A:$I,9,0)</f>
        <v>0.70833333333333337</v>
      </c>
      <c r="Y798" s="10">
        <f>IFERROR(TIMEVALUE(Table2[[#This Row],[Vào]]),0)</f>
        <v>0.33333333333333331</v>
      </c>
      <c r="Z798" s="10">
        <f>IFERROR(TIMEVALUE(Table2[[#This Row],[Ra]]),0)</f>
        <v>0.70833333333333337</v>
      </c>
      <c r="AA798" t="str">
        <f t="shared" si="49"/>
        <v>x</v>
      </c>
      <c r="AB798" s="105">
        <f t="shared" si="50"/>
        <v>0</v>
      </c>
      <c r="AC798" s="12" t="str">
        <f>IF(VLOOKUP(A798,Data_NV!$A:$I,7,0)="Không","",IF(OR(AND(Y798=0,Z798=0),AND(Y798&lt;&gt;0,Z798&lt;&gt;0)),"","Quên chấm công"))</f>
        <v/>
      </c>
      <c r="AD798" s="12">
        <f>IF(VLOOKUP(A798,Data_NV!$A:$I,7,0)="Không",0,IF(AND(Y798=0,Z798=0),0,IF(X798&lt;=Z798,0,ROUNDDOWN((X798-Z798)*24*60,0))))</f>
        <v>0</v>
      </c>
      <c r="AE798" s="12">
        <f>IF(VLOOKUP(A798,Data_NV!$A:$I,6,0)="Không",0,IF(Z798&lt;=X798,0,ROUNDDOWN((Z798-X798)*24*60,0)))</f>
        <v>0</v>
      </c>
      <c r="AF798" s="26">
        <f t="shared" si="51"/>
        <v>0</v>
      </c>
      <c r="AG798" s="27" t="str">
        <f>IF(AC798="","",IF(COUNTIFS($AC$3:AC798,"Quên chấm công",$S$3:S798,S798)&gt;3,"Không chấm công do vi phạm quá 3 lần",IF(COUNTIFS($AC$3:AC798,"Quên chấm công",$S$3:S798,S798)&gt;2,"Trừ toàn bộ chuyên cần tháng do vi phạm lần 3",IF(COUNTIFS($AC$3:AC798,"Quên chấm công",$S$3:S798,S798)&gt;1,"Trừ 1/2 ngày lương",50000))))</f>
        <v/>
      </c>
      <c r="AH798" s="12" t="str">
        <f>IF(AF798=0,"",IF(COUNTIFS($AF$3:AF798,"&gt;0",$S$3:S798,S798)&gt;3,"Trừ toàn bộ chuyên cần tháng",""))</f>
        <v/>
      </c>
      <c r="AI798" s="92" t="s">
        <v>1368</v>
      </c>
    </row>
    <row r="799" spans="1:35" x14ac:dyDescent="0.25">
      <c r="A799" s="4" t="s">
        <v>1181</v>
      </c>
      <c r="B799" s="1" t="s">
        <v>1182</v>
      </c>
      <c r="C799" s="1" t="s">
        <v>20</v>
      </c>
      <c r="D799" s="1" t="s">
        <v>85</v>
      </c>
      <c r="E799" s="1" t="s">
        <v>22</v>
      </c>
      <c r="F799" s="1" t="s">
        <v>23</v>
      </c>
      <c r="G799" s="1" t="s">
        <v>12</v>
      </c>
      <c r="H799" s="1" t="s">
        <v>1221</v>
      </c>
      <c r="I799" s="1" t="s">
        <v>1365</v>
      </c>
      <c r="J799" s="1" t="s">
        <v>25</v>
      </c>
      <c r="K799" s="1" t="s">
        <v>25</v>
      </c>
      <c r="L799" s="1" t="s">
        <v>26</v>
      </c>
      <c r="M799" s="1" t="s">
        <v>25</v>
      </c>
      <c r="N799" s="1" t="s">
        <v>25</v>
      </c>
      <c r="O799" s="1" t="s">
        <v>25</v>
      </c>
      <c r="P799" s="1" t="s">
        <v>25</v>
      </c>
      <c r="Q799" s="1" t="s">
        <v>25</v>
      </c>
      <c r="R799" s="85" t="str">
        <f t="shared" si="48"/>
        <v>6545917</v>
      </c>
      <c r="S799" t="str">
        <f>VLOOKUP(A799,Data_NV!$A:$C,3,0)</f>
        <v>Lý Kim Hồ</v>
      </c>
      <c r="T799" t="str">
        <f>VLOOKUP(A799,Data_NV!$A:$E,4,0)</f>
        <v>Kế toán - Văn phòng</v>
      </c>
      <c r="U799" s="82">
        <f>DATEVALUE(Table2[[#This Row],[Ngày]])</f>
        <v>45917</v>
      </c>
      <c r="V799" t="str">
        <f>VLOOKUP(A799,Data_NV!$A:$E,5,0)</f>
        <v>Đang làm việc</v>
      </c>
      <c r="W799" s="10">
        <f>VLOOKUP(A799,Data_NV!$A:$I,8,0)</f>
        <v>0.33333333333333331</v>
      </c>
      <c r="X799" s="10">
        <f>VLOOKUP(A799,Data_NV!$A:$I,9,0)</f>
        <v>0.70833333333333337</v>
      </c>
      <c r="Y799" s="10">
        <f>IFERROR(TIMEVALUE(Table2[[#This Row],[Vào]]),0)</f>
        <v>0.33333333333333331</v>
      </c>
      <c r="Z799" s="10">
        <f>IFERROR(TIMEVALUE(Table2[[#This Row],[Ra]]),0)</f>
        <v>0.70833333333333337</v>
      </c>
      <c r="AA799" t="str">
        <f t="shared" si="49"/>
        <v>x</v>
      </c>
      <c r="AB799" s="105">
        <f t="shared" si="50"/>
        <v>0</v>
      </c>
      <c r="AC799" s="12" t="str">
        <f>IF(VLOOKUP(A799,Data_NV!$A:$I,7,0)="Không","",IF(OR(AND(Y799=0,Z799=0),AND(Y799&lt;&gt;0,Z799&lt;&gt;0)),"","Quên chấm công"))</f>
        <v/>
      </c>
      <c r="AD799" s="12">
        <f>IF(VLOOKUP(A799,Data_NV!$A:$I,7,0)="Không",0,IF(AND(Y799=0,Z799=0),0,IF(X799&lt;=Z799,0,ROUNDDOWN((X799-Z799)*24*60,0))))</f>
        <v>0</v>
      </c>
      <c r="AE799" s="12">
        <f>IF(VLOOKUP(A799,Data_NV!$A:$I,6,0)="Không",0,IF(Z799&lt;=X799,0,ROUNDDOWN((Z799-X799)*24*60,0)))</f>
        <v>0</v>
      </c>
      <c r="AF799" s="26">
        <f t="shared" si="51"/>
        <v>0</v>
      </c>
      <c r="AG799" s="27" t="str">
        <f>IF(AC799="","",IF(COUNTIFS($AC$3:AC799,"Quên chấm công",$S$3:S799,S799)&gt;3,"Không chấm công do vi phạm quá 3 lần",IF(COUNTIFS($AC$3:AC799,"Quên chấm công",$S$3:S799,S799)&gt;2,"Trừ toàn bộ chuyên cần tháng do vi phạm lần 3",IF(COUNTIFS($AC$3:AC799,"Quên chấm công",$S$3:S799,S799)&gt;1,"Trừ 1/2 ngày lương",50000))))</f>
        <v/>
      </c>
      <c r="AH799" s="12" t="str">
        <f>IF(AF799=0,"",IF(COUNTIFS($AF$3:AF799,"&gt;0",$S$3:S799,S799)&gt;3,"Trừ toàn bộ chuyên cần tháng",""))</f>
        <v/>
      </c>
      <c r="AI799" s="92" t="s">
        <v>1368</v>
      </c>
    </row>
    <row r="800" spans="1:35" x14ac:dyDescent="0.25">
      <c r="A800" s="4" t="s">
        <v>1181</v>
      </c>
      <c r="B800" s="1" t="s">
        <v>1182</v>
      </c>
      <c r="C800" s="1" t="s">
        <v>20</v>
      </c>
      <c r="D800" s="1" t="s">
        <v>90</v>
      </c>
      <c r="E800" s="1" t="s">
        <v>22</v>
      </c>
      <c r="F800" s="1" t="s">
        <v>23</v>
      </c>
      <c r="G800" s="1" t="s">
        <v>12</v>
      </c>
      <c r="H800" s="1" t="s">
        <v>1221</v>
      </c>
      <c r="I800" s="1" t="s">
        <v>1365</v>
      </c>
      <c r="J800" s="1" t="s">
        <v>25</v>
      </c>
      <c r="K800" s="1" t="s">
        <v>25</v>
      </c>
      <c r="L800" s="1" t="s">
        <v>26</v>
      </c>
      <c r="M800" s="1" t="s">
        <v>25</v>
      </c>
      <c r="N800" s="1" t="s">
        <v>25</v>
      </c>
      <c r="O800" s="1" t="s">
        <v>25</v>
      </c>
      <c r="P800" s="1" t="s">
        <v>25</v>
      </c>
      <c r="Q800" s="1" t="s">
        <v>25</v>
      </c>
      <c r="R800" s="85" t="str">
        <f t="shared" si="48"/>
        <v>6545918</v>
      </c>
      <c r="S800" t="str">
        <f>VLOOKUP(A800,Data_NV!$A:$C,3,0)</f>
        <v>Lý Kim Hồ</v>
      </c>
      <c r="T800" t="str">
        <f>VLOOKUP(A800,Data_NV!$A:$E,4,0)</f>
        <v>Kế toán - Văn phòng</v>
      </c>
      <c r="U800" s="82">
        <f>DATEVALUE(Table2[[#This Row],[Ngày]])</f>
        <v>45918</v>
      </c>
      <c r="V800" t="str">
        <f>VLOOKUP(A800,Data_NV!$A:$E,5,0)</f>
        <v>Đang làm việc</v>
      </c>
      <c r="W800" s="10">
        <f>VLOOKUP(A800,Data_NV!$A:$I,8,0)</f>
        <v>0.33333333333333331</v>
      </c>
      <c r="X800" s="10">
        <f>VLOOKUP(A800,Data_NV!$A:$I,9,0)</f>
        <v>0.70833333333333337</v>
      </c>
      <c r="Y800" s="10">
        <f>IFERROR(TIMEVALUE(Table2[[#This Row],[Vào]]),0)</f>
        <v>0.33333333333333331</v>
      </c>
      <c r="Z800" s="10">
        <f>IFERROR(TIMEVALUE(Table2[[#This Row],[Ra]]),0)</f>
        <v>0.70833333333333337</v>
      </c>
      <c r="AA800" t="str">
        <f t="shared" si="49"/>
        <v>x</v>
      </c>
      <c r="AB800" s="105">
        <f t="shared" si="50"/>
        <v>0</v>
      </c>
      <c r="AC800" s="12" t="str">
        <f>IF(VLOOKUP(A800,Data_NV!$A:$I,7,0)="Không","",IF(OR(AND(Y800=0,Z800=0),AND(Y800&lt;&gt;0,Z800&lt;&gt;0)),"","Quên chấm công"))</f>
        <v/>
      </c>
      <c r="AD800" s="12">
        <f>IF(VLOOKUP(A800,Data_NV!$A:$I,7,0)="Không",0,IF(AND(Y800=0,Z800=0),0,IF(X800&lt;=Z800,0,ROUNDDOWN((X800-Z800)*24*60,0))))</f>
        <v>0</v>
      </c>
      <c r="AE800" s="12">
        <f>IF(VLOOKUP(A800,Data_NV!$A:$I,6,0)="Không",0,IF(Z800&lt;=X800,0,ROUNDDOWN((Z800-X800)*24*60,0)))</f>
        <v>0</v>
      </c>
      <c r="AF800" s="26">
        <f t="shared" si="51"/>
        <v>0</v>
      </c>
      <c r="AG800" s="27" t="str">
        <f>IF(AC800="","",IF(COUNTIFS($AC$3:AC800,"Quên chấm công",$S$3:S800,S800)&gt;3,"Không chấm công do vi phạm quá 3 lần",IF(COUNTIFS($AC$3:AC800,"Quên chấm công",$S$3:S800,S800)&gt;2,"Trừ toàn bộ chuyên cần tháng do vi phạm lần 3",IF(COUNTIFS($AC$3:AC800,"Quên chấm công",$S$3:S800,S800)&gt;1,"Trừ 1/2 ngày lương",50000))))</f>
        <v/>
      </c>
      <c r="AH800" s="12" t="str">
        <f>IF(AF800=0,"",IF(COUNTIFS($AF$3:AF800,"&gt;0",$S$3:S800,S800)&gt;3,"Trừ toàn bộ chuyên cần tháng",""))</f>
        <v/>
      </c>
      <c r="AI800" s="92" t="s">
        <v>1368</v>
      </c>
    </row>
    <row r="801" spans="1:35" x14ac:dyDescent="0.25">
      <c r="A801" s="4" t="s">
        <v>1181</v>
      </c>
      <c r="B801" s="1" t="s">
        <v>1182</v>
      </c>
      <c r="C801" s="1" t="s">
        <v>20</v>
      </c>
      <c r="D801" s="1" t="s">
        <v>95</v>
      </c>
      <c r="E801" s="1" t="s">
        <v>22</v>
      </c>
      <c r="F801" s="1" t="s">
        <v>23</v>
      </c>
      <c r="G801" s="1" t="s">
        <v>12</v>
      </c>
      <c r="H801" s="1" t="s">
        <v>1221</v>
      </c>
      <c r="I801" s="1" t="s">
        <v>1365</v>
      </c>
      <c r="J801" s="1" t="s">
        <v>25</v>
      </c>
      <c r="K801" s="1" t="s">
        <v>25</v>
      </c>
      <c r="L801" s="1" t="s">
        <v>26</v>
      </c>
      <c r="M801" s="1" t="s">
        <v>25</v>
      </c>
      <c r="N801" s="1" t="s">
        <v>25</v>
      </c>
      <c r="O801" s="1" t="s">
        <v>25</v>
      </c>
      <c r="P801" s="1" t="s">
        <v>25</v>
      </c>
      <c r="Q801" s="1" t="s">
        <v>25</v>
      </c>
      <c r="R801" s="85" t="str">
        <f t="shared" si="48"/>
        <v>6545919</v>
      </c>
      <c r="S801" t="str">
        <f>VLOOKUP(A801,Data_NV!$A:$C,3,0)</f>
        <v>Lý Kim Hồ</v>
      </c>
      <c r="T801" t="str">
        <f>VLOOKUP(A801,Data_NV!$A:$E,4,0)</f>
        <v>Kế toán - Văn phòng</v>
      </c>
      <c r="U801" s="82">
        <f>DATEVALUE(Table2[[#This Row],[Ngày]])</f>
        <v>45919</v>
      </c>
      <c r="V801" t="str">
        <f>VLOOKUP(A801,Data_NV!$A:$E,5,0)</f>
        <v>Đang làm việc</v>
      </c>
      <c r="W801" s="10">
        <f>VLOOKUP(A801,Data_NV!$A:$I,8,0)</f>
        <v>0.33333333333333331</v>
      </c>
      <c r="X801" s="10">
        <f>VLOOKUP(A801,Data_NV!$A:$I,9,0)</f>
        <v>0.70833333333333337</v>
      </c>
      <c r="Y801" s="10">
        <f>IFERROR(TIMEVALUE(Table2[[#This Row],[Vào]]),0)</f>
        <v>0.33333333333333331</v>
      </c>
      <c r="Z801" s="10">
        <f>IFERROR(TIMEVALUE(Table2[[#This Row],[Ra]]),0)</f>
        <v>0.70833333333333337</v>
      </c>
      <c r="AA801" t="str">
        <f t="shared" si="49"/>
        <v>x</v>
      </c>
      <c r="AB801" s="105">
        <f t="shared" si="50"/>
        <v>0</v>
      </c>
      <c r="AC801" s="12" t="str">
        <f>IF(VLOOKUP(A801,Data_NV!$A:$I,7,0)="Không","",IF(OR(AND(Y801=0,Z801=0),AND(Y801&lt;&gt;0,Z801&lt;&gt;0)),"","Quên chấm công"))</f>
        <v/>
      </c>
      <c r="AD801" s="12">
        <f>IF(VLOOKUP(A801,Data_NV!$A:$I,7,0)="Không",0,IF(AND(Y801=0,Z801=0),0,IF(X801&lt;=Z801,0,ROUNDDOWN((X801-Z801)*24*60,0))))</f>
        <v>0</v>
      </c>
      <c r="AE801" s="12">
        <f>IF(VLOOKUP(A801,Data_NV!$A:$I,6,0)="Không",0,IF(Z801&lt;=X801,0,ROUNDDOWN((Z801-X801)*24*60,0)))</f>
        <v>0</v>
      </c>
      <c r="AF801" s="26">
        <f t="shared" si="51"/>
        <v>0</v>
      </c>
      <c r="AG801" s="27" t="str">
        <f>IF(AC801="","",IF(COUNTIFS($AC$3:AC801,"Quên chấm công",$S$3:S801,S801)&gt;3,"Không chấm công do vi phạm quá 3 lần",IF(COUNTIFS($AC$3:AC801,"Quên chấm công",$S$3:S801,S801)&gt;2,"Trừ toàn bộ chuyên cần tháng do vi phạm lần 3",IF(COUNTIFS($AC$3:AC801,"Quên chấm công",$S$3:S801,S801)&gt;1,"Trừ 1/2 ngày lương",50000))))</f>
        <v/>
      </c>
      <c r="AH801" s="12" t="str">
        <f>IF(AF801=0,"",IF(COUNTIFS($AF$3:AF801,"&gt;0",$S$3:S801,S801)&gt;3,"Trừ toàn bộ chuyên cần tháng",""))</f>
        <v/>
      </c>
      <c r="AI801" s="92" t="s">
        <v>1368</v>
      </c>
    </row>
    <row r="802" spans="1:35" x14ac:dyDescent="0.25">
      <c r="A802" s="4" t="s">
        <v>1181</v>
      </c>
      <c r="B802" s="1" t="s">
        <v>1182</v>
      </c>
      <c r="C802" s="1" t="s">
        <v>20</v>
      </c>
      <c r="D802" s="1" t="s">
        <v>100</v>
      </c>
      <c r="E802" s="1" t="s">
        <v>22</v>
      </c>
      <c r="F802" s="1" t="s">
        <v>23</v>
      </c>
      <c r="G802" s="1" t="s">
        <v>12</v>
      </c>
      <c r="H802" s="1" t="s">
        <v>1221</v>
      </c>
      <c r="I802" s="1" t="s">
        <v>1365</v>
      </c>
      <c r="J802" s="1" t="s">
        <v>25</v>
      </c>
      <c r="K802" s="1" t="s">
        <v>25</v>
      </c>
      <c r="L802" s="1" t="s">
        <v>26</v>
      </c>
      <c r="M802" s="1" t="s">
        <v>25</v>
      </c>
      <c r="N802" s="1" t="s">
        <v>25</v>
      </c>
      <c r="O802" s="1" t="s">
        <v>25</v>
      </c>
      <c r="P802" s="1" t="s">
        <v>25</v>
      </c>
      <c r="Q802" s="1" t="s">
        <v>25</v>
      </c>
      <c r="R802" s="85" t="str">
        <f t="shared" si="48"/>
        <v>6545920</v>
      </c>
      <c r="S802" t="str">
        <f>VLOOKUP(A802,Data_NV!$A:$C,3,0)</f>
        <v>Lý Kim Hồ</v>
      </c>
      <c r="T802" t="str">
        <f>VLOOKUP(A802,Data_NV!$A:$E,4,0)</f>
        <v>Kế toán - Văn phòng</v>
      </c>
      <c r="U802" s="82">
        <f>DATEVALUE(Table2[[#This Row],[Ngày]])</f>
        <v>45920</v>
      </c>
      <c r="V802" t="str">
        <f>VLOOKUP(A802,Data_NV!$A:$E,5,0)</f>
        <v>Đang làm việc</v>
      </c>
      <c r="W802" s="10">
        <f>VLOOKUP(A802,Data_NV!$A:$I,8,0)</f>
        <v>0.33333333333333331</v>
      </c>
      <c r="X802" s="10">
        <f>VLOOKUP(A802,Data_NV!$A:$I,9,0)</f>
        <v>0.70833333333333337</v>
      </c>
      <c r="Y802" s="10">
        <f>IFERROR(TIMEVALUE(Table2[[#This Row],[Vào]]),0)</f>
        <v>0.33333333333333331</v>
      </c>
      <c r="Z802" s="10">
        <f>IFERROR(TIMEVALUE(Table2[[#This Row],[Ra]]),0)</f>
        <v>0.70833333333333337</v>
      </c>
      <c r="AA802" t="str">
        <f t="shared" si="49"/>
        <v>x</v>
      </c>
      <c r="AB802" s="105">
        <f t="shared" si="50"/>
        <v>0</v>
      </c>
      <c r="AC802" s="12" t="str">
        <f>IF(VLOOKUP(A802,Data_NV!$A:$I,7,0)="Không","",IF(OR(AND(Y802=0,Z802=0),AND(Y802&lt;&gt;0,Z802&lt;&gt;0)),"","Quên chấm công"))</f>
        <v/>
      </c>
      <c r="AD802" s="12">
        <f>IF(VLOOKUP(A802,Data_NV!$A:$I,7,0)="Không",0,IF(AND(Y802=0,Z802=0),0,IF(X802&lt;=Z802,0,ROUNDDOWN((X802-Z802)*24*60,0))))</f>
        <v>0</v>
      </c>
      <c r="AE802" s="12">
        <f>IF(VLOOKUP(A802,Data_NV!$A:$I,6,0)="Không",0,IF(Z802&lt;=X802,0,ROUNDDOWN((Z802-X802)*24*60,0)))</f>
        <v>0</v>
      </c>
      <c r="AF802" s="26">
        <f t="shared" si="51"/>
        <v>0</v>
      </c>
      <c r="AG802" s="27" t="str">
        <f>IF(AC802="","",IF(COUNTIFS($AC$3:AC802,"Quên chấm công",$S$3:S802,S802)&gt;3,"Không chấm công do vi phạm quá 3 lần",IF(COUNTIFS($AC$3:AC802,"Quên chấm công",$S$3:S802,S802)&gt;2,"Trừ toàn bộ chuyên cần tháng do vi phạm lần 3",IF(COUNTIFS($AC$3:AC802,"Quên chấm công",$S$3:S802,S802)&gt;1,"Trừ 1/2 ngày lương",50000))))</f>
        <v/>
      </c>
      <c r="AH802" s="12" t="str">
        <f>IF(AF802=0,"",IF(COUNTIFS($AF$3:AF802,"&gt;0",$S$3:S802,S802)&gt;3,"Trừ toàn bộ chuyên cần tháng",""))</f>
        <v/>
      </c>
      <c r="AI802" s="92" t="s">
        <v>1368</v>
      </c>
    </row>
    <row r="803" spans="1:35" x14ac:dyDescent="0.25">
      <c r="A803" s="4" t="s">
        <v>1181</v>
      </c>
      <c r="B803" s="1" t="s">
        <v>1182</v>
      </c>
      <c r="C803" s="1" t="s">
        <v>20</v>
      </c>
      <c r="D803" s="1" t="s">
        <v>105</v>
      </c>
      <c r="E803" s="1" t="s">
        <v>22</v>
      </c>
      <c r="F803" s="1" t="s">
        <v>23</v>
      </c>
      <c r="G803" s="1" t="s">
        <v>12</v>
      </c>
      <c r="H803" s="1" t="s">
        <v>1221</v>
      </c>
      <c r="I803" s="1" t="s">
        <v>1365</v>
      </c>
      <c r="J803" s="1" t="s">
        <v>25</v>
      </c>
      <c r="K803" s="1" t="s">
        <v>25</v>
      </c>
      <c r="L803" s="1" t="s">
        <v>26</v>
      </c>
      <c r="M803" s="1" t="s">
        <v>25</v>
      </c>
      <c r="N803" s="1" t="s">
        <v>25</v>
      </c>
      <c r="O803" s="1" t="s">
        <v>25</v>
      </c>
      <c r="P803" s="1" t="s">
        <v>25</v>
      </c>
      <c r="Q803" s="1" t="s">
        <v>25</v>
      </c>
      <c r="R803" s="85" t="str">
        <f t="shared" si="48"/>
        <v>6545921</v>
      </c>
      <c r="S803" t="str">
        <f>VLOOKUP(A803,Data_NV!$A:$C,3,0)</f>
        <v>Lý Kim Hồ</v>
      </c>
      <c r="T803" t="str">
        <f>VLOOKUP(A803,Data_NV!$A:$E,4,0)</f>
        <v>Kế toán - Văn phòng</v>
      </c>
      <c r="U803" s="82">
        <f>DATEVALUE(Table2[[#This Row],[Ngày]])</f>
        <v>45921</v>
      </c>
      <c r="V803" t="str">
        <f>VLOOKUP(A803,Data_NV!$A:$E,5,0)</f>
        <v>Đang làm việc</v>
      </c>
      <c r="W803" s="10">
        <f>VLOOKUP(A803,Data_NV!$A:$I,8,0)</f>
        <v>0.33333333333333331</v>
      </c>
      <c r="X803" s="10">
        <f>VLOOKUP(A803,Data_NV!$A:$I,9,0)</f>
        <v>0.70833333333333337</v>
      </c>
      <c r="Y803" s="10">
        <f>IFERROR(TIMEVALUE(Table2[[#This Row],[Vào]]),0)</f>
        <v>0.33333333333333331</v>
      </c>
      <c r="Z803" s="10">
        <f>IFERROR(TIMEVALUE(Table2[[#This Row],[Ra]]),0)</f>
        <v>0.70833333333333337</v>
      </c>
      <c r="AA803" t="str">
        <f t="shared" si="49"/>
        <v>Chủ nhật</v>
      </c>
      <c r="AB803" s="105">
        <f t="shared" si="50"/>
        <v>0</v>
      </c>
      <c r="AC803" s="12" t="str">
        <f>IF(VLOOKUP(A803,Data_NV!$A:$I,7,0)="Không","",IF(OR(AND(Y803=0,Z803=0),AND(Y803&lt;&gt;0,Z803&lt;&gt;0)),"","Quên chấm công"))</f>
        <v/>
      </c>
      <c r="AD803" s="12">
        <f>IF(VLOOKUP(A803,Data_NV!$A:$I,7,0)="Không",0,IF(AND(Y803=0,Z803=0),0,IF(X803&lt;=Z803,0,ROUNDDOWN((X803-Z803)*24*60,0))))</f>
        <v>0</v>
      </c>
      <c r="AE803" s="12">
        <f>IF(VLOOKUP(A803,Data_NV!$A:$I,6,0)="Không",0,IF(Z803&lt;=X803,0,ROUNDDOWN((Z803-X803)*24*60,0)))</f>
        <v>0</v>
      </c>
      <c r="AF803" s="26">
        <f t="shared" si="51"/>
        <v>0</v>
      </c>
      <c r="AG803" s="27" t="str">
        <f>IF(AC803="","",IF(COUNTIFS($AC$3:AC803,"Quên chấm công",$S$3:S803,S803)&gt;3,"Không chấm công do vi phạm quá 3 lần",IF(COUNTIFS($AC$3:AC803,"Quên chấm công",$S$3:S803,S803)&gt;2,"Trừ toàn bộ chuyên cần tháng do vi phạm lần 3",IF(COUNTIFS($AC$3:AC803,"Quên chấm công",$S$3:S803,S803)&gt;1,"Trừ 1/2 ngày lương",50000))))</f>
        <v/>
      </c>
      <c r="AH803" s="12" t="str">
        <f>IF(AF803=0,"",IF(COUNTIFS($AF$3:AF803,"&gt;0",$S$3:S803,S803)&gt;3,"Trừ toàn bộ chuyên cần tháng",""))</f>
        <v/>
      </c>
      <c r="AI803" s="89" t="s">
        <v>1367</v>
      </c>
    </row>
    <row r="804" spans="1:35" x14ac:dyDescent="0.25">
      <c r="A804" s="4" t="s">
        <v>1181</v>
      </c>
      <c r="B804" s="1" t="s">
        <v>1182</v>
      </c>
      <c r="C804" s="1" t="s">
        <v>20</v>
      </c>
      <c r="D804" s="1" t="s">
        <v>106</v>
      </c>
      <c r="E804" s="1" t="s">
        <v>22</v>
      </c>
      <c r="F804" s="1" t="s">
        <v>23</v>
      </c>
      <c r="G804" s="1" t="s">
        <v>12</v>
      </c>
      <c r="H804" s="1" t="s">
        <v>1221</v>
      </c>
      <c r="I804" s="1" t="s">
        <v>1365</v>
      </c>
      <c r="J804" s="1" t="s">
        <v>25</v>
      </c>
      <c r="K804" s="1" t="s">
        <v>25</v>
      </c>
      <c r="L804" s="1" t="s">
        <v>26</v>
      </c>
      <c r="M804" s="1" t="s">
        <v>25</v>
      </c>
      <c r="N804" s="1" t="s">
        <v>25</v>
      </c>
      <c r="O804" s="1" t="s">
        <v>25</v>
      </c>
      <c r="P804" s="1" t="s">
        <v>25</v>
      </c>
      <c r="Q804" s="1" t="s">
        <v>25</v>
      </c>
      <c r="R804" s="85" t="str">
        <f t="shared" si="48"/>
        <v>6545922</v>
      </c>
      <c r="S804" t="str">
        <f>VLOOKUP(A804,Data_NV!$A:$C,3,0)</f>
        <v>Lý Kim Hồ</v>
      </c>
      <c r="T804" t="str">
        <f>VLOOKUP(A804,Data_NV!$A:$E,4,0)</f>
        <v>Kế toán - Văn phòng</v>
      </c>
      <c r="U804" s="82">
        <f>DATEVALUE(Table2[[#This Row],[Ngày]])</f>
        <v>45922</v>
      </c>
      <c r="V804" t="str">
        <f>VLOOKUP(A804,Data_NV!$A:$E,5,0)</f>
        <v>Đang làm việc</v>
      </c>
      <c r="W804" s="10">
        <f>VLOOKUP(A804,Data_NV!$A:$I,8,0)</f>
        <v>0.33333333333333331</v>
      </c>
      <c r="X804" s="10">
        <f>VLOOKUP(A804,Data_NV!$A:$I,9,0)</f>
        <v>0.70833333333333337</v>
      </c>
      <c r="Y804" s="10">
        <f>IFERROR(TIMEVALUE(Table2[[#This Row],[Vào]]),0)</f>
        <v>0.33333333333333331</v>
      </c>
      <c r="Z804" s="10">
        <f>IFERROR(TIMEVALUE(Table2[[#This Row],[Ra]]),0)</f>
        <v>0.70833333333333337</v>
      </c>
      <c r="AA804" t="str">
        <f t="shared" si="49"/>
        <v>x</v>
      </c>
      <c r="AB804" s="105">
        <f t="shared" si="50"/>
        <v>0</v>
      </c>
      <c r="AC804" s="12" t="str">
        <f>IF(VLOOKUP(A804,Data_NV!$A:$I,7,0)="Không","",IF(OR(AND(Y804=0,Z804=0),AND(Y804&lt;&gt;0,Z804&lt;&gt;0)),"","Quên chấm công"))</f>
        <v/>
      </c>
      <c r="AD804" s="12">
        <f>IF(VLOOKUP(A804,Data_NV!$A:$I,7,0)="Không",0,IF(AND(Y804=0,Z804=0),0,IF(X804&lt;=Z804,0,ROUNDDOWN((X804-Z804)*24*60,0))))</f>
        <v>0</v>
      </c>
      <c r="AE804" s="12">
        <f>IF(VLOOKUP(A804,Data_NV!$A:$I,6,0)="Không",0,IF(Z804&lt;=X804,0,ROUNDDOWN((Z804-X804)*24*60,0)))</f>
        <v>0</v>
      </c>
      <c r="AF804" s="26">
        <f t="shared" si="51"/>
        <v>0</v>
      </c>
      <c r="AG804" s="27" t="str">
        <f>IF(AC804="","",IF(COUNTIFS($AC$3:AC804,"Quên chấm công",$S$3:S804,S804)&gt;3,"Không chấm công do vi phạm quá 3 lần",IF(COUNTIFS($AC$3:AC804,"Quên chấm công",$S$3:S804,S804)&gt;2,"Trừ toàn bộ chuyên cần tháng do vi phạm lần 3",IF(COUNTIFS($AC$3:AC804,"Quên chấm công",$S$3:S804,S804)&gt;1,"Trừ 1/2 ngày lương",50000))))</f>
        <v/>
      </c>
      <c r="AH804" s="12" t="str">
        <f>IF(AF804=0,"",IF(COUNTIFS($AF$3:AF804,"&gt;0",$S$3:S804,S804)&gt;3,"Trừ toàn bộ chuyên cần tháng",""))</f>
        <v/>
      </c>
      <c r="AI804" s="89" t="s">
        <v>1367</v>
      </c>
    </row>
    <row r="805" spans="1:35" x14ac:dyDescent="0.25">
      <c r="A805" s="4" t="s">
        <v>1181</v>
      </c>
      <c r="B805" s="1" t="s">
        <v>1182</v>
      </c>
      <c r="C805" s="1" t="s">
        <v>20</v>
      </c>
      <c r="D805" s="1" t="s">
        <v>111</v>
      </c>
      <c r="E805" s="1" t="s">
        <v>22</v>
      </c>
      <c r="F805" s="1" t="s">
        <v>23</v>
      </c>
      <c r="G805" s="1" t="s">
        <v>12</v>
      </c>
      <c r="H805" s="1" t="s">
        <v>1221</v>
      </c>
      <c r="I805" s="1" t="s">
        <v>1365</v>
      </c>
      <c r="J805" s="1" t="s">
        <v>25</v>
      </c>
      <c r="K805" s="1" t="s">
        <v>25</v>
      </c>
      <c r="L805" s="1" t="s">
        <v>26</v>
      </c>
      <c r="M805" s="1" t="s">
        <v>25</v>
      </c>
      <c r="N805" s="1" t="s">
        <v>25</v>
      </c>
      <c r="O805" s="1" t="s">
        <v>25</v>
      </c>
      <c r="P805" s="1" t="s">
        <v>25</v>
      </c>
      <c r="Q805" s="1" t="s">
        <v>25</v>
      </c>
      <c r="R805" s="85" t="str">
        <f t="shared" si="48"/>
        <v>6545923</v>
      </c>
      <c r="S805" t="str">
        <f>VLOOKUP(A805,Data_NV!$A:$C,3,0)</f>
        <v>Lý Kim Hồ</v>
      </c>
      <c r="T805" t="str">
        <f>VLOOKUP(A805,Data_NV!$A:$E,4,0)</f>
        <v>Kế toán - Văn phòng</v>
      </c>
      <c r="U805" s="82">
        <f>DATEVALUE(Table2[[#This Row],[Ngày]])</f>
        <v>45923</v>
      </c>
      <c r="V805" t="str">
        <f>VLOOKUP(A805,Data_NV!$A:$E,5,0)</f>
        <v>Đang làm việc</v>
      </c>
      <c r="W805" s="10">
        <f>VLOOKUP(A805,Data_NV!$A:$I,8,0)</f>
        <v>0.33333333333333331</v>
      </c>
      <c r="X805" s="10">
        <f>VLOOKUP(A805,Data_NV!$A:$I,9,0)</f>
        <v>0.70833333333333337</v>
      </c>
      <c r="Y805" s="10">
        <f>IFERROR(TIMEVALUE(Table2[[#This Row],[Vào]]),0)</f>
        <v>0.33333333333333331</v>
      </c>
      <c r="Z805" s="10">
        <f>IFERROR(TIMEVALUE(Table2[[#This Row],[Ra]]),0)</f>
        <v>0.70833333333333337</v>
      </c>
      <c r="AA805" t="str">
        <f t="shared" si="49"/>
        <v>x</v>
      </c>
      <c r="AB805" s="105">
        <f t="shared" si="50"/>
        <v>0</v>
      </c>
      <c r="AC805" s="12" t="str">
        <f>IF(VLOOKUP(A805,Data_NV!$A:$I,7,0)="Không","",IF(OR(AND(Y805=0,Z805=0),AND(Y805&lt;&gt;0,Z805&lt;&gt;0)),"","Quên chấm công"))</f>
        <v/>
      </c>
      <c r="AD805" s="12">
        <f>IF(VLOOKUP(A805,Data_NV!$A:$I,7,0)="Không",0,IF(AND(Y805=0,Z805=0),0,IF(X805&lt;=Z805,0,ROUNDDOWN((X805-Z805)*24*60,0))))</f>
        <v>0</v>
      </c>
      <c r="AE805" s="12">
        <f>IF(VLOOKUP(A805,Data_NV!$A:$I,6,0)="Không",0,IF(Z805&lt;=X805,0,ROUNDDOWN((Z805-X805)*24*60,0)))</f>
        <v>0</v>
      </c>
      <c r="AF805" s="26">
        <f t="shared" si="51"/>
        <v>0</v>
      </c>
      <c r="AG805" s="27" t="str">
        <f>IF(AC805="","",IF(COUNTIFS($AC$3:AC805,"Quên chấm công",$S$3:S805,S805)&gt;3,"Không chấm công do vi phạm quá 3 lần",IF(COUNTIFS($AC$3:AC805,"Quên chấm công",$S$3:S805,S805)&gt;2,"Trừ toàn bộ chuyên cần tháng do vi phạm lần 3",IF(COUNTIFS($AC$3:AC805,"Quên chấm công",$S$3:S805,S805)&gt;1,"Trừ 1/2 ngày lương",50000))))</f>
        <v/>
      </c>
      <c r="AH805" s="12" t="str">
        <f>IF(AF805=0,"",IF(COUNTIFS($AF$3:AF805,"&gt;0",$S$3:S805,S805)&gt;3,"Trừ toàn bộ chuyên cần tháng",""))</f>
        <v/>
      </c>
      <c r="AI805" s="89" t="s">
        <v>1367</v>
      </c>
    </row>
    <row r="806" spans="1:35" x14ac:dyDescent="0.25">
      <c r="A806" s="4" t="s">
        <v>1181</v>
      </c>
      <c r="B806" s="1" t="s">
        <v>1182</v>
      </c>
      <c r="C806" s="1" t="s">
        <v>20</v>
      </c>
      <c r="D806" s="1" t="s">
        <v>116</v>
      </c>
      <c r="E806" s="1" t="s">
        <v>22</v>
      </c>
      <c r="F806" s="1" t="s">
        <v>23</v>
      </c>
      <c r="G806" s="1" t="s">
        <v>12</v>
      </c>
      <c r="H806" s="1" t="s">
        <v>1221</v>
      </c>
      <c r="I806" s="1" t="s">
        <v>1365</v>
      </c>
      <c r="J806" s="1" t="s">
        <v>25</v>
      </c>
      <c r="K806" s="1" t="s">
        <v>25</v>
      </c>
      <c r="L806" s="1" t="s">
        <v>26</v>
      </c>
      <c r="M806" s="1" t="s">
        <v>25</v>
      </c>
      <c r="N806" s="1" t="s">
        <v>25</v>
      </c>
      <c r="O806" s="1" t="s">
        <v>25</v>
      </c>
      <c r="P806" s="1" t="s">
        <v>25</v>
      </c>
      <c r="Q806" s="1" t="s">
        <v>25</v>
      </c>
      <c r="R806" s="85" t="str">
        <f t="shared" si="48"/>
        <v>6545924</v>
      </c>
      <c r="S806" t="str">
        <f>VLOOKUP(A806,Data_NV!$A:$C,3,0)</f>
        <v>Lý Kim Hồ</v>
      </c>
      <c r="T806" t="str">
        <f>VLOOKUP(A806,Data_NV!$A:$E,4,0)</f>
        <v>Kế toán - Văn phòng</v>
      </c>
      <c r="U806" s="82">
        <f>DATEVALUE(Table2[[#This Row],[Ngày]])</f>
        <v>45924</v>
      </c>
      <c r="V806" t="str">
        <f>VLOOKUP(A806,Data_NV!$A:$E,5,0)</f>
        <v>Đang làm việc</v>
      </c>
      <c r="W806" s="10">
        <f>VLOOKUP(A806,Data_NV!$A:$I,8,0)</f>
        <v>0.33333333333333331</v>
      </c>
      <c r="X806" s="10">
        <f>VLOOKUP(A806,Data_NV!$A:$I,9,0)</f>
        <v>0.70833333333333337</v>
      </c>
      <c r="Y806" s="10">
        <f>IFERROR(TIMEVALUE(Table2[[#This Row],[Vào]]),0)</f>
        <v>0.33333333333333331</v>
      </c>
      <c r="Z806" s="10">
        <f>IFERROR(TIMEVALUE(Table2[[#This Row],[Ra]]),0)</f>
        <v>0.70833333333333337</v>
      </c>
      <c r="AA806" t="str">
        <f t="shared" si="49"/>
        <v>x</v>
      </c>
      <c r="AB806" s="105">
        <f t="shared" si="50"/>
        <v>0</v>
      </c>
      <c r="AC806" s="12" t="str">
        <f>IF(VLOOKUP(A806,Data_NV!$A:$I,7,0)="Không","",IF(OR(AND(Y806=0,Z806=0),AND(Y806&lt;&gt;0,Z806&lt;&gt;0)),"","Quên chấm công"))</f>
        <v/>
      </c>
      <c r="AD806" s="12">
        <f>IF(VLOOKUP(A806,Data_NV!$A:$I,7,0)="Không",0,IF(AND(Y806=0,Z806=0),0,IF(X806&lt;=Z806,0,ROUNDDOWN((X806-Z806)*24*60,0))))</f>
        <v>0</v>
      </c>
      <c r="AE806" s="12">
        <f>IF(VLOOKUP(A806,Data_NV!$A:$I,6,0)="Không",0,IF(Z806&lt;=X806,0,ROUNDDOWN((Z806-X806)*24*60,0)))</f>
        <v>0</v>
      </c>
      <c r="AF806" s="26">
        <f t="shared" si="51"/>
        <v>0</v>
      </c>
      <c r="AG806" s="27" t="str">
        <f>IF(AC806="","",IF(COUNTIFS($AC$3:AC806,"Quên chấm công",$S$3:S806,S806)&gt;3,"Không chấm công do vi phạm quá 3 lần",IF(COUNTIFS($AC$3:AC806,"Quên chấm công",$S$3:S806,S806)&gt;2,"Trừ toàn bộ chuyên cần tháng do vi phạm lần 3",IF(COUNTIFS($AC$3:AC806,"Quên chấm công",$S$3:S806,S806)&gt;1,"Trừ 1/2 ngày lương",50000))))</f>
        <v/>
      </c>
      <c r="AH806" s="12" t="str">
        <f>IF(AF806=0,"",IF(COUNTIFS($AF$3:AF806,"&gt;0",$S$3:S806,S806)&gt;3,"Trừ toàn bộ chuyên cần tháng",""))</f>
        <v/>
      </c>
      <c r="AI806" s="89" t="s">
        <v>1367</v>
      </c>
    </row>
    <row r="807" spans="1:35" x14ac:dyDescent="0.25">
      <c r="A807" s="4" t="s">
        <v>1181</v>
      </c>
      <c r="B807" s="1" t="s">
        <v>1182</v>
      </c>
      <c r="C807" s="1" t="s">
        <v>20</v>
      </c>
      <c r="D807" s="1" t="s">
        <v>121</v>
      </c>
      <c r="E807" s="1" t="s">
        <v>22</v>
      </c>
      <c r="F807" s="1" t="s">
        <v>23</v>
      </c>
      <c r="G807" s="1" t="s">
        <v>12</v>
      </c>
      <c r="H807" s="1" t="s">
        <v>1221</v>
      </c>
      <c r="I807" s="1" t="s">
        <v>1365</v>
      </c>
      <c r="J807" s="1" t="s">
        <v>25</v>
      </c>
      <c r="K807" s="1" t="s">
        <v>25</v>
      </c>
      <c r="L807" s="1" t="s">
        <v>26</v>
      </c>
      <c r="M807" s="1" t="s">
        <v>25</v>
      </c>
      <c r="N807" s="1" t="s">
        <v>25</v>
      </c>
      <c r="O807" s="1" t="s">
        <v>25</v>
      </c>
      <c r="P807" s="1" t="s">
        <v>25</v>
      </c>
      <c r="Q807" s="1" t="s">
        <v>25</v>
      </c>
      <c r="R807" s="85" t="str">
        <f t="shared" si="48"/>
        <v>6545925</v>
      </c>
      <c r="S807" t="str">
        <f>VLOOKUP(A807,Data_NV!$A:$C,3,0)</f>
        <v>Lý Kim Hồ</v>
      </c>
      <c r="T807" t="str">
        <f>VLOOKUP(A807,Data_NV!$A:$E,4,0)</f>
        <v>Kế toán - Văn phòng</v>
      </c>
      <c r="U807" s="82">
        <f>DATEVALUE(Table2[[#This Row],[Ngày]])</f>
        <v>45925</v>
      </c>
      <c r="V807" t="str">
        <f>VLOOKUP(A807,Data_NV!$A:$E,5,0)</f>
        <v>Đang làm việc</v>
      </c>
      <c r="W807" s="10">
        <f>VLOOKUP(A807,Data_NV!$A:$I,8,0)</f>
        <v>0.33333333333333331</v>
      </c>
      <c r="X807" s="10">
        <f>VLOOKUP(A807,Data_NV!$A:$I,9,0)</f>
        <v>0.70833333333333337</v>
      </c>
      <c r="Y807" s="10">
        <f>IFERROR(TIMEVALUE(Table2[[#This Row],[Vào]]),0)</f>
        <v>0.33333333333333331</v>
      </c>
      <c r="Z807" s="10">
        <f>IFERROR(TIMEVALUE(Table2[[#This Row],[Ra]]),0)</f>
        <v>0.70833333333333337</v>
      </c>
      <c r="AA807" t="str">
        <f t="shared" si="49"/>
        <v>x</v>
      </c>
      <c r="AB807" s="105">
        <f t="shared" si="50"/>
        <v>0</v>
      </c>
      <c r="AC807" s="12" t="str">
        <f>IF(VLOOKUP(A807,Data_NV!$A:$I,7,0)="Không","",IF(OR(AND(Y807=0,Z807=0),AND(Y807&lt;&gt;0,Z807&lt;&gt;0)),"","Quên chấm công"))</f>
        <v/>
      </c>
      <c r="AD807" s="12">
        <f>IF(VLOOKUP(A807,Data_NV!$A:$I,7,0)="Không",0,IF(AND(Y807=0,Z807=0),0,IF(X807&lt;=Z807,0,ROUNDDOWN((X807-Z807)*24*60,0))))</f>
        <v>0</v>
      </c>
      <c r="AE807" s="12">
        <f>IF(VLOOKUP(A807,Data_NV!$A:$I,6,0)="Không",0,IF(Z807&lt;=X807,0,ROUNDDOWN((Z807-X807)*24*60,0)))</f>
        <v>0</v>
      </c>
      <c r="AF807" s="26">
        <f t="shared" si="51"/>
        <v>0</v>
      </c>
      <c r="AG807" s="27" t="str">
        <f>IF(AC807="","",IF(COUNTIFS($AC$3:AC807,"Quên chấm công",$S$3:S807,S807)&gt;3,"Không chấm công do vi phạm quá 3 lần",IF(COUNTIFS($AC$3:AC807,"Quên chấm công",$S$3:S807,S807)&gt;2,"Trừ toàn bộ chuyên cần tháng do vi phạm lần 3",IF(COUNTIFS($AC$3:AC807,"Quên chấm công",$S$3:S807,S807)&gt;1,"Trừ 1/2 ngày lương",50000))))</f>
        <v/>
      </c>
      <c r="AH807" s="12" t="str">
        <f>IF(AF807=0,"",IF(COUNTIFS($AF$3:AF807,"&gt;0",$S$3:S807,S807)&gt;3,"Trừ toàn bộ chuyên cần tháng",""))</f>
        <v/>
      </c>
      <c r="AI807" s="89" t="s">
        <v>1367</v>
      </c>
    </row>
    <row r="808" spans="1:35" x14ac:dyDescent="0.25">
      <c r="A808" s="4" t="s">
        <v>1181</v>
      </c>
      <c r="B808" s="1" t="s">
        <v>1182</v>
      </c>
      <c r="C808" s="1" t="s">
        <v>20</v>
      </c>
      <c r="D808" s="1" t="s">
        <v>123</v>
      </c>
      <c r="E808" s="1" t="s">
        <v>22</v>
      </c>
      <c r="F808" s="1" t="s">
        <v>23</v>
      </c>
      <c r="G808" s="1" t="s">
        <v>12</v>
      </c>
      <c r="H808" s="1" t="s">
        <v>1221</v>
      </c>
      <c r="I808" s="1" t="s">
        <v>1365</v>
      </c>
      <c r="J808" s="1" t="s">
        <v>25</v>
      </c>
      <c r="K808" s="1" t="s">
        <v>25</v>
      </c>
      <c r="L808" s="1" t="s">
        <v>26</v>
      </c>
      <c r="M808" s="1" t="s">
        <v>25</v>
      </c>
      <c r="N808" s="1" t="s">
        <v>25</v>
      </c>
      <c r="O808" s="1" t="s">
        <v>25</v>
      </c>
      <c r="P808" s="1" t="s">
        <v>25</v>
      </c>
      <c r="Q808" s="1" t="s">
        <v>25</v>
      </c>
      <c r="R808" s="85" t="str">
        <f t="shared" si="48"/>
        <v>6545926</v>
      </c>
      <c r="S808" t="str">
        <f>VLOOKUP(A808,Data_NV!$A:$C,3,0)</f>
        <v>Lý Kim Hồ</v>
      </c>
      <c r="T808" t="str">
        <f>VLOOKUP(A808,Data_NV!$A:$E,4,0)</f>
        <v>Kế toán - Văn phòng</v>
      </c>
      <c r="U808" s="82">
        <f>DATEVALUE(Table2[[#This Row],[Ngày]])</f>
        <v>45926</v>
      </c>
      <c r="V808" t="str">
        <f>VLOOKUP(A808,Data_NV!$A:$E,5,0)</f>
        <v>Đang làm việc</v>
      </c>
      <c r="W808" s="10">
        <f>VLOOKUP(A808,Data_NV!$A:$I,8,0)</f>
        <v>0.33333333333333331</v>
      </c>
      <c r="X808" s="10">
        <f>VLOOKUP(A808,Data_NV!$A:$I,9,0)</f>
        <v>0.70833333333333337</v>
      </c>
      <c r="Y808" s="10">
        <f>IFERROR(TIMEVALUE(Table2[[#This Row],[Vào]]),0)</f>
        <v>0.33333333333333331</v>
      </c>
      <c r="Z808" s="10">
        <f>IFERROR(TIMEVALUE(Table2[[#This Row],[Ra]]),0)</f>
        <v>0.70833333333333337</v>
      </c>
      <c r="AA808" t="str">
        <f t="shared" si="49"/>
        <v>x</v>
      </c>
      <c r="AB808" s="105">
        <f t="shared" si="50"/>
        <v>0</v>
      </c>
      <c r="AC808" s="12" t="str">
        <f>IF(VLOOKUP(A808,Data_NV!$A:$I,7,0)="Không","",IF(OR(AND(Y808=0,Z808=0),AND(Y808&lt;&gt;0,Z808&lt;&gt;0)),"","Quên chấm công"))</f>
        <v/>
      </c>
      <c r="AD808" s="12">
        <f>IF(VLOOKUP(A808,Data_NV!$A:$I,7,0)="Không",0,IF(AND(Y808=0,Z808=0),0,IF(X808&lt;=Z808,0,ROUNDDOWN((X808-Z808)*24*60,0))))</f>
        <v>0</v>
      </c>
      <c r="AE808" s="12">
        <f>IF(VLOOKUP(A808,Data_NV!$A:$I,6,0)="Không",0,IF(Z808&lt;=X808,0,ROUNDDOWN((Z808-X808)*24*60,0)))</f>
        <v>0</v>
      </c>
      <c r="AF808" s="26">
        <f t="shared" si="51"/>
        <v>0</v>
      </c>
      <c r="AG808" s="27" t="str">
        <f>IF(AC808="","",IF(COUNTIFS($AC$3:AC808,"Quên chấm công",$S$3:S808,S808)&gt;3,"Không chấm công do vi phạm quá 3 lần",IF(COUNTIFS($AC$3:AC808,"Quên chấm công",$S$3:S808,S808)&gt;2,"Trừ toàn bộ chuyên cần tháng do vi phạm lần 3",IF(COUNTIFS($AC$3:AC808,"Quên chấm công",$S$3:S808,S808)&gt;1,"Trừ 1/2 ngày lương",50000))))</f>
        <v/>
      </c>
      <c r="AH808" s="12" t="str">
        <f>IF(AF808=0,"",IF(COUNTIFS($AF$3:AF808,"&gt;0",$S$3:S808,S808)&gt;3,"Trừ toàn bộ chuyên cần tháng",""))</f>
        <v/>
      </c>
      <c r="AI808" s="89" t="s">
        <v>1367</v>
      </c>
    </row>
    <row r="809" spans="1:35" x14ac:dyDescent="0.25">
      <c r="A809" s="4" t="s">
        <v>1181</v>
      </c>
      <c r="B809" s="1" t="s">
        <v>1182</v>
      </c>
      <c r="C809" s="1" t="s">
        <v>20</v>
      </c>
      <c r="D809" s="1" t="s">
        <v>125</v>
      </c>
      <c r="E809" s="1" t="s">
        <v>22</v>
      </c>
      <c r="F809" s="1" t="s">
        <v>23</v>
      </c>
      <c r="G809" s="1" t="s">
        <v>12</v>
      </c>
      <c r="H809" s="1" t="s">
        <v>1221</v>
      </c>
      <c r="I809" s="1" t="s">
        <v>1365</v>
      </c>
      <c r="J809" s="1" t="s">
        <v>25</v>
      </c>
      <c r="K809" s="1" t="s">
        <v>25</v>
      </c>
      <c r="L809" s="1" t="s">
        <v>26</v>
      </c>
      <c r="M809" s="1" t="s">
        <v>25</v>
      </c>
      <c r="N809" s="1" t="s">
        <v>25</v>
      </c>
      <c r="O809" s="1" t="s">
        <v>25</v>
      </c>
      <c r="P809" s="1" t="s">
        <v>25</v>
      </c>
      <c r="Q809" s="1" t="s">
        <v>25</v>
      </c>
      <c r="R809" s="85" t="str">
        <f t="shared" si="48"/>
        <v>6545927</v>
      </c>
      <c r="S809" t="str">
        <f>VLOOKUP(A809,Data_NV!$A:$C,3,0)</f>
        <v>Lý Kim Hồ</v>
      </c>
      <c r="T809" t="str">
        <f>VLOOKUP(A809,Data_NV!$A:$E,4,0)</f>
        <v>Kế toán - Văn phòng</v>
      </c>
      <c r="U809" s="82">
        <f>DATEVALUE(Table2[[#This Row],[Ngày]])</f>
        <v>45927</v>
      </c>
      <c r="V809" t="str">
        <f>VLOOKUP(A809,Data_NV!$A:$E,5,0)</f>
        <v>Đang làm việc</v>
      </c>
      <c r="W809" s="10">
        <f>VLOOKUP(A809,Data_NV!$A:$I,8,0)</f>
        <v>0.33333333333333331</v>
      </c>
      <c r="X809" s="10">
        <f>VLOOKUP(A809,Data_NV!$A:$I,9,0)</f>
        <v>0.70833333333333337</v>
      </c>
      <c r="Y809" s="10">
        <f>IFERROR(TIMEVALUE(Table2[[#This Row],[Vào]]),0)</f>
        <v>0.33333333333333331</v>
      </c>
      <c r="Z809" s="10">
        <f>IFERROR(TIMEVALUE(Table2[[#This Row],[Ra]]),0)</f>
        <v>0.70833333333333337</v>
      </c>
      <c r="AA809" t="str">
        <f t="shared" si="49"/>
        <v>x</v>
      </c>
      <c r="AB809" s="105">
        <f t="shared" si="50"/>
        <v>0</v>
      </c>
      <c r="AC809" s="12" t="str">
        <f>IF(VLOOKUP(A809,Data_NV!$A:$I,7,0)="Không","",IF(OR(AND(Y809=0,Z809=0),AND(Y809&lt;&gt;0,Z809&lt;&gt;0)),"","Quên chấm công"))</f>
        <v/>
      </c>
      <c r="AD809" s="12">
        <f>IF(VLOOKUP(A809,Data_NV!$A:$I,7,0)="Không",0,IF(AND(Y809=0,Z809=0),0,IF(X809&lt;=Z809,0,ROUNDDOWN((X809-Z809)*24*60,0))))</f>
        <v>0</v>
      </c>
      <c r="AE809" s="12">
        <f>IF(VLOOKUP(A809,Data_NV!$A:$I,6,0)="Không",0,IF(Z809&lt;=X809,0,ROUNDDOWN((Z809-X809)*24*60,0)))</f>
        <v>0</v>
      </c>
      <c r="AF809" s="26">
        <f t="shared" si="51"/>
        <v>0</v>
      </c>
      <c r="AG809" s="27" t="str">
        <f>IF(AC809="","",IF(COUNTIFS($AC$3:AC809,"Quên chấm công",$S$3:S809,S809)&gt;3,"Không chấm công do vi phạm quá 3 lần",IF(COUNTIFS($AC$3:AC809,"Quên chấm công",$S$3:S809,S809)&gt;2,"Trừ toàn bộ chuyên cần tháng do vi phạm lần 3",IF(COUNTIFS($AC$3:AC809,"Quên chấm công",$S$3:S809,S809)&gt;1,"Trừ 1/2 ngày lương",50000))))</f>
        <v/>
      </c>
      <c r="AH809" s="12" t="str">
        <f>IF(AF809=0,"",IF(COUNTIFS($AF$3:AF809,"&gt;0",$S$3:S809,S809)&gt;3,"Trừ toàn bộ chuyên cần tháng",""))</f>
        <v/>
      </c>
      <c r="AI809" s="89" t="s">
        <v>1367</v>
      </c>
    </row>
    <row r="810" spans="1:35" x14ac:dyDescent="0.25">
      <c r="A810" s="4" t="s">
        <v>1181</v>
      </c>
      <c r="B810" s="1" t="s">
        <v>1182</v>
      </c>
      <c r="C810" s="1" t="s">
        <v>20</v>
      </c>
      <c r="D810" s="1" t="s">
        <v>130</v>
      </c>
      <c r="E810" s="1" t="s">
        <v>22</v>
      </c>
      <c r="F810" s="1" t="s">
        <v>23</v>
      </c>
      <c r="G810" s="1" t="s">
        <v>12</v>
      </c>
      <c r="H810" s="1" t="s">
        <v>1221</v>
      </c>
      <c r="I810" s="1" t="s">
        <v>1365</v>
      </c>
      <c r="J810" s="1" t="s">
        <v>25</v>
      </c>
      <c r="K810" s="1" t="s">
        <v>25</v>
      </c>
      <c r="L810" s="1" t="s">
        <v>26</v>
      </c>
      <c r="M810" s="1" t="s">
        <v>25</v>
      </c>
      <c r="N810" s="1" t="s">
        <v>25</v>
      </c>
      <c r="O810" s="1" t="s">
        <v>25</v>
      </c>
      <c r="P810" s="1" t="s">
        <v>25</v>
      </c>
      <c r="Q810" s="1" t="s">
        <v>25</v>
      </c>
      <c r="R810" s="85" t="str">
        <f t="shared" si="48"/>
        <v>6545928</v>
      </c>
      <c r="S810" t="str">
        <f>VLOOKUP(A810,Data_NV!$A:$C,3,0)</f>
        <v>Lý Kim Hồ</v>
      </c>
      <c r="T810" t="str">
        <f>VLOOKUP(A810,Data_NV!$A:$E,4,0)</f>
        <v>Kế toán - Văn phòng</v>
      </c>
      <c r="U810" s="82">
        <f>DATEVALUE(Table2[[#This Row],[Ngày]])</f>
        <v>45928</v>
      </c>
      <c r="V810" t="str">
        <f>VLOOKUP(A810,Data_NV!$A:$E,5,0)</f>
        <v>Đang làm việc</v>
      </c>
      <c r="W810" s="10">
        <f>VLOOKUP(A810,Data_NV!$A:$I,8,0)</f>
        <v>0.33333333333333331</v>
      </c>
      <c r="X810" s="10">
        <f>VLOOKUP(A810,Data_NV!$A:$I,9,0)</f>
        <v>0.70833333333333337</v>
      </c>
      <c r="Y810" s="10">
        <f>IFERROR(TIMEVALUE(Table2[[#This Row],[Vào]]),0)</f>
        <v>0.33333333333333331</v>
      </c>
      <c r="Z810" s="10">
        <f>IFERROR(TIMEVALUE(Table2[[#This Row],[Ra]]),0)</f>
        <v>0.70833333333333337</v>
      </c>
      <c r="AA810" t="str">
        <f t="shared" si="49"/>
        <v>Chủ nhật</v>
      </c>
      <c r="AB810" s="105">
        <f t="shared" si="50"/>
        <v>0</v>
      </c>
      <c r="AC810" s="12" t="str">
        <f>IF(VLOOKUP(A810,Data_NV!$A:$I,7,0)="Không","",IF(OR(AND(Y810=0,Z810=0),AND(Y810&lt;&gt;0,Z810&lt;&gt;0)),"","Quên chấm công"))</f>
        <v/>
      </c>
      <c r="AD810" s="12">
        <f>IF(VLOOKUP(A810,Data_NV!$A:$I,7,0)="Không",0,IF(AND(Y810=0,Z810=0),0,IF(X810&lt;=Z810,0,ROUNDDOWN((X810-Z810)*24*60,0))))</f>
        <v>0</v>
      </c>
      <c r="AE810" s="12">
        <f>IF(VLOOKUP(A810,Data_NV!$A:$I,6,0)="Không",0,IF(Z810&lt;=X810,0,ROUNDDOWN((Z810-X810)*24*60,0)))</f>
        <v>0</v>
      </c>
      <c r="AF810" s="26">
        <f t="shared" si="51"/>
        <v>0</v>
      </c>
      <c r="AG810" s="27" t="str">
        <f>IF(AC810="","",IF(COUNTIFS($AC$3:AC810,"Quên chấm công",$S$3:S810,S810)&gt;3,"Không chấm công do vi phạm quá 3 lần",IF(COUNTIFS($AC$3:AC810,"Quên chấm công",$S$3:S810,S810)&gt;2,"Trừ toàn bộ chuyên cần tháng do vi phạm lần 3",IF(COUNTIFS($AC$3:AC810,"Quên chấm công",$S$3:S810,S810)&gt;1,"Trừ 1/2 ngày lương",50000))))</f>
        <v/>
      </c>
      <c r="AH810" s="12" t="str">
        <f>IF(AF810=0,"",IF(COUNTIFS($AF$3:AF810,"&gt;0",$S$3:S810,S810)&gt;3,"Trừ toàn bộ chuyên cần tháng",""))</f>
        <v/>
      </c>
      <c r="AI810" s="89" t="s">
        <v>1367</v>
      </c>
    </row>
    <row r="811" spans="1:35" x14ac:dyDescent="0.25">
      <c r="A811" s="4" t="s">
        <v>1181</v>
      </c>
      <c r="B811" s="1" t="s">
        <v>1182</v>
      </c>
      <c r="C811" s="1" t="s">
        <v>20</v>
      </c>
      <c r="D811" s="1" t="s">
        <v>131</v>
      </c>
      <c r="E811" s="1" t="s">
        <v>22</v>
      </c>
      <c r="F811" s="1" t="s">
        <v>999</v>
      </c>
      <c r="G811" s="1" t="s">
        <v>12</v>
      </c>
      <c r="H811" s="1" t="s">
        <v>1221</v>
      </c>
      <c r="I811" s="1" t="s">
        <v>1183</v>
      </c>
      <c r="J811" s="1" t="s">
        <v>25</v>
      </c>
      <c r="K811" s="1" t="s">
        <v>25</v>
      </c>
      <c r="L811" s="1" t="s">
        <v>1000</v>
      </c>
      <c r="M811" s="1" t="s">
        <v>25</v>
      </c>
      <c r="N811" s="1" t="s">
        <v>25</v>
      </c>
      <c r="O811" s="1" t="s">
        <v>25</v>
      </c>
      <c r="P811" s="1" t="s">
        <v>25</v>
      </c>
      <c r="Q811" s="1" t="s">
        <v>25</v>
      </c>
      <c r="R811" s="85" t="str">
        <f t="shared" si="48"/>
        <v>6545929</v>
      </c>
      <c r="S811" t="str">
        <f>VLOOKUP(A811,Data_NV!$A:$C,3,0)</f>
        <v>Lý Kim Hồ</v>
      </c>
      <c r="T811" t="str">
        <f>VLOOKUP(A811,Data_NV!$A:$E,4,0)</f>
        <v>Kế toán - Văn phòng</v>
      </c>
      <c r="U811" s="82">
        <f>DATEVALUE(Table2[[#This Row],[Ngày]])</f>
        <v>45929</v>
      </c>
      <c r="V811" t="str">
        <f>VLOOKUP(A811,Data_NV!$A:$E,5,0)</f>
        <v>Đang làm việc</v>
      </c>
      <c r="W811" s="10">
        <f>VLOOKUP(A811,Data_NV!$A:$I,8,0)</f>
        <v>0.33333333333333331</v>
      </c>
      <c r="X811" s="10">
        <f>VLOOKUP(A811,Data_NV!$A:$I,9,0)</f>
        <v>0.70833333333333337</v>
      </c>
      <c r="Y811" s="10">
        <f>IFERROR(TIMEVALUE(Table2[[#This Row],[Vào]]),0)</f>
        <v>0.33333333333333331</v>
      </c>
      <c r="Z811" s="10">
        <f>IFERROR(TIMEVALUE(Table2[[#This Row],[Ra]]),0)</f>
        <v>0.42280092592592594</v>
      </c>
      <c r="AA811" t="str">
        <f t="shared" si="49"/>
        <v>x</v>
      </c>
      <c r="AB811" s="105">
        <f t="shared" si="50"/>
        <v>0</v>
      </c>
      <c r="AC811" s="12" t="str">
        <f>IF(VLOOKUP(A811,Data_NV!$A:$I,7,0)="Không","",IF(OR(AND(Y811=0,Z811=0),AND(Y811&lt;&gt;0,Z811&lt;&gt;0)),"","Quên chấm công"))</f>
        <v/>
      </c>
      <c r="AD811" s="12">
        <f>IF(VLOOKUP(A811,Data_NV!$A:$I,7,0)="Không",0,IF(AND(Y811=0,Z811=0),0,IF(X811&lt;=Z811,0,ROUNDDOWN((X811-Z811)*24*60,0))))</f>
        <v>411</v>
      </c>
      <c r="AE811" s="12">
        <f>IF(VLOOKUP(A811,Data_NV!$A:$I,6,0)="Không",0,IF(Z811&lt;=X811,0,ROUNDDOWN((Z811-X811)*24*60,0)))</f>
        <v>0</v>
      </c>
      <c r="AF811" s="26">
        <f t="shared" si="51"/>
        <v>0</v>
      </c>
      <c r="AG811" s="27" t="str">
        <f>IF(AC811="","",IF(COUNTIFS($AC$3:AC811,"Quên chấm công",$S$3:S811,S811)&gt;3,"Không chấm công do vi phạm quá 3 lần",IF(COUNTIFS($AC$3:AC811,"Quên chấm công",$S$3:S811,S811)&gt;2,"Trừ toàn bộ chuyên cần tháng do vi phạm lần 3",IF(COUNTIFS($AC$3:AC811,"Quên chấm công",$S$3:S811,S811)&gt;1,"Trừ 1/2 ngày lương",50000))))</f>
        <v/>
      </c>
      <c r="AH811" s="12" t="str">
        <f>IF(AF811=0,"",IF(COUNTIFS($AF$3:AF811,"&gt;0",$S$3:S811,S811)&gt;3,"Trừ toàn bộ chuyên cần tháng",""))</f>
        <v/>
      </c>
      <c r="AI811" s="89" t="s">
        <v>1366</v>
      </c>
    </row>
    <row r="812" spans="1:35" x14ac:dyDescent="0.25">
      <c r="A812" s="4" t="s">
        <v>1181</v>
      </c>
      <c r="B812" s="1" t="s">
        <v>1182</v>
      </c>
      <c r="C812" s="1" t="s">
        <v>20</v>
      </c>
      <c r="D812" s="1" t="s">
        <v>136</v>
      </c>
      <c r="E812" s="1" t="s">
        <v>22</v>
      </c>
      <c r="F812" s="1" t="s">
        <v>23</v>
      </c>
      <c r="G812" s="1" t="s">
        <v>277</v>
      </c>
      <c r="H812" s="1" t="s">
        <v>1184</v>
      </c>
      <c r="I812" s="1" t="s">
        <v>1185</v>
      </c>
      <c r="J812" s="1" t="s">
        <v>25</v>
      </c>
      <c r="K812" s="1" t="s">
        <v>1186</v>
      </c>
      <c r="L812" s="1" t="s">
        <v>358</v>
      </c>
      <c r="M812" s="1" t="s">
        <v>1186</v>
      </c>
      <c r="N812" s="1" t="s">
        <v>25</v>
      </c>
      <c r="O812" s="1" t="s">
        <v>25</v>
      </c>
      <c r="P812" s="1" t="s">
        <v>25</v>
      </c>
      <c r="Q812" s="1" t="s">
        <v>25</v>
      </c>
      <c r="R812" s="85" t="str">
        <f t="shared" si="48"/>
        <v>6545930</v>
      </c>
      <c r="S812" t="str">
        <f>VLOOKUP(A812,Data_NV!$A:$C,3,0)</f>
        <v>Lý Kim Hồ</v>
      </c>
      <c r="T812" t="str">
        <f>VLOOKUP(A812,Data_NV!$A:$E,4,0)</f>
        <v>Kế toán - Văn phòng</v>
      </c>
      <c r="U812" s="82">
        <f>DATEVALUE(Table2[[#This Row],[Ngày]])</f>
        <v>45930</v>
      </c>
      <c r="V812" t="str">
        <f>VLOOKUP(A812,Data_NV!$A:$E,5,0)</f>
        <v>Đang làm việc</v>
      </c>
      <c r="W812" s="10">
        <f>VLOOKUP(A812,Data_NV!$A:$I,8,0)</f>
        <v>0.33333333333333331</v>
      </c>
      <c r="X812" s="10">
        <f>VLOOKUP(A812,Data_NV!$A:$I,9,0)</f>
        <v>0.70833333333333337</v>
      </c>
      <c r="Y812" s="10">
        <f>IFERROR(TIMEVALUE(Table2[[#This Row],[Vào]]),0)</f>
        <v>0.32077546296296294</v>
      </c>
      <c r="Z812" s="10">
        <f>IFERROR(TIMEVALUE(Table2[[#This Row],[Ra]]),0)</f>
        <v>0.70747685185185183</v>
      </c>
      <c r="AA812" t="str">
        <f t="shared" si="49"/>
        <v>x</v>
      </c>
      <c r="AB812" s="105">
        <f t="shared" si="50"/>
        <v>0</v>
      </c>
      <c r="AC812" s="12" t="str">
        <f>IF(VLOOKUP(A812,Data_NV!$A:$I,7,0)="Không","",IF(OR(AND(Y812=0,Z812=0),AND(Y812&lt;&gt;0,Z812&lt;&gt;0)),"","Quên chấm công"))</f>
        <v/>
      </c>
      <c r="AD812" s="12">
        <f>IF(VLOOKUP(A812,Data_NV!$A:$I,7,0)="Không",0,IF(AND(Y812=0,Z812=0),0,IF(X812&lt;=Z812,0,ROUNDDOWN((X812-Z812)*24*60,0))))</f>
        <v>1</v>
      </c>
      <c r="AE812" s="12">
        <f>IF(VLOOKUP(A812,Data_NV!$A:$I,6,0)="Không",0,IF(Z812&lt;=X812,0,ROUNDDOWN((Z812-X812)*24*60,0)))</f>
        <v>0</v>
      </c>
      <c r="AF812" s="26">
        <f t="shared" si="51"/>
        <v>0</v>
      </c>
      <c r="AG812" s="27" t="str">
        <f>IF(AC812="","",IF(COUNTIFS($AC$3:AC812,"Quên chấm công",$S$3:S812,S812)&gt;3,"Không chấm công do vi phạm quá 3 lần",IF(COUNTIFS($AC$3:AC812,"Quên chấm công",$S$3:S812,S812)&gt;2,"Trừ toàn bộ chuyên cần tháng do vi phạm lần 3",IF(COUNTIFS($AC$3:AC812,"Quên chấm công",$S$3:S812,S812)&gt;1,"Trừ 1/2 ngày lương",50000))))</f>
        <v/>
      </c>
      <c r="AH812" s="12" t="str">
        <f>IF(AF812=0,"",IF(COUNTIFS($AF$3:AF812,"&gt;0",$S$3:S812,S812)&gt;3,"Trừ toàn bộ chuyên cần tháng",""))</f>
        <v/>
      </c>
      <c r="AI812" s="12"/>
    </row>
    <row r="813" spans="1:35" x14ac:dyDescent="0.25">
      <c r="A813" s="4" t="s">
        <v>1190</v>
      </c>
      <c r="B813" s="1" t="s">
        <v>806</v>
      </c>
      <c r="C813" s="1" t="s">
        <v>20</v>
      </c>
      <c r="D813" s="1" t="s">
        <v>21</v>
      </c>
      <c r="E813" s="1" t="s">
        <v>22</v>
      </c>
      <c r="F813" s="1" t="s">
        <v>23</v>
      </c>
      <c r="G813" s="1" t="s">
        <v>12</v>
      </c>
      <c r="H813" s="1" t="s">
        <v>24</v>
      </c>
      <c r="I813" s="1" t="s">
        <v>24</v>
      </c>
      <c r="J813" s="1" t="s">
        <v>25</v>
      </c>
      <c r="K813" s="1" t="s">
        <v>25</v>
      </c>
      <c r="L813" s="1" t="s">
        <v>26</v>
      </c>
      <c r="M813" s="1" t="s">
        <v>25</v>
      </c>
      <c r="N813" s="1" t="s">
        <v>25</v>
      </c>
      <c r="O813" s="1" t="s">
        <v>25</v>
      </c>
      <c r="P813" s="1" t="s">
        <v>25</v>
      </c>
      <c r="Q813" s="1" t="s">
        <v>25</v>
      </c>
      <c r="R813" s="85" t="str">
        <f t="shared" si="48"/>
        <v>945901</v>
      </c>
      <c r="S813" t="str">
        <f>VLOOKUP(A813,Data_NV!$A:$C,3,0)</f>
        <v>Hoàng Thị Hoài Nhi</v>
      </c>
      <c r="T813" t="str">
        <f>VLOOKUP(A813,Data_NV!$A:$E,4,0)</f>
        <v>Kế toán - Văn phòng</v>
      </c>
      <c r="U813" s="82">
        <f>DATEVALUE(Table2[[#This Row],[Ngày]])</f>
        <v>45901</v>
      </c>
      <c r="V813" t="str">
        <f>VLOOKUP(A813,Data_NV!$A:$E,5,0)</f>
        <v>Đang làm việc</v>
      </c>
      <c r="W813" s="10">
        <f>VLOOKUP(A813,Data_NV!$A:$I,8,0)</f>
        <v>0.33333333333333331</v>
      </c>
      <c r="X813" s="10">
        <f>VLOOKUP(A813,Data_NV!$A:$I,9,0)</f>
        <v>0.70833333333333337</v>
      </c>
      <c r="Y813" s="10">
        <f>IFERROR(TIMEVALUE(Table2[[#This Row],[Vào]]),0)</f>
        <v>0</v>
      </c>
      <c r="Z813" s="10">
        <f>IFERROR(TIMEVALUE(Table2[[#This Row],[Ra]]),0)</f>
        <v>0</v>
      </c>
      <c r="AA813" s="97" t="s">
        <v>1349</v>
      </c>
      <c r="AB813" s="105">
        <f t="shared" si="50"/>
        <v>0</v>
      </c>
      <c r="AC813" s="12" t="str">
        <f>IF(VLOOKUP(A813,Data_NV!$A:$I,7,0)="Không","",IF(OR(AND(Y813=0,Z813=0),AND(Y813&lt;&gt;0,Z813&lt;&gt;0)),"","Quên chấm công"))</f>
        <v/>
      </c>
      <c r="AD813" s="12">
        <f>IF(VLOOKUP(A813,Data_NV!$A:$I,7,0)="Không",0,IF(AND(Y813=0,Z813=0),0,IF(X813&lt;=Z813,0,ROUNDDOWN((X813-Z813)*24*60,0))))</f>
        <v>0</v>
      </c>
      <c r="AE813" s="12">
        <f>IF(VLOOKUP(A813,Data_NV!$A:$I,6,0)="Không",0,IF(Z813&lt;=X813,0,ROUNDDOWN((Z813-X813)*24*60,0)))</f>
        <v>0</v>
      </c>
      <c r="AF813" s="26">
        <f t="shared" si="51"/>
        <v>0</v>
      </c>
      <c r="AG813" s="27" t="str">
        <f>IF(AC813="","",IF(COUNTIFS($AC$3:AC813,"Quên chấm công",$S$3:S813,S813)&gt;3,"Không chấm công do vi phạm quá 3 lần",IF(COUNTIFS($AC$3:AC813,"Quên chấm công",$S$3:S813,S813)&gt;2,"Trừ toàn bộ chuyên cần tháng do vi phạm lần 3",IF(COUNTIFS($AC$3:AC813,"Quên chấm công",$S$3:S813,S813)&gt;1,"Trừ 1/2 ngày lương",50000))))</f>
        <v/>
      </c>
      <c r="AH813" s="12" t="str">
        <f>IF(AF813=0,"",IF(COUNTIFS($AF$3:AF813,"&gt;0",$S$3:S813,S813)&gt;3,"Trừ toàn bộ chuyên cần tháng",""))</f>
        <v/>
      </c>
      <c r="AI813" s="98" t="s">
        <v>1369</v>
      </c>
    </row>
    <row r="814" spans="1:35" x14ac:dyDescent="0.25">
      <c r="A814" s="4" t="s">
        <v>1190</v>
      </c>
      <c r="B814" s="1" t="s">
        <v>806</v>
      </c>
      <c r="C814" s="1" t="s">
        <v>20</v>
      </c>
      <c r="D814" s="1" t="s">
        <v>27</v>
      </c>
      <c r="E814" s="1" t="s">
        <v>22</v>
      </c>
      <c r="F814" s="1" t="s">
        <v>23</v>
      </c>
      <c r="G814" s="1" t="s">
        <v>12</v>
      </c>
      <c r="H814" s="1" t="s">
        <v>24</v>
      </c>
      <c r="I814" s="1" t="s">
        <v>24</v>
      </c>
      <c r="J814" s="1" t="s">
        <v>25</v>
      </c>
      <c r="K814" s="1" t="s">
        <v>25</v>
      </c>
      <c r="L814" s="1" t="s">
        <v>26</v>
      </c>
      <c r="M814" s="1" t="s">
        <v>25</v>
      </c>
      <c r="N814" s="1" t="s">
        <v>25</v>
      </c>
      <c r="O814" s="1" t="s">
        <v>25</v>
      </c>
      <c r="P814" s="1" t="s">
        <v>25</v>
      </c>
      <c r="Q814" s="1" t="s">
        <v>25</v>
      </c>
      <c r="R814" s="85" t="str">
        <f t="shared" si="48"/>
        <v>945902</v>
      </c>
      <c r="S814" t="str">
        <f>VLOOKUP(A814,Data_NV!$A:$C,3,0)</f>
        <v>Hoàng Thị Hoài Nhi</v>
      </c>
      <c r="T814" t="str">
        <f>VLOOKUP(A814,Data_NV!$A:$E,4,0)</f>
        <v>Kế toán - Văn phòng</v>
      </c>
      <c r="U814" s="82">
        <f>DATEVALUE(Table2[[#This Row],[Ngày]])</f>
        <v>45902</v>
      </c>
      <c r="V814" t="str">
        <f>VLOOKUP(A814,Data_NV!$A:$E,5,0)</f>
        <v>Đang làm việc</v>
      </c>
      <c r="W814" s="10">
        <f>VLOOKUP(A814,Data_NV!$A:$I,8,0)</f>
        <v>0.33333333333333331</v>
      </c>
      <c r="X814" s="10">
        <f>VLOOKUP(A814,Data_NV!$A:$I,9,0)</f>
        <v>0.70833333333333337</v>
      </c>
      <c r="Y814" s="10">
        <f>IFERROR(TIMEVALUE(Table2[[#This Row],[Vào]]),0)</f>
        <v>0</v>
      </c>
      <c r="Z814" s="10">
        <f>IFERROR(TIMEVALUE(Table2[[#This Row],[Ra]]),0)</f>
        <v>0</v>
      </c>
      <c r="AA814" s="97" t="s">
        <v>1349</v>
      </c>
      <c r="AB814" s="105">
        <f t="shared" si="50"/>
        <v>0</v>
      </c>
      <c r="AC814" s="12" t="str">
        <f>IF(VLOOKUP(A814,Data_NV!$A:$I,7,0)="Không","",IF(OR(AND(Y814=0,Z814=0),AND(Y814&lt;&gt;0,Z814&lt;&gt;0)),"","Quên chấm công"))</f>
        <v/>
      </c>
      <c r="AD814" s="12">
        <f>IF(VLOOKUP(A814,Data_NV!$A:$I,7,0)="Không",0,IF(AND(Y814=0,Z814=0),0,IF(X814&lt;=Z814,0,ROUNDDOWN((X814-Z814)*24*60,0))))</f>
        <v>0</v>
      </c>
      <c r="AE814" s="12">
        <f>IF(VLOOKUP(A814,Data_NV!$A:$I,6,0)="Không",0,IF(Z814&lt;=X814,0,ROUNDDOWN((Z814-X814)*24*60,0)))</f>
        <v>0</v>
      </c>
      <c r="AF814" s="26">
        <f t="shared" si="51"/>
        <v>0</v>
      </c>
      <c r="AG814" s="27" t="str">
        <f>IF(AC814="","",IF(COUNTIFS($AC$3:AC814,"Quên chấm công",$S$3:S814,S814)&gt;3,"Không chấm công do vi phạm quá 3 lần",IF(COUNTIFS($AC$3:AC814,"Quên chấm công",$S$3:S814,S814)&gt;2,"Trừ toàn bộ chuyên cần tháng do vi phạm lần 3",IF(COUNTIFS($AC$3:AC814,"Quên chấm công",$S$3:S814,S814)&gt;1,"Trừ 1/2 ngày lương",50000))))</f>
        <v/>
      </c>
      <c r="AH814" s="12" t="str">
        <f>IF(AF814=0,"",IF(COUNTIFS($AF$3:AF814,"&gt;0",$S$3:S814,S814)&gt;3,"Trừ toàn bộ chuyên cần tháng",""))</f>
        <v/>
      </c>
      <c r="AI814" s="98" t="s">
        <v>1369</v>
      </c>
    </row>
    <row r="815" spans="1:35" x14ac:dyDescent="0.25">
      <c r="A815" s="4" t="s">
        <v>1190</v>
      </c>
      <c r="B815" s="1" t="s">
        <v>806</v>
      </c>
      <c r="C815" s="1" t="s">
        <v>20</v>
      </c>
      <c r="D815" s="1" t="s">
        <v>28</v>
      </c>
      <c r="E815" s="1" t="s">
        <v>22</v>
      </c>
      <c r="F815" s="1" t="s">
        <v>23</v>
      </c>
      <c r="G815" s="1" t="s">
        <v>29</v>
      </c>
      <c r="H815" s="1" t="s">
        <v>818</v>
      </c>
      <c r="I815" s="1" t="s">
        <v>1191</v>
      </c>
      <c r="J815" s="1" t="s">
        <v>25</v>
      </c>
      <c r="K815" s="1" t="s">
        <v>103</v>
      </c>
      <c r="L815" s="1" t="s">
        <v>25</v>
      </c>
      <c r="M815" s="1" t="s">
        <v>26</v>
      </c>
      <c r="N815" s="1" t="s">
        <v>25</v>
      </c>
      <c r="O815" s="1" t="s">
        <v>104</v>
      </c>
      <c r="P815" s="1" t="s">
        <v>25</v>
      </c>
      <c r="Q815" s="1" t="s">
        <v>25</v>
      </c>
      <c r="R815" s="85" t="str">
        <f t="shared" si="48"/>
        <v>945903</v>
      </c>
      <c r="S815" t="str">
        <f>VLOOKUP(A815,Data_NV!$A:$C,3,0)</f>
        <v>Hoàng Thị Hoài Nhi</v>
      </c>
      <c r="T815" t="str">
        <f>VLOOKUP(A815,Data_NV!$A:$E,4,0)</f>
        <v>Kế toán - Văn phòng</v>
      </c>
      <c r="U815" s="82">
        <f>DATEVALUE(Table2[[#This Row],[Ngày]])</f>
        <v>45903</v>
      </c>
      <c r="V815" t="str">
        <f>VLOOKUP(A815,Data_NV!$A:$E,5,0)</f>
        <v>Đang làm việc</v>
      </c>
      <c r="W815" s="10">
        <f>VLOOKUP(A815,Data_NV!$A:$I,8,0)</f>
        <v>0.33333333333333331</v>
      </c>
      <c r="X815" s="10">
        <f>VLOOKUP(A815,Data_NV!$A:$I,9,0)</f>
        <v>0.70833333333333337</v>
      </c>
      <c r="Y815" s="10">
        <f>IFERROR(TIMEVALUE(Table2[[#This Row],[Vào]]),0)</f>
        <v>0.3283449074074074</v>
      </c>
      <c r="Z815" s="10">
        <f>IFERROR(TIMEVALUE(Table2[[#This Row],[Ra]]),0)</f>
        <v>0.74847222222222221</v>
      </c>
      <c r="AA815" t="str">
        <f t="shared" si="49"/>
        <v>x</v>
      </c>
      <c r="AB815" s="105">
        <f t="shared" si="50"/>
        <v>0</v>
      </c>
      <c r="AC815" s="12" t="str">
        <f>IF(VLOOKUP(A815,Data_NV!$A:$I,7,0)="Không","",IF(OR(AND(Y815=0,Z815=0),AND(Y815&lt;&gt;0,Z815&lt;&gt;0)),"","Quên chấm công"))</f>
        <v/>
      </c>
      <c r="AD815" s="12">
        <f>IF(VLOOKUP(A815,Data_NV!$A:$I,7,0)="Không",0,IF(AND(Y815=0,Z815=0),0,IF(X815&lt;=Z815,0,ROUNDDOWN((X815-Z815)*24*60,0))))</f>
        <v>0</v>
      </c>
      <c r="AE815" s="12">
        <f>IF(VLOOKUP(A815,Data_NV!$A:$I,6,0)="Không",0,IF(Z815&lt;=X815,0,ROUNDDOWN((Z815-X815)*24*60,0)))</f>
        <v>57</v>
      </c>
      <c r="AF815" s="26">
        <f t="shared" si="51"/>
        <v>0</v>
      </c>
      <c r="AG815" s="27" t="str">
        <f>IF(AC815="","",IF(COUNTIFS($AC$3:AC815,"Quên chấm công",$S$3:S815,S815)&gt;3,"Không chấm công do vi phạm quá 3 lần",IF(COUNTIFS($AC$3:AC815,"Quên chấm công",$S$3:S815,S815)&gt;2,"Trừ toàn bộ chuyên cần tháng do vi phạm lần 3",IF(COUNTIFS($AC$3:AC815,"Quên chấm công",$S$3:S815,S815)&gt;1,"Trừ 1/2 ngày lương",50000))))</f>
        <v/>
      </c>
      <c r="AH815" s="12" t="str">
        <f>IF(AF815=0,"",IF(COUNTIFS($AF$3:AF815,"&gt;0",$S$3:S815,S815)&gt;3,"Trừ toàn bộ chuyên cần tháng",""))</f>
        <v/>
      </c>
      <c r="AI815" s="12"/>
    </row>
    <row r="816" spans="1:35" x14ac:dyDescent="0.25">
      <c r="A816" s="4" t="s">
        <v>1190</v>
      </c>
      <c r="B816" s="1" t="s">
        <v>806</v>
      </c>
      <c r="C816" s="1" t="s">
        <v>20</v>
      </c>
      <c r="D816" s="1" t="s">
        <v>35</v>
      </c>
      <c r="E816" s="1" t="s">
        <v>22</v>
      </c>
      <c r="F816" s="1" t="s">
        <v>23</v>
      </c>
      <c r="G816" s="1" t="s">
        <v>29</v>
      </c>
      <c r="H816" s="1" t="s">
        <v>1192</v>
      </c>
      <c r="I816" s="1" t="s">
        <v>1193</v>
      </c>
      <c r="J816" s="1" t="s">
        <v>25</v>
      </c>
      <c r="K816" s="1" t="s">
        <v>1194</v>
      </c>
      <c r="L816" s="1" t="s">
        <v>25</v>
      </c>
      <c r="M816" s="1" t="s">
        <v>26</v>
      </c>
      <c r="N816" s="1" t="s">
        <v>25</v>
      </c>
      <c r="O816" s="1" t="s">
        <v>484</v>
      </c>
      <c r="P816" s="1" t="s">
        <v>25</v>
      </c>
      <c r="Q816" s="1" t="s">
        <v>25</v>
      </c>
      <c r="R816" s="85" t="str">
        <f t="shared" si="48"/>
        <v>945904</v>
      </c>
      <c r="S816" t="str">
        <f>VLOOKUP(A816,Data_NV!$A:$C,3,0)</f>
        <v>Hoàng Thị Hoài Nhi</v>
      </c>
      <c r="T816" t="str">
        <f>VLOOKUP(A816,Data_NV!$A:$E,4,0)</f>
        <v>Kế toán - Văn phòng</v>
      </c>
      <c r="U816" s="82">
        <f>DATEVALUE(Table2[[#This Row],[Ngày]])</f>
        <v>45904</v>
      </c>
      <c r="V816" t="str">
        <f>VLOOKUP(A816,Data_NV!$A:$E,5,0)</f>
        <v>Đang làm việc</v>
      </c>
      <c r="W816" s="10">
        <f>VLOOKUP(A816,Data_NV!$A:$I,8,0)</f>
        <v>0.33333333333333331</v>
      </c>
      <c r="X816" s="10">
        <f>VLOOKUP(A816,Data_NV!$A:$I,9,0)</f>
        <v>0.70833333333333337</v>
      </c>
      <c r="Y816" s="10">
        <f>IFERROR(TIMEVALUE(Table2[[#This Row],[Vào]]),0)</f>
        <v>0.32859953703703704</v>
      </c>
      <c r="Z816" s="10">
        <f>IFERROR(TIMEVALUE(Table2[[#This Row],[Ra]]),0)</f>
        <v>0.75782407407407404</v>
      </c>
      <c r="AA816" t="str">
        <f t="shared" si="49"/>
        <v>x</v>
      </c>
      <c r="AB816" s="105">
        <f t="shared" si="50"/>
        <v>0</v>
      </c>
      <c r="AC816" s="12" t="str">
        <f>IF(VLOOKUP(A816,Data_NV!$A:$I,7,0)="Không","",IF(OR(AND(Y816=0,Z816=0),AND(Y816&lt;&gt;0,Z816&lt;&gt;0)),"","Quên chấm công"))</f>
        <v/>
      </c>
      <c r="AD816" s="12">
        <f>IF(VLOOKUP(A816,Data_NV!$A:$I,7,0)="Không",0,IF(AND(Y816=0,Z816=0),0,IF(X816&lt;=Z816,0,ROUNDDOWN((X816-Z816)*24*60,0))))</f>
        <v>0</v>
      </c>
      <c r="AE816" s="12">
        <f>IF(VLOOKUP(A816,Data_NV!$A:$I,6,0)="Không",0,IF(Z816&lt;=X816,0,ROUNDDOWN((Z816-X816)*24*60,0)))</f>
        <v>71</v>
      </c>
      <c r="AF816" s="26">
        <f t="shared" si="51"/>
        <v>0</v>
      </c>
      <c r="AG816" s="27" t="str">
        <f>IF(AC816="","",IF(COUNTIFS($AC$3:AC816,"Quên chấm công",$S$3:S816,S816)&gt;3,"Không chấm công do vi phạm quá 3 lần",IF(COUNTIFS($AC$3:AC816,"Quên chấm công",$S$3:S816,S816)&gt;2,"Trừ toàn bộ chuyên cần tháng do vi phạm lần 3",IF(COUNTIFS($AC$3:AC816,"Quên chấm công",$S$3:S816,S816)&gt;1,"Trừ 1/2 ngày lương",50000))))</f>
        <v/>
      </c>
      <c r="AH816" s="12" t="str">
        <f>IF(AF816=0,"",IF(COUNTIFS($AF$3:AF816,"&gt;0",$S$3:S816,S816)&gt;3,"Trừ toàn bộ chuyên cần tháng",""))</f>
        <v/>
      </c>
      <c r="AI816" s="12"/>
    </row>
    <row r="817" spans="1:35" x14ac:dyDescent="0.25">
      <c r="A817" s="4" t="s">
        <v>1190</v>
      </c>
      <c r="B817" s="1" t="s">
        <v>806</v>
      </c>
      <c r="C817" s="1" t="s">
        <v>20</v>
      </c>
      <c r="D817" s="1" t="s">
        <v>37</v>
      </c>
      <c r="E817" s="1" t="s">
        <v>22</v>
      </c>
      <c r="F817" s="1" t="s">
        <v>23</v>
      </c>
      <c r="G817" s="1" t="s">
        <v>29</v>
      </c>
      <c r="H817" s="1" t="s">
        <v>1195</v>
      </c>
      <c r="I817" s="1" t="s">
        <v>1196</v>
      </c>
      <c r="J817" s="1" t="s">
        <v>25</v>
      </c>
      <c r="K817" s="1" t="s">
        <v>841</v>
      </c>
      <c r="L817" s="1" t="s">
        <v>25</v>
      </c>
      <c r="M817" s="1" t="s">
        <v>26</v>
      </c>
      <c r="N817" s="1" t="s">
        <v>25</v>
      </c>
      <c r="O817" s="1" t="s">
        <v>842</v>
      </c>
      <c r="P817" s="1" t="s">
        <v>25</v>
      </c>
      <c r="Q817" s="1" t="s">
        <v>25</v>
      </c>
      <c r="R817" s="85" t="str">
        <f t="shared" si="48"/>
        <v>945905</v>
      </c>
      <c r="S817" t="str">
        <f>VLOOKUP(A817,Data_NV!$A:$C,3,0)</f>
        <v>Hoàng Thị Hoài Nhi</v>
      </c>
      <c r="T817" t="str">
        <f>VLOOKUP(A817,Data_NV!$A:$E,4,0)</f>
        <v>Kế toán - Văn phòng</v>
      </c>
      <c r="U817" s="82">
        <f>DATEVALUE(Table2[[#This Row],[Ngày]])</f>
        <v>45905</v>
      </c>
      <c r="V817" t="str">
        <f>VLOOKUP(A817,Data_NV!$A:$E,5,0)</f>
        <v>Đang làm việc</v>
      </c>
      <c r="W817" s="10">
        <f>VLOOKUP(A817,Data_NV!$A:$I,8,0)</f>
        <v>0.33333333333333331</v>
      </c>
      <c r="X817" s="10">
        <f>VLOOKUP(A817,Data_NV!$A:$I,9,0)</f>
        <v>0.70833333333333337</v>
      </c>
      <c r="Y817" s="10">
        <f>IFERROR(TIMEVALUE(Table2[[#This Row],[Vào]]),0)</f>
        <v>0.32753472222222224</v>
      </c>
      <c r="Z817" s="10">
        <f>IFERROR(TIMEVALUE(Table2[[#This Row],[Ra]]),0)</f>
        <v>0.76462962962962966</v>
      </c>
      <c r="AA817" t="str">
        <f t="shared" si="49"/>
        <v>x</v>
      </c>
      <c r="AB817" s="105">
        <f t="shared" si="50"/>
        <v>0</v>
      </c>
      <c r="AC817" s="12" t="str">
        <f>IF(VLOOKUP(A817,Data_NV!$A:$I,7,0)="Không","",IF(OR(AND(Y817=0,Z817=0),AND(Y817&lt;&gt;0,Z817&lt;&gt;0)),"","Quên chấm công"))</f>
        <v/>
      </c>
      <c r="AD817" s="12">
        <f>IF(VLOOKUP(A817,Data_NV!$A:$I,7,0)="Không",0,IF(AND(Y817=0,Z817=0),0,IF(X817&lt;=Z817,0,ROUNDDOWN((X817-Z817)*24*60,0))))</f>
        <v>0</v>
      </c>
      <c r="AE817" s="12">
        <f>IF(VLOOKUP(A817,Data_NV!$A:$I,6,0)="Không",0,IF(Z817&lt;=X817,0,ROUNDDOWN((Z817-X817)*24*60,0)))</f>
        <v>81</v>
      </c>
      <c r="AF817" s="26">
        <f t="shared" si="51"/>
        <v>0</v>
      </c>
      <c r="AG817" s="27" t="str">
        <f>IF(AC817="","",IF(COUNTIFS($AC$3:AC817,"Quên chấm công",$S$3:S817,S817)&gt;3,"Không chấm công do vi phạm quá 3 lần",IF(COUNTIFS($AC$3:AC817,"Quên chấm công",$S$3:S817,S817)&gt;2,"Trừ toàn bộ chuyên cần tháng do vi phạm lần 3",IF(COUNTIFS($AC$3:AC817,"Quên chấm công",$S$3:S817,S817)&gt;1,"Trừ 1/2 ngày lương",50000))))</f>
        <v/>
      </c>
      <c r="AH817" s="12" t="str">
        <f>IF(AF817=0,"",IF(COUNTIFS($AF$3:AF817,"&gt;0",$S$3:S817,S817)&gt;3,"Trừ toàn bộ chuyên cần tháng",""))</f>
        <v/>
      </c>
      <c r="AI817" s="12"/>
    </row>
    <row r="818" spans="1:35" x14ac:dyDescent="0.25">
      <c r="A818" s="4" t="s">
        <v>1190</v>
      </c>
      <c r="B818" s="1" t="s">
        <v>806</v>
      </c>
      <c r="C818" s="1" t="s">
        <v>20</v>
      </c>
      <c r="D818" s="1" t="s">
        <v>42</v>
      </c>
      <c r="E818" s="1" t="s">
        <v>22</v>
      </c>
      <c r="F818" s="1" t="s">
        <v>23</v>
      </c>
      <c r="G818" s="1" t="s">
        <v>12</v>
      </c>
      <c r="H818" s="1" t="s">
        <v>24</v>
      </c>
      <c r="I818" s="1" t="s">
        <v>1197</v>
      </c>
      <c r="J818" s="1" t="s">
        <v>25</v>
      </c>
      <c r="K818" s="1" t="s">
        <v>25</v>
      </c>
      <c r="L818" s="1" t="s">
        <v>26</v>
      </c>
      <c r="M818" s="1" t="s">
        <v>25</v>
      </c>
      <c r="N818" s="1" t="s">
        <v>25</v>
      </c>
      <c r="O818" s="1" t="s">
        <v>25</v>
      </c>
      <c r="P818" s="1" t="s">
        <v>25</v>
      </c>
      <c r="Q818" s="1" t="s">
        <v>25</v>
      </c>
      <c r="R818" s="85" t="str">
        <f t="shared" si="48"/>
        <v>945906</v>
      </c>
      <c r="S818" t="str">
        <f>VLOOKUP(A818,Data_NV!$A:$C,3,0)</f>
        <v>Hoàng Thị Hoài Nhi</v>
      </c>
      <c r="T818" t="str">
        <f>VLOOKUP(A818,Data_NV!$A:$E,4,0)</f>
        <v>Kế toán - Văn phòng</v>
      </c>
      <c r="U818" s="82">
        <f>DATEVALUE(Table2[[#This Row],[Ngày]])</f>
        <v>45906</v>
      </c>
      <c r="V818" t="str">
        <f>VLOOKUP(A818,Data_NV!$A:$E,5,0)</f>
        <v>Đang làm việc</v>
      </c>
      <c r="W818" s="10">
        <f>VLOOKUP(A818,Data_NV!$A:$I,8,0)</f>
        <v>0.33333333333333331</v>
      </c>
      <c r="X818" s="10">
        <f>VLOOKUP(A818,Data_NV!$A:$I,9,0)</f>
        <v>0.70833333333333337</v>
      </c>
      <c r="Y818" s="10">
        <f>IFERROR(TIMEVALUE(Table2[[#This Row],[Vào]]),0)</f>
        <v>0</v>
      </c>
      <c r="Z818" s="10">
        <f>IFERROR(TIMEVALUE(Table2[[#This Row],[Ra]]),0)</f>
        <v>0.77824074074074079</v>
      </c>
      <c r="AA818" t="str">
        <f t="shared" si="49"/>
        <v>x</v>
      </c>
      <c r="AB818" s="105">
        <f t="shared" si="50"/>
        <v>0</v>
      </c>
      <c r="AD818" s="12">
        <f>IF(VLOOKUP(A818,Data_NV!$A:$I,7,0)="Không",0,IF(AND(Y818=0,Z818=0),0,IF(X818&lt;=Z818,0,ROUNDDOWN((X818-Z818)*24*60,0))))</f>
        <v>0</v>
      </c>
      <c r="AE818" s="12">
        <f>IF(VLOOKUP(A818,Data_NV!$A:$I,6,0)="Không",0,IF(Z818&lt;=X818,0,ROUNDDOWN((Z818-X818)*24*60,0)))</f>
        <v>100</v>
      </c>
      <c r="AF818" s="26">
        <f t="shared" si="51"/>
        <v>0</v>
      </c>
      <c r="AG818" s="27" t="str">
        <f>IF(AC818="","",IF(COUNTIFS($AC$3:AC818,"Quên chấm công",$S$3:S818,S818)&gt;3,"Không chấm công do vi phạm quá 3 lần",IF(COUNTIFS($AC$3:AC818,"Quên chấm công",$S$3:S818,S818)&gt;2,"Trừ toàn bộ chuyên cần tháng do vi phạm lần 3",IF(COUNTIFS($AC$3:AC818,"Quên chấm công",$S$3:S818,S818)&gt;1,"Trừ 1/2 ngày lương",50000))))</f>
        <v/>
      </c>
      <c r="AH818" s="12" t="str">
        <f>IF(AF818=0,"",IF(COUNTIFS($AF$3:AF818,"&gt;0",$S$3:S818,S818)&gt;3,"Trừ toàn bộ chuyên cần tháng",""))</f>
        <v/>
      </c>
      <c r="AI818" s="12" t="s">
        <v>1409</v>
      </c>
    </row>
    <row r="819" spans="1:35" x14ac:dyDescent="0.25">
      <c r="A819" s="4" t="s">
        <v>1190</v>
      </c>
      <c r="B819" s="1" t="s">
        <v>806</v>
      </c>
      <c r="C819" s="1" t="s">
        <v>20</v>
      </c>
      <c r="D819" s="1" t="s">
        <v>47</v>
      </c>
      <c r="E819" s="1" t="s">
        <v>22</v>
      </c>
      <c r="F819" s="1" t="s">
        <v>23</v>
      </c>
      <c r="G819" s="1" t="s">
        <v>12</v>
      </c>
      <c r="H819" s="1" t="s">
        <v>24</v>
      </c>
      <c r="I819" s="1" t="s">
        <v>24</v>
      </c>
      <c r="J819" s="1" t="s">
        <v>25</v>
      </c>
      <c r="K819" s="1" t="s">
        <v>25</v>
      </c>
      <c r="L819" s="1" t="s">
        <v>26</v>
      </c>
      <c r="M819" s="1" t="s">
        <v>25</v>
      </c>
      <c r="N819" s="1" t="s">
        <v>25</v>
      </c>
      <c r="O819" s="1" t="s">
        <v>25</v>
      </c>
      <c r="P819" s="1" t="s">
        <v>25</v>
      </c>
      <c r="Q819" s="1" t="s">
        <v>25</v>
      </c>
      <c r="R819" s="85" t="str">
        <f t="shared" si="48"/>
        <v>945907</v>
      </c>
      <c r="S819" t="str">
        <f>VLOOKUP(A819,Data_NV!$A:$C,3,0)</f>
        <v>Hoàng Thị Hoài Nhi</v>
      </c>
      <c r="T819" t="str">
        <f>VLOOKUP(A819,Data_NV!$A:$E,4,0)</f>
        <v>Kế toán - Văn phòng</v>
      </c>
      <c r="U819" s="82">
        <f>DATEVALUE(Table2[[#This Row],[Ngày]])</f>
        <v>45907</v>
      </c>
      <c r="V819" t="str">
        <f>VLOOKUP(A819,Data_NV!$A:$E,5,0)</f>
        <v>Đang làm việc</v>
      </c>
      <c r="W819" s="10">
        <f>VLOOKUP(A819,Data_NV!$A:$I,8,0)</f>
        <v>0.33333333333333331</v>
      </c>
      <c r="X819" s="10">
        <f>VLOOKUP(A819,Data_NV!$A:$I,9,0)</f>
        <v>0.70833333333333337</v>
      </c>
      <c r="Y819" s="10">
        <f>IFERROR(TIMEVALUE(Table2[[#This Row],[Vào]]),0)</f>
        <v>0</v>
      </c>
      <c r="Z819" s="10">
        <f>IFERROR(TIMEVALUE(Table2[[#This Row],[Ra]]),0)</f>
        <v>0</v>
      </c>
      <c r="AA819" t="str">
        <f t="shared" si="49"/>
        <v>Chủ nhật</v>
      </c>
      <c r="AB819" s="105">
        <f t="shared" si="50"/>
        <v>0</v>
      </c>
      <c r="AC819" s="12" t="str">
        <f>IF(VLOOKUP(A819,Data_NV!$A:$I,7,0)="Không","",IF(OR(AND(Y819=0,Z819=0),AND(Y819&lt;&gt;0,Z819&lt;&gt;0)),"","Quên chấm công"))</f>
        <v/>
      </c>
      <c r="AD819" s="12">
        <f>IF(VLOOKUP(A819,Data_NV!$A:$I,7,0)="Không",0,IF(AND(Y819=0,Z819=0),0,IF(X819&lt;=Z819,0,ROUNDDOWN((X819-Z819)*24*60,0))))</f>
        <v>0</v>
      </c>
      <c r="AE819" s="12">
        <f>IF(VLOOKUP(A819,Data_NV!$A:$I,6,0)="Không",0,IF(Z819&lt;=X819,0,ROUNDDOWN((Z819-X819)*24*60,0)))</f>
        <v>0</v>
      </c>
      <c r="AF819" s="26">
        <f t="shared" si="51"/>
        <v>0</v>
      </c>
      <c r="AG819" s="27" t="str">
        <f>IF(AC819="","",IF(COUNTIFS($AC$3:AC819,"Quên chấm công",$S$3:S819,S819)&gt;3,"Không chấm công do vi phạm quá 3 lần",IF(COUNTIFS($AC$3:AC819,"Quên chấm công",$S$3:S819,S819)&gt;2,"Trừ toàn bộ chuyên cần tháng do vi phạm lần 3",IF(COUNTIFS($AC$3:AC819,"Quên chấm công",$S$3:S819,S819)&gt;1,"Trừ 1/2 ngày lương",50000))))</f>
        <v/>
      </c>
      <c r="AH819" s="12" t="str">
        <f>IF(AF819=0,"",IF(COUNTIFS($AF$3:AF819,"&gt;0",$S$3:S819,S819)&gt;3,"Trừ toàn bộ chuyên cần tháng",""))</f>
        <v/>
      </c>
      <c r="AI819" s="12"/>
    </row>
    <row r="820" spans="1:35" x14ac:dyDescent="0.25">
      <c r="A820" s="4" t="s">
        <v>1190</v>
      </c>
      <c r="B820" s="1" t="s">
        <v>806</v>
      </c>
      <c r="C820" s="1" t="s">
        <v>20</v>
      </c>
      <c r="D820" s="1" t="s">
        <v>48</v>
      </c>
      <c r="E820" s="1" t="s">
        <v>22</v>
      </c>
      <c r="F820" s="1" t="s">
        <v>23</v>
      </c>
      <c r="G820" s="1" t="s">
        <v>29</v>
      </c>
      <c r="H820" s="1" t="s">
        <v>1198</v>
      </c>
      <c r="I820" s="1" t="s">
        <v>1199</v>
      </c>
      <c r="J820" s="1" t="s">
        <v>25</v>
      </c>
      <c r="K820" s="1" t="s">
        <v>119</v>
      </c>
      <c r="L820" s="1" t="s">
        <v>25</v>
      </c>
      <c r="M820" s="1" t="s">
        <v>26</v>
      </c>
      <c r="N820" s="1" t="s">
        <v>25</v>
      </c>
      <c r="O820" s="1" t="s">
        <v>120</v>
      </c>
      <c r="P820" s="1" t="s">
        <v>25</v>
      </c>
      <c r="Q820" s="1" t="s">
        <v>25</v>
      </c>
      <c r="R820" s="85" t="str">
        <f t="shared" si="48"/>
        <v>945908</v>
      </c>
      <c r="S820" t="str">
        <f>VLOOKUP(A820,Data_NV!$A:$C,3,0)</f>
        <v>Hoàng Thị Hoài Nhi</v>
      </c>
      <c r="T820" t="str">
        <f>VLOOKUP(A820,Data_NV!$A:$E,4,0)</f>
        <v>Kế toán - Văn phòng</v>
      </c>
      <c r="U820" s="82">
        <f>DATEVALUE(Table2[[#This Row],[Ngày]])</f>
        <v>45908</v>
      </c>
      <c r="V820" t="str">
        <f>VLOOKUP(A820,Data_NV!$A:$E,5,0)</f>
        <v>Đang làm việc</v>
      </c>
      <c r="W820" s="10">
        <f>VLOOKUP(A820,Data_NV!$A:$I,8,0)</f>
        <v>0.33333333333333331</v>
      </c>
      <c r="X820" s="10">
        <f>VLOOKUP(A820,Data_NV!$A:$I,9,0)</f>
        <v>0.70833333333333337</v>
      </c>
      <c r="Y820" s="10">
        <f>IFERROR(TIMEVALUE(Table2[[#This Row],[Vào]]),0)</f>
        <v>0.32745370370370369</v>
      </c>
      <c r="Z820" s="10">
        <f>IFERROR(TIMEVALUE(Table2[[#This Row],[Ra]]),0)</f>
        <v>0.75614583333333329</v>
      </c>
      <c r="AA820" t="str">
        <f t="shared" si="49"/>
        <v>x</v>
      </c>
      <c r="AB820" s="105">
        <f t="shared" si="50"/>
        <v>0</v>
      </c>
      <c r="AC820" s="12" t="str">
        <f>IF(VLOOKUP(A820,Data_NV!$A:$I,7,0)="Không","",IF(OR(AND(Y820=0,Z820=0),AND(Y820&lt;&gt;0,Z820&lt;&gt;0)),"","Quên chấm công"))</f>
        <v/>
      </c>
      <c r="AD820" s="12">
        <f>IF(VLOOKUP(A820,Data_NV!$A:$I,7,0)="Không",0,IF(AND(Y820=0,Z820=0),0,IF(X820&lt;=Z820,0,ROUNDDOWN((X820-Z820)*24*60,0))))</f>
        <v>0</v>
      </c>
      <c r="AE820" s="12">
        <f>IF(VLOOKUP(A820,Data_NV!$A:$I,6,0)="Không",0,IF(Z820&lt;=X820,0,ROUNDDOWN((Z820-X820)*24*60,0)))</f>
        <v>68</v>
      </c>
      <c r="AF820" s="26">
        <f t="shared" si="51"/>
        <v>0</v>
      </c>
      <c r="AG820" s="27" t="str">
        <f>IF(AC820="","",IF(COUNTIFS($AC$3:AC820,"Quên chấm công",$S$3:S820,S820)&gt;3,"Không chấm công do vi phạm quá 3 lần",IF(COUNTIFS($AC$3:AC820,"Quên chấm công",$S$3:S820,S820)&gt;2,"Trừ toàn bộ chuyên cần tháng do vi phạm lần 3",IF(COUNTIFS($AC$3:AC820,"Quên chấm công",$S$3:S820,S820)&gt;1,"Trừ 1/2 ngày lương",50000))))</f>
        <v/>
      </c>
      <c r="AH820" s="12" t="str">
        <f>IF(AF820=0,"",IF(COUNTIFS($AF$3:AF820,"&gt;0",$S$3:S820,S820)&gt;3,"Trừ toàn bộ chuyên cần tháng",""))</f>
        <v/>
      </c>
      <c r="AI820" s="12"/>
    </row>
    <row r="821" spans="1:35" x14ac:dyDescent="0.25">
      <c r="A821" s="4" t="s">
        <v>1190</v>
      </c>
      <c r="B821" s="1" t="s">
        <v>806</v>
      </c>
      <c r="C821" s="1" t="s">
        <v>20</v>
      </c>
      <c r="D821" s="1" t="s">
        <v>53</v>
      </c>
      <c r="E821" s="1" t="s">
        <v>22</v>
      </c>
      <c r="F821" s="1" t="s">
        <v>23</v>
      </c>
      <c r="G821" s="1" t="s">
        <v>29</v>
      </c>
      <c r="H821" s="1" t="s">
        <v>1200</v>
      </c>
      <c r="I821" s="1" t="s">
        <v>1201</v>
      </c>
      <c r="J821" s="1" t="s">
        <v>25</v>
      </c>
      <c r="K821" s="1" t="s">
        <v>1202</v>
      </c>
      <c r="L821" s="1" t="s">
        <v>25</v>
      </c>
      <c r="M821" s="1" t="s">
        <v>26</v>
      </c>
      <c r="N821" s="1" t="s">
        <v>25</v>
      </c>
      <c r="O821" s="1" t="s">
        <v>1203</v>
      </c>
      <c r="P821" s="1" t="s">
        <v>25</v>
      </c>
      <c r="Q821" s="1" t="s">
        <v>25</v>
      </c>
      <c r="R821" s="85" t="str">
        <f t="shared" si="48"/>
        <v>945909</v>
      </c>
      <c r="S821" t="str">
        <f>VLOOKUP(A821,Data_NV!$A:$C,3,0)</f>
        <v>Hoàng Thị Hoài Nhi</v>
      </c>
      <c r="T821" t="str">
        <f>VLOOKUP(A821,Data_NV!$A:$E,4,0)</f>
        <v>Kế toán - Văn phòng</v>
      </c>
      <c r="U821" s="82">
        <f>DATEVALUE(Table2[[#This Row],[Ngày]])</f>
        <v>45909</v>
      </c>
      <c r="V821" t="str">
        <f>VLOOKUP(A821,Data_NV!$A:$E,5,0)</f>
        <v>Đang làm việc</v>
      </c>
      <c r="W821" s="10">
        <f>VLOOKUP(A821,Data_NV!$A:$I,8,0)</f>
        <v>0.33333333333333331</v>
      </c>
      <c r="X821" s="10">
        <f>VLOOKUP(A821,Data_NV!$A:$I,9,0)</f>
        <v>0.70833333333333337</v>
      </c>
      <c r="Y821" s="10">
        <f>IFERROR(TIMEVALUE(Table2[[#This Row],[Vào]]),0)</f>
        <v>0.32752314814814815</v>
      </c>
      <c r="Z821" s="10">
        <f>IFERROR(TIMEVALUE(Table2[[#This Row],[Ra]]),0)</f>
        <v>0.77498842592592587</v>
      </c>
      <c r="AA821" t="str">
        <f t="shared" si="49"/>
        <v>x</v>
      </c>
      <c r="AB821" s="105">
        <f t="shared" si="50"/>
        <v>0</v>
      </c>
      <c r="AC821" s="12" t="str">
        <f>IF(VLOOKUP(A821,Data_NV!$A:$I,7,0)="Không","",IF(OR(AND(Y821=0,Z821=0),AND(Y821&lt;&gt;0,Z821&lt;&gt;0)),"","Quên chấm công"))</f>
        <v/>
      </c>
      <c r="AD821" s="12">
        <f>IF(VLOOKUP(A821,Data_NV!$A:$I,7,0)="Không",0,IF(AND(Y821=0,Z821=0),0,IF(X821&lt;=Z821,0,ROUNDDOWN((X821-Z821)*24*60,0))))</f>
        <v>0</v>
      </c>
      <c r="AE821" s="12">
        <f>IF(VLOOKUP(A821,Data_NV!$A:$I,6,0)="Không",0,IF(Z821&lt;=X821,0,ROUNDDOWN((Z821-X821)*24*60,0)))</f>
        <v>95</v>
      </c>
      <c r="AF821" s="26">
        <f t="shared" si="51"/>
        <v>0</v>
      </c>
      <c r="AG821" s="27" t="str">
        <f>IF(AC821="","",IF(COUNTIFS($AC$3:AC821,"Quên chấm công",$S$3:S821,S821)&gt;3,"Không chấm công do vi phạm quá 3 lần",IF(COUNTIFS($AC$3:AC821,"Quên chấm công",$S$3:S821,S821)&gt;2,"Trừ toàn bộ chuyên cần tháng do vi phạm lần 3",IF(COUNTIFS($AC$3:AC821,"Quên chấm công",$S$3:S821,S821)&gt;1,"Trừ 1/2 ngày lương",50000))))</f>
        <v/>
      </c>
      <c r="AH821" s="12" t="str">
        <f>IF(AF821=0,"",IF(COUNTIFS($AF$3:AF821,"&gt;0",$S$3:S821,S821)&gt;3,"Trừ toàn bộ chuyên cần tháng",""))</f>
        <v/>
      </c>
      <c r="AI821" s="12"/>
    </row>
    <row r="822" spans="1:35" x14ac:dyDescent="0.25">
      <c r="A822" s="4" t="s">
        <v>1190</v>
      </c>
      <c r="B822" s="1" t="s">
        <v>806</v>
      </c>
      <c r="C822" s="1" t="s">
        <v>20</v>
      </c>
      <c r="D822" s="1" t="s">
        <v>58</v>
      </c>
      <c r="E822" s="1" t="s">
        <v>22</v>
      </c>
      <c r="F822" s="1" t="s">
        <v>23</v>
      </c>
      <c r="G822" s="1" t="s">
        <v>29</v>
      </c>
      <c r="H822" s="1" t="s">
        <v>1204</v>
      </c>
      <c r="I822" s="1" t="s">
        <v>1205</v>
      </c>
      <c r="J822" s="1" t="s">
        <v>25</v>
      </c>
      <c r="K822" s="1" t="s">
        <v>372</v>
      </c>
      <c r="L822" s="1" t="s">
        <v>25</v>
      </c>
      <c r="M822" s="1" t="s">
        <v>26</v>
      </c>
      <c r="N822" s="1" t="s">
        <v>25</v>
      </c>
      <c r="O822" s="1" t="s">
        <v>373</v>
      </c>
      <c r="P822" s="1" t="s">
        <v>25</v>
      </c>
      <c r="Q822" s="1" t="s">
        <v>25</v>
      </c>
      <c r="R822" s="85" t="str">
        <f t="shared" si="48"/>
        <v>945910</v>
      </c>
      <c r="S822" t="str">
        <f>VLOOKUP(A822,Data_NV!$A:$C,3,0)</f>
        <v>Hoàng Thị Hoài Nhi</v>
      </c>
      <c r="T822" t="str">
        <f>VLOOKUP(A822,Data_NV!$A:$E,4,0)</f>
        <v>Kế toán - Văn phòng</v>
      </c>
      <c r="U822" s="82">
        <f>DATEVALUE(Table2[[#This Row],[Ngày]])</f>
        <v>45910</v>
      </c>
      <c r="V822" t="str">
        <f>VLOOKUP(A822,Data_NV!$A:$E,5,0)</f>
        <v>Đang làm việc</v>
      </c>
      <c r="W822" s="10">
        <f>VLOOKUP(A822,Data_NV!$A:$I,8,0)</f>
        <v>0.33333333333333331</v>
      </c>
      <c r="X822" s="10">
        <f>VLOOKUP(A822,Data_NV!$A:$I,9,0)</f>
        <v>0.70833333333333337</v>
      </c>
      <c r="Y822" s="10">
        <f>IFERROR(TIMEVALUE(Table2[[#This Row],[Vào]]),0)</f>
        <v>0.32874999999999999</v>
      </c>
      <c r="Z822" s="10">
        <f>IFERROR(TIMEVALUE(Table2[[#This Row],[Ra]]),0)</f>
        <v>0.78258101851851847</v>
      </c>
      <c r="AA822" t="str">
        <f t="shared" si="49"/>
        <v>x</v>
      </c>
      <c r="AB822" s="105">
        <f t="shared" si="50"/>
        <v>0</v>
      </c>
      <c r="AC822" s="12" t="str">
        <f>IF(VLOOKUP(A822,Data_NV!$A:$I,7,0)="Không","",IF(OR(AND(Y822=0,Z822=0),AND(Y822&lt;&gt;0,Z822&lt;&gt;0)),"","Quên chấm công"))</f>
        <v/>
      </c>
      <c r="AD822" s="12">
        <f>IF(VLOOKUP(A822,Data_NV!$A:$I,7,0)="Không",0,IF(AND(Y822=0,Z822=0),0,IF(X822&lt;=Z822,0,ROUNDDOWN((X822-Z822)*24*60,0))))</f>
        <v>0</v>
      </c>
      <c r="AE822" s="12">
        <f>IF(VLOOKUP(A822,Data_NV!$A:$I,6,0)="Không",0,IF(Z822&lt;=X822,0,ROUNDDOWN((Z822-X822)*24*60,0)))</f>
        <v>106</v>
      </c>
      <c r="AF822" s="26">
        <f t="shared" si="51"/>
        <v>0</v>
      </c>
      <c r="AG822" s="27" t="str">
        <f>IF(AC822="","",IF(COUNTIFS($AC$3:AC822,"Quên chấm công",$S$3:S822,S822)&gt;3,"Không chấm công do vi phạm quá 3 lần",IF(COUNTIFS($AC$3:AC822,"Quên chấm công",$S$3:S822,S822)&gt;2,"Trừ toàn bộ chuyên cần tháng do vi phạm lần 3",IF(COUNTIFS($AC$3:AC822,"Quên chấm công",$S$3:S822,S822)&gt;1,"Trừ 1/2 ngày lương",50000))))</f>
        <v/>
      </c>
      <c r="AH822" s="12" t="str">
        <f>IF(AF822=0,"",IF(COUNTIFS($AF$3:AF822,"&gt;0",$S$3:S822,S822)&gt;3,"Trừ toàn bộ chuyên cần tháng",""))</f>
        <v/>
      </c>
      <c r="AI822" s="12"/>
    </row>
    <row r="823" spans="1:35" x14ac:dyDescent="0.25">
      <c r="A823" s="4" t="s">
        <v>1190</v>
      </c>
      <c r="B823" s="1" t="s">
        <v>806</v>
      </c>
      <c r="C823" s="1" t="s">
        <v>20</v>
      </c>
      <c r="D823" s="1" t="s">
        <v>63</v>
      </c>
      <c r="E823" s="1" t="s">
        <v>22</v>
      </c>
      <c r="F823" s="1" t="s">
        <v>23</v>
      </c>
      <c r="G823" s="1" t="s">
        <v>29</v>
      </c>
      <c r="H823" s="1" t="s">
        <v>882</v>
      </c>
      <c r="I823" s="1" t="s">
        <v>1206</v>
      </c>
      <c r="J823" s="1" t="s">
        <v>25</v>
      </c>
      <c r="K823" s="1" t="s">
        <v>845</v>
      </c>
      <c r="L823" s="1" t="s">
        <v>25</v>
      </c>
      <c r="M823" s="1" t="s">
        <v>26</v>
      </c>
      <c r="N823" s="1" t="s">
        <v>25</v>
      </c>
      <c r="O823" s="1" t="s">
        <v>846</v>
      </c>
      <c r="P823" s="1" t="s">
        <v>25</v>
      </c>
      <c r="Q823" s="1" t="s">
        <v>25</v>
      </c>
      <c r="R823" s="85" t="str">
        <f t="shared" si="48"/>
        <v>945911</v>
      </c>
      <c r="S823" t="str">
        <f>VLOOKUP(A823,Data_NV!$A:$C,3,0)</f>
        <v>Hoàng Thị Hoài Nhi</v>
      </c>
      <c r="T823" t="str">
        <f>VLOOKUP(A823,Data_NV!$A:$E,4,0)</f>
        <v>Kế toán - Văn phòng</v>
      </c>
      <c r="U823" s="82">
        <f>DATEVALUE(Table2[[#This Row],[Ngày]])</f>
        <v>45911</v>
      </c>
      <c r="V823" t="str">
        <f>VLOOKUP(A823,Data_NV!$A:$E,5,0)</f>
        <v>Đang làm việc</v>
      </c>
      <c r="W823" s="10">
        <f>VLOOKUP(A823,Data_NV!$A:$I,8,0)</f>
        <v>0.33333333333333331</v>
      </c>
      <c r="X823" s="10">
        <f>VLOOKUP(A823,Data_NV!$A:$I,9,0)</f>
        <v>0.70833333333333337</v>
      </c>
      <c r="Y823" s="10">
        <f>IFERROR(TIMEVALUE(Table2[[#This Row],[Vào]]),0)</f>
        <v>0.32853009259259258</v>
      </c>
      <c r="Z823" s="10">
        <f>IFERROR(TIMEVALUE(Table2[[#This Row],[Ra]]),0)</f>
        <v>0.78402777777777777</v>
      </c>
      <c r="AA823" t="str">
        <f t="shared" si="49"/>
        <v>x</v>
      </c>
      <c r="AB823" s="105">
        <f t="shared" si="50"/>
        <v>0</v>
      </c>
      <c r="AC823" s="12" t="str">
        <f>IF(VLOOKUP(A823,Data_NV!$A:$I,7,0)="Không","",IF(OR(AND(Y823=0,Z823=0),AND(Y823&lt;&gt;0,Z823&lt;&gt;0)),"","Quên chấm công"))</f>
        <v/>
      </c>
      <c r="AD823" s="12">
        <f>IF(VLOOKUP(A823,Data_NV!$A:$I,7,0)="Không",0,IF(AND(Y823=0,Z823=0),0,IF(X823&lt;=Z823,0,ROUNDDOWN((X823-Z823)*24*60,0))))</f>
        <v>0</v>
      </c>
      <c r="AE823" s="12">
        <f>IF(VLOOKUP(A823,Data_NV!$A:$I,6,0)="Không",0,IF(Z823&lt;=X823,0,ROUNDDOWN((Z823-X823)*24*60,0)))</f>
        <v>109</v>
      </c>
      <c r="AF823" s="26">
        <f t="shared" si="51"/>
        <v>0</v>
      </c>
      <c r="AG823" s="27" t="str">
        <f>IF(AC823="","",IF(COUNTIFS($AC$3:AC823,"Quên chấm công",$S$3:S823,S823)&gt;3,"Không chấm công do vi phạm quá 3 lần",IF(COUNTIFS($AC$3:AC823,"Quên chấm công",$S$3:S823,S823)&gt;2,"Trừ toàn bộ chuyên cần tháng do vi phạm lần 3",IF(COUNTIFS($AC$3:AC823,"Quên chấm công",$S$3:S823,S823)&gt;1,"Trừ 1/2 ngày lương",50000))))</f>
        <v/>
      </c>
      <c r="AH823" s="12" t="str">
        <f>IF(AF823=0,"",IF(COUNTIFS($AF$3:AF823,"&gt;0",$S$3:S823,S823)&gt;3,"Trừ toàn bộ chuyên cần tháng",""))</f>
        <v/>
      </c>
      <c r="AI823" s="12"/>
    </row>
    <row r="824" spans="1:35" x14ac:dyDescent="0.25">
      <c r="A824" s="4" t="s">
        <v>1190</v>
      </c>
      <c r="B824" s="1" t="s">
        <v>806</v>
      </c>
      <c r="C824" s="1" t="s">
        <v>20</v>
      </c>
      <c r="D824" s="1" t="s">
        <v>67</v>
      </c>
      <c r="E824" s="1" t="s">
        <v>22</v>
      </c>
      <c r="F824" s="1" t="s">
        <v>23</v>
      </c>
      <c r="G824" s="1" t="s">
        <v>29</v>
      </c>
      <c r="H824" s="1" t="s">
        <v>1207</v>
      </c>
      <c r="I824" s="1" t="s">
        <v>1208</v>
      </c>
      <c r="J824" s="1" t="s">
        <v>25</v>
      </c>
      <c r="K824" s="1" t="s">
        <v>491</v>
      </c>
      <c r="L824" s="1" t="s">
        <v>25</v>
      </c>
      <c r="M824" s="1" t="s">
        <v>26</v>
      </c>
      <c r="N824" s="1" t="s">
        <v>25</v>
      </c>
      <c r="O824" s="1" t="s">
        <v>492</v>
      </c>
      <c r="P824" s="1" t="s">
        <v>25</v>
      </c>
      <c r="Q824" s="1" t="s">
        <v>25</v>
      </c>
      <c r="R824" s="85" t="str">
        <f t="shared" si="48"/>
        <v>945912</v>
      </c>
      <c r="S824" t="str">
        <f>VLOOKUP(A824,Data_NV!$A:$C,3,0)</f>
        <v>Hoàng Thị Hoài Nhi</v>
      </c>
      <c r="T824" t="str">
        <f>VLOOKUP(A824,Data_NV!$A:$E,4,0)</f>
        <v>Kế toán - Văn phòng</v>
      </c>
      <c r="U824" s="82">
        <f>DATEVALUE(Table2[[#This Row],[Ngày]])</f>
        <v>45912</v>
      </c>
      <c r="V824" t="str">
        <f>VLOOKUP(A824,Data_NV!$A:$E,5,0)</f>
        <v>Đang làm việc</v>
      </c>
      <c r="W824" s="10">
        <f>VLOOKUP(A824,Data_NV!$A:$I,8,0)</f>
        <v>0.33333333333333331</v>
      </c>
      <c r="X824" s="10">
        <f>VLOOKUP(A824,Data_NV!$A:$I,9,0)</f>
        <v>0.70833333333333337</v>
      </c>
      <c r="Y824" s="10">
        <f>IFERROR(TIMEVALUE(Table2[[#This Row],[Vào]]),0)</f>
        <v>0.31040509259259258</v>
      </c>
      <c r="Z824" s="10">
        <f>IFERROR(TIMEVALUE(Table2[[#This Row],[Ra]]),0)</f>
        <v>0.76748842592592592</v>
      </c>
      <c r="AA824" t="str">
        <f t="shared" si="49"/>
        <v>x</v>
      </c>
      <c r="AB824" s="105">
        <f t="shared" si="50"/>
        <v>0</v>
      </c>
      <c r="AC824" s="12" t="str">
        <f>IF(VLOOKUP(A824,Data_NV!$A:$I,7,0)="Không","",IF(OR(AND(Y824=0,Z824=0),AND(Y824&lt;&gt;0,Z824&lt;&gt;0)),"","Quên chấm công"))</f>
        <v/>
      </c>
      <c r="AD824" s="12">
        <f>IF(VLOOKUP(A824,Data_NV!$A:$I,7,0)="Không",0,IF(AND(Y824=0,Z824=0),0,IF(X824&lt;=Z824,0,ROUNDDOWN((X824-Z824)*24*60,0))))</f>
        <v>0</v>
      </c>
      <c r="AE824" s="12">
        <f>IF(VLOOKUP(A824,Data_NV!$A:$I,6,0)="Không",0,IF(Z824&lt;=X824,0,ROUNDDOWN((Z824-X824)*24*60,0)))</f>
        <v>85</v>
      </c>
      <c r="AF824" s="26">
        <f t="shared" si="51"/>
        <v>0</v>
      </c>
      <c r="AG824" s="27" t="str">
        <f>IF(AC824="","",IF(COUNTIFS($AC$3:AC824,"Quên chấm công",$S$3:S824,S824)&gt;3,"Không chấm công do vi phạm quá 3 lần",IF(COUNTIFS($AC$3:AC824,"Quên chấm công",$S$3:S824,S824)&gt;2,"Trừ toàn bộ chuyên cần tháng do vi phạm lần 3",IF(COUNTIFS($AC$3:AC824,"Quên chấm công",$S$3:S824,S824)&gt;1,"Trừ 1/2 ngày lương",50000))))</f>
        <v/>
      </c>
      <c r="AH824" s="12" t="str">
        <f>IF(AF824=0,"",IF(COUNTIFS($AF$3:AF824,"&gt;0",$S$3:S824,S824)&gt;3,"Trừ toàn bộ chuyên cần tháng",""))</f>
        <v/>
      </c>
      <c r="AI824" s="12"/>
    </row>
    <row r="825" spans="1:35" x14ac:dyDescent="0.25">
      <c r="A825" s="4" t="s">
        <v>1190</v>
      </c>
      <c r="B825" s="1" t="s">
        <v>806</v>
      </c>
      <c r="C825" s="1" t="s">
        <v>20</v>
      </c>
      <c r="D825" s="1" t="s">
        <v>69</v>
      </c>
      <c r="E825" s="1" t="s">
        <v>22</v>
      </c>
      <c r="F825" s="1" t="s">
        <v>23</v>
      </c>
      <c r="G825" s="1" t="s">
        <v>29</v>
      </c>
      <c r="H825" s="1" t="s">
        <v>1209</v>
      </c>
      <c r="I825" s="1" t="s">
        <v>1210</v>
      </c>
      <c r="J825" s="1" t="s">
        <v>25</v>
      </c>
      <c r="K825" s="1" t="s">
        <v>1170</v>
      </c>
      <c r="L825" s="1" t="s">
        <v>25</v>
      </c>
      <c r="M825" s="1" t="s">
        <v>26</v>
      </c>
      <c r="N825" s="1" t="s">
        <v>25</v>
      </c>
      <c r="O825" s="1" t="s">
        <v>717</v>
      </c>
      <c r="P825" s="1" t="s">
        <v>25</v>
      </c>
      <c r="Q825" s="1" t="s">
        <v>25</v>
      </c>
      <c r="R825" s="85" t="str">
        <f t="shared" si="48"/>
        <v>945913</v>
      </c>
      <c r="S825" t="str">
        <f>VLOOKUP(A825,Data_NV!$A:$C,3,0)</f>
        <v>Hoàng Thị Hoài Nhi</v>
      </c>
      <c r="T825" t="str">
        <f>VLOOKUP(A825,Data_NV!$A:$E,4,0)</f>
        <v>Kế toán - Văn phòng</v>
      </c>
      <c r="U825" s="82">
        <f>DATEVALUE(Table2[[#This Row],[Ngày]])</f>
        <v>45913</v>
      </c>
      <c r="V825" t="str">
        <f>VLOOKUP(A825,Data_NV!$A:$E,5,0)</f>
        <v>Đang làm việc</v>
      </c>
      <c r="W825" s="10">
        <f>VLOOKUP(A825,Data_NV!$A:$I,8,0)</f>
        <v>0.33333333333333331</v>
      </c>
      <c r="X825" s="10">
        <f>VLOOKUP(A825,Data_NV!$A:$I,9,0)</f>
        <v>0.70833333333333337</v>
      </c>
      <c r="Y825" s="10">
        <f>IFERROR(TIMEVALUE(Table2[[#This Row],[Vào]]),0)</f>
        <v>0.32743055555555556</v>
      </c>
      <c r="Z825" s="10">
        <f>IFERROR(TIMEVALUE(Table2[[#This Row],[Ra]]),0)</f>
        <v>0.75472222222222218</v>
      </c>
      <c r="AA825" t="str">
        <f t="shared" si="49"/>
        <v>x</v>
      </c>
      <c r="AB825" s="105">
        <f t="shared" si="50"/>
        <v>0</v>
      </c>
      <c r="AC825" s="12" t="str">
        <f>IF(VLOOKUP(A825,Data_NV!$A:$I,7,0)="Không","",IF(OR(AND(Y825=0,Z825=0),AND(Y825&lt;&gt;0,Z825&lt;&gt;0)),"","Quên chấm công"))</f>
        <v/>
      </c>
      <c r="AD825" s="12">
        <f>IF(VLOOKUP(A825,Data_NV!$A:$I,7,0)="Không",0,IF(AND(Y825=0,Z825=0),0,IF(X825&lt;=Z825,0,ROUNDDOWN((X825-Z825)*24*60,0))))</f>
        <v>0</v>
      </c>
      <c r="AE825" s="12">
        <f>IF(VLOOKUP(A825,Data_NV!$A:$I,6,0)="Không",0,IF(Z825&lt;=X825,0,ROUNDDOWN((Z825-X825)*24*60,0)))</f>
        <v>66</v>
      </c>
      <c r="AF825" s="26">
        <f t="shared" si="51"/>
        <v>0</v>
      </c>
      <c r="AG825" s="27" t="str">
        <f>IF(AC825="","",IF(COUNTIFS($AC$3:AC825,"Quên chấm công",$S$3:S825,S825)&gt;3,"Không chấm công do vi phạm quá 3 lần",IF(COUNTIFS($AC$3:AC825,"Quên chấm công",$S$3:S825,S825)&gt;2,"Trừ toàn bộ chuyên cần tháng do vi phạm lần 3",IF(COUNTIFS($AC$3:AC825,"Quên chấm công",$S$3:S825,S825)&gt;1,"Trừ 1/2 ngày lương",50000))))</f>
        <v/>
      </c>
      <c r="AH825" s="12" t="str">
        <f>IF(AF825=0,"",IF(COUNTIFS($AF$3:AF825,"&gt;0",$S$3:S825,S825)&gt;3,"Trừ toàn bộ chuyên cần tháng",""))</f>
        <v/>
      </c>
      <c r="AI825" s="12"/>
    </row>
    <row r="826" spans="1:35" x14ac:dyDescent="0.25">
      <c r="A826" s="4" t="s">
        <v>1190</v>
      </c>
      <c r="B826" s="1" t="s">
        <v>806</v>
      </c>
      <c r="C826" s="1" t="s">
        <v>20</v>
      </c>
      <c r="D826" s="1" t="s">
        <v>74</v>
      </c>
      <c r="E826" s="1" t="s">
        <v>22</v>
      </c>
      <c r="F826" s="1" t="s">
        <v>23</v>
      </c>
      <c r="G826" s="1" t="s">
        <v>12</v>
      </c>
      <c r="H826" s="1" t="s">
        <v>24</v>
      </c>
      <c r="I826" s="1" t="s">
        <v>24</v>
      </c>
      <c r="J826" s="1" t="s">
        <v>25</v>
      </c>
      <c r="K826" s="1" t="s">
        <v>25</v>
      </c>
      <c r="L826" s="1" t="s">
        <v>26</v>
      </c>
      <c r="M826" s="1" t="s">
        <v>25</v>
      </c>
      <c r="N826" s="1" t="s">
        <v>25</v>
      </c>
      <c r="O826" s="1" t="s">
        <v>25</v>
      </c>
      <c r="P826" s="1" t="s">
        <v>25</v>
      </c>
      <c r="Q826" s="1" t="s">
        <v>25</v>
      </c>
      <c r="R826" s="85" t="str">
        <f t="shared" si="48"/>
        <v>945914</v>
      </c>
      <c r="S826" t="str">
        <f>VLOOKUP(A826,Data_NV!$A:$C,3,0)</f>
        <v>Hoàng Thị Hoài Nhi</v>
      </c>
      <c r="T826" t="str">
        <f>VLOOKUP(A826,Data_NV!$A:$E,4,0)</f>
        <v>Kế toán - Văn phòng</v>
      </c>
      <c r="U826" s="82">
        <f>DATEVALUE(Table2[[#This Row],[Ngày]])</f>
        <v>45914</v>
      </c>
      <c r="V826" t="str">
        <f>VLOOKUP(A826,Data_NV!$A:$E,5,0)</f>
        <v>Đang làm việc</v>
      </c>
      <c r="W826" s="10">
        <f>VLOOKUP(A826,Data_NV!$A:$I,8,0)</f>
        <v>0.33333333333333331</v>
      </c>
      <c r="X826" s="10">
        <f>VLOOKUP(A826,Data_NV!$A:$I,9,0)</f>
        <v>0.70833333333333337</v>
      </c>
      <c r="Y826" s="10">
        <f>IFERROR(TIMEVALUE(Table2[[#This Row],[Vào]]),0)</f>
        <v>0</v>
      </c>
      <c r="Z826" s="10">
        <f>IFERROR(TIMEVALUE(Table2[[#This Row],[Ra]]),0)</f>
        <v>0</v>
      </c>
      <c r="AA826" t="str">
        <f t="shared" si="49"/>
        <v>Chủ nhật</v>
      </c>
      <c r="AB826" s="105">
        <f t="shared" si="50"/>
        <v>0</v>
      </c>
      <c r="AC826" s="12" t="str">
        <f>IF(VLOOKUP(A826,Data_NV!$A:$I,7,0)="Không","",IF(OR(AND(Y826=0,Z826=0),AND(Y826&lt;&gt;0,Z826&lt;&gt;0)),"","Quên chấm công"))</f>
        <v/>
      </c>
      <c r="AD826" s="12">
        <f>IF(VLOOKUP(A826,Data_NV!$A:$I,7,0)="Không",0,IF(AND(Y826=0,Z826=0),0,IF(X826&lt;=Z826,0,ROUNDDOWN((X826-Z826)*24*60,0))))</f>
        <v>0</v>
      </c>
      <c r="AE826" s="12">
        <f>IF(VLOOKUP(A826,Data_NV!$A:$I,6,0)="Không",0,IF(Z826&lt;=X826,0,ROUNDDOWN((Z826-X826)*24*60,0)))</f>
        <v>0</v>
      </c>
      <c r="AF826" s="26">
        <f t="shared" si="51"/>
        <v>0</v>
      </c>
      <c r="AG826" s="27" t="str">
        <f>IF(AC826="","",IF(COUNTIFS($AC$3:AC826,"Quên chấm công",$S$3:S826,S826)&gt;3,"Không chấm công do vi phạm quá 3 lần",IF(COUNTIFS($AC$3:AC826,"Quên chấm công",$S$3:S826,S826)&gt;2,"Trừ toàn bộ chuyên cần tháng do vi phạm lần 3",IF(COUNTIFS($AC$3:AC826,"Quên chấm công",$S$3:S826,S826)&gt;1,"Trừ 1/2 ngày lương",50000))))</f>
        <v/>
      </c>
      <c r="AH826" s="12" t="str">
        <f>IF(AF826=0,"",IF(COUNTIFS($AF$3:AF826,"&gt;0",$S$3:S826,S826)&gt;3,"Trừ toàn bộ chuyên cần tháng",""))</f>
        <v/>
      </c>
      <c r="AI826" s="12"/>
    </row>
    <row r="827" spans="1:35" x14ac:dyDescent="0.25">
      <c r="A827" s="4" t="s">
        <v>1190</v>
      </c>
      <c r="B827" s="1" t="s">
        <v>806</v>
      </c>
      <c r="C827" s="1" t="s">
        <v>20</v>
      </c>
      <c r="D827" s="1" t="s">
        <v>75</v>
      </c>
      <c r="E827" s="1" t="s">
        <v>22</v>
      </c>
      <c r="F827" s="1" t="s">
        <v>23</v>
      </c>
      <c r="G827" s="1" t="s">
        <v>29</v>
      </c>
      <c r="H827" s="1" t="s">
        <v>1211</v>
      </c>
      <c r="I827" s="1" t="s">
        <v>1212</v>
      </c>
      <c r="J827" s="1" t="s">
        <v>25</v>
      </c>
      <c r="K827" s="1" t="s">
        <v>98</v>
      </c>
      <c r="L827" s="1" t="s">
        <v>25</v>
      </c>
      <c r="M827" s="1" t="s">
        <v>26</v>
      </c>
      <c r="N827" s="1" t="s">
        <v>25</v>
      </c>
      <c r="O827" s="1" t="s">
        <v>99</v>
      </c>
      <c r="P827" s="1" t="s">
        <v>25</v>
      </c>
      <c r="Q827" s="1" t="s">
        <v>25</v>
      </c>
      <c r="R827" s="85" t="str">
        <f t="shared" si="48"/>
        <v>945915</v>
      </c>
      <c r="S827" t="str">
        <f>VLOOKUP(A827,Data_NV!$A:$C,3,0)</f>
        <v>Hoàng Thị Hoài Nhi</v>
      </c>
      <c r="T827" t="str">
        <f>VLOOKUP(A827,Data_NV!$A:$E,4,0)</f>
        <v>Kế toán - Văn phòng</v>
      </c>
      <c r="U827" s="82">
        <f>DATEVALUE(Table2[[#This Row],[Ngày]])</f>
        <v>45915</v>
      </c>
      <c r="V827" t="str">
        <f>VLOOKUP(A827,Data_NV!$A:$E,5,0)</f>
        <v>Đang làm việc</v>
      </c>
      <c r="W827" s="10">
        <f>VLOOKUP(A827,Data_NV!$A:$I,8,0)</f>
        <v>0.33333333333333331</v>
      </c>
      <c r="X827" s="10">
        <f>VLOOKUP(A827,Data_NV!$A:$I,9,0)</f>
        <v>0.70833333333333337</v>
      </c>
      <c r="Y827" s="10">
        <f>IFERROR(TIMEVALUE(Table2[[#This Row],[Vào]]),0)</f>
        <v>0.3279050925925926</v>
      </c>
      <c r="Z827" s="10">
        <f>IFERROR(TIMEVALUE(Table2[[#This Row],[Ra]]),0)</f>
        <v>0.76803240740740741</v>
      </c>
      <c r="AA827" t="str">
        <f t="shared" si="49"/>
        <v>x</v>
      </c>
      <c r="AB827" s="105">
        <f t="shared" si="50"/>
        <v>0</v>
      </c>
      <c r="AC827" s="12" t="str">
        <f>IF(VLOOKUP(A827,Data_NV!$A:$I,7,0)="Không","",IF(OR(AND(Y827=0,Z827=0),AND(Y827&lt;&gt;0,Z827&lt;&gt;0)),"","Quên chấm công"))</f>
        <v/>
      </c>
      <c r="AD827" s="12">
        <f>IF(VLOOKUP(A827,Data_NV!$A:$I,7,0)="Không",0,IF(AND(Y827=0,Z827=0),0,IF(X827&lt;=Z827,0,ROUNDDOWN((X827-Z827)*24*60,0))))</f>
        <v>0</v>
      </c>
      <c r="AE827" s="12">
        <f>IF(VLOOKUP(A827,Data_NV!$A:$I,6,0)="Không",0,IF(Z827&lt;=X827,0,ROUNDDOWN((Z827-X827)*24*60,0)))</f>
        <v>85</v>
      </c>
      <c r="AF827" s="26">
        <f t="shared" si="51"/>
        <v>0</v>
      </c>
      <c r="AG827" s="27" t="str">
        <f>IF(AC827="","",IF(COUNTIFS($AC$3:AC827,"Quên chấm công",$S$3:S827,S827)&gt;3,"Không chấm công do vi phạm quá 3 lần",IF(COUNTIFS($AC$3:AC827,"Quên chấm công",$S$3:S827,S827)&gt;2,"Trừ toàn bộ chuyên cần tháng do vi phạm lần 3",IF(COUNTIFS($AC$3:AC827,"Quên chấm công",$S$3:S827,S827)&gt;1,"Trừ 1/2 ngày lương",50000))))</f>
        <v/>
      </c>
      <c r="AH827" s="12" t="str">
        <f>IF(AF827=0,"",IF(COUNTIFS($AF$3:AF827,"&gt;0",$S$3:S827,S827)&gt;3,"Trừ toàn bộ chuyên cần tháng",""))</f>
        <v/>
      </c>
      <c r="AI827" s="12"/>
    </row>
    <row r="828" spans="1:35" x14ac:dyDescent="0.25">
      <c r="A828" s="4" t="s">
        <v>1190</v>
      </c>
      <c r="B828" s="1" t="s">
        <v>806</v>
      </c>
      <c r="C828" s="1" t="s">
        <v>20</v>
      </c>
      <c r="D828" s="1" t="s">
        <v>80</v>
      </c>
      <c r="E828" s="1" t="s">
        <v>22</v>
      </c>
      <c r="F828" s="1" t="s">
        <v>23</v>
      </c>
      <c r="G828" s="1" t="s">
        <v>29</v>
      </c>
      <c r="H828" s="1" t="s">
        <v>1213</v>
      </c>
      <c r="I828" s="1" t="s">
        <v>1214</v>
      </c>
      <c r="J828" s="1" t="s">
        <v>25</v>
      </c>
      <c r="K828" s="1" t="s">
        <v>271</v>
      </c>
      <c r="L828" s="1" t="s">
        <v>25</v>
      </c>
      <c r="M828" s="1" t="s">
        <v>26</v>
      </c>
      <c r="N828" s="1" t="s">
        <v>25</v>
      </c>
      <c r="O828" s="1" t="s">
        <v>272</v>
      </c>
      <c r="P828" s="1" t="s">
        <v>25</v>
      </c>
      <c r="Q828" s="1" t="s">
        <v>25</v>
      </c>
      <c r="R828" s="85" t="str">
        <f t="shared" si="48"/>
        <v>945916</v>
      </c>
      <c r="S828" t="str">
        <f>VLOOKUP(A828,Data_NV!$A:$C,3,0)</f>
        <v>Hoàng Thị Hoài Nhi</v>
      </c>
      <c r="T828" t="str">
        <f>VLOOKUP(A828,Data_NV!$A:$E,4,0)</f>
        <v>Kế toán - Văn phòng</v>
      </c>
      <c r="U828" s="82">
        <f>DATEVALUE(Table2[[#This Row],[Ngày]])</f>
        <v>45916</v>
      </c>
      <c r="V828" t="str">
        <f>VLOOKUP(A828,Data_NV!$A:$E,5,0)</f>
        <v>Đang làm việc</v>
      </c>
      <c r="W828" s="10">
        <f>VLOOKUP(A828,Data_NV!$A:$I,8,0)</f>
        <v>0.33333333333333331</v>
      </c>
      <c r="X828" s="10">
        <f>VLOOKUP(A828,Data_NV!$A:$I,9,0)</f>
        <v>0.70833333333333337</v>
      </c>
      <c r="Y828" s="10">
        <f>IFERROR(TIMEVALUE(Table2[[#This Row],[Vào]]),0)</f>
        <v>0.32947916666666666</v>
      </c>
      <c r="Z828" s="10">
        <f>IFERROR(TIMEVALUE(Table2[[#This Row],[Ra]]),0)</f>
        <v>0.78188657407407403</v>
      </c>
      <c r="AA828" t="str">
        <f t="shared" si="49"/>
        <v>x</v>
      </c>
      <c r="AB828" s="105">
        <f t="shared" si="50"/>
        <v>0</v>
      </c>
      <c r="AC828" s="12" t="str">
        <f>IF(VLOOKUP(A828,Data_NV!$A:$I,7,0)="Không","",IF(OR(AND(Y828=0,Z828=0),AND(Y828&lt;&gt;0,Z828&lt;&gt;0)),"","Quên chấm công"))</f>
        <v/>
      </c>
      <c r="AD828" s="12">
        <f>IF(VLOOKUP(A828,Data_NV!$A:$I,7,0)="Không",0,IF(AND(Y828=0,Z828=0),0,IF(X828&lt;=Z828,0,ROUNDDOWN((X828-Z828)*24*60,0))))</f>
        <v>0</v>
      </c>
      <c r="AE828" s="12">
        <f>IF(VLOOKUP(A828,Data_NV!$A:$I,6,0)="Không",0,IF(Z828&lt;=X828,0,ROUNDDOWN((Z828-X828)*24*60,0)))</f>
        <v>105</v>
      </c>
      <c r="AF828" s="26">
        <f t="shared" si="51"/>
        <v>0</v>
      </c>
      <c r="AG828" s="27" t="str">
        <f>IF(AC828="","",IF(COUNTIFS($AC$3:AC828,"Quên chấm công",$S$3:S828,S828)&gt;3,"Không chấm công do vi phạm quá 3 lần",IF(COUNTIFS($AC$3:AC828,"Quên chấm công",$S$3:S828,S828)&gt;2,"Trừ toàn bộ chuyên cần tháng do vi phạm lần 3",IF(COUNTIFS($AC$3:AC828,"Quên chấm công",$S$3:S828,S828)&gt;1,"Trừ 1/2 ngày lương",50000))))</f>
        <v/>
      </c>
      <c r="AH828" s="12" t="str">
        <f>IF(AF828=0,"",IF(COUNTIFS($AF$3:AF828,"&gt;0",$S$3:S828,S828)&gt;3,"Trừ toàn bộ chuyên cần tháng",""))</f>
        <v/>
      </c>
      <c r="AI828" s="12"/>
    </row>
    <row r="829" spans="1:35" x14ac:dyDescent="0.25">
      <c r="A829" s="4" t="s">
        <v>1190</v>
      </c>
      <c r="B829" s="1" t="s">
        <v>806</v>
      </c>
      <c r="C829" s="1" t="s">
        <v>20</v>
      </c>
      <c r="D829" s="1" t="s">
        <v>85</v>
      </c>
      <c r="E829" s="1" t="s">
        <v>22</v>
      </c>
      <c r="F829" s="1" t="s">
        <v>23</v>
      </c>
      <c r="G829" s="1" t="s">
        <v>29</v>
      </c>
      <c r="H829" s="1" t="s">
        <v>1215</v>
      </c>
      <c r="I829" s="1" t="s">
        <v>1216</v>
      </c>
      <c r="J829" s="1" t="s">
        <v>25</v>
      </c>
      <c r="K829" s="1" t="s">
        <v>745</v>
      </c>
      <c r="L829" s="1" t="s">
        <v>25</v>
      </c>
      <c r="M829" s="1" t="s">
        <v>26</v>
      </c>
      <c r="N829" s="1" t="s">
        <v>25</v>
      </c>
      <c r="O829" s="1" t="s">
        <v>746</v>
      </c>
      <c r="P829" s="1" t="s">
        <v>25</v>
      </c>
      <c r="Q829" s="1" t="s">
        <v>25</v>
      </c>
      <c r="R829" s="85" t="str">
        <f t="shared" si="48"/>
        <v>945917</v>
      </c>
      <c r="S829" t="str">
        <f>VLOOKUP(A829,Data_NV!$A:$C,3,0)</f>
        <v>Hoàng Thị Hoài Nhi</v>
      </c>
      <c r="T829" t="str">
        <f>VLOOKUP(A829,Data_NV!$A:$E,4,0)</f>
        <v>Kế toán - Văn phòng</v>
      </c>
      <c r="U829" s="82">
        <f>DATEVALUE(Table2[[#This Row],[Ngày]])</f>
        <v>45917</v>
      </c>
      <c r="V829" t="str">
        <f>VLOOKUP(A829,Data_NV!$A:$E,5,0)</f>
        <v>Đang làm việc</v>
      </c>
      <c r="W829" s="10">
        <f>VLOOKUP(A829,Data_NV!$A:$I,8,0)</f>
        <v>0.33333333333333331</v>
      </c>
      <c r="X829" s="10">
        <f>VLOOKUP(A829,Data_NV!$A:$I,9,0)</f>
        <v>0.70833333333333337</v>
      </c>
      <c r="Y829" s="10">
        <f>IFERROR(TIMEVALUE(Table2[[#This Row],[Vào]]),0)</f>
        <v>0.32704861111111111</v>
      </c>
      <c r="Z829" s="10">
        <f>IFERROR(TIMEVALUE(Table2[[#This Row],[Ra]]),0)</f>
        <v>0.76189814814814816</v>
      </c>
      <c r="AA829" t="str">
        <f t="shared" si="49"/>
        <v>x</v>
      </c>
      <c r="AB829" s="105">
        <f t="shared" si="50"/>
        <v>0</v>
      </c>
      <c r="AC829" s="12" t="str">
        <f>IF(VLOOKUP(A829,Data_NV!$A:$I,7,0)="Không","",IF(OR(AND(Y829=0,Z829=0),AND(Y829&lt;&gt;0,Z829&lt;&gt;0)),"","Quên chấm công"))</f>
        <v/>
      </c>
      <c r="AD829" s="12">
        <f>IF(VLOOKUP(A829,Data_NV!$A:$I,7,0)="Không",0,IF(AND(Y829=0,Z829=0),0,IF(X829&lt;=Z829,0,ROUNDDOWN((X829-Z829)*24*60,0))))</f>
        <v>0</v>
      </c>
      <c r="AE829" s="12">
        <f>IF(VLOOKUP(A829,Data_NV!$A:$I,6,0)="Không",0,IF(Z829&lt;=X829,0,ROUNDDOWN((Z829-X829)*24*60,0)))</f>
        <v>77</v>
      </c>
      <c r="AF829" s="26">
        <f t="shared" si="51"/>
        <v>0</v>
      </c>
      <c r="AG829" s="27" t="str">
        <f>IF(AC829="","",IF(COUNTIFS($AC$3:AC829,"Quên chấm công",$S$3:S829,S829)&gt;3,"Không chấm công do vi phạm quá 3 lần",IF(COUNTIFS($AC$3:AC829,"Quên chấm công",$S$3:S829,S829)&gt;2,"Trừ toàn bộ chuyên cần tháng do vi phạm lần 3",IF(COUNTIFS($AC$3:AC829,"Quên chấm công",$S$3:S829,S829)&gt;1,"Trừ 1/2 ngày lương",50000))))</f>
        <v/>
      </c>
      <c r="AH829" s="12" t="str">
        <f>IF(AF829=0,"",IF(COUNTIFS($AF$3:AF829,"&gt;0",$S$3:S829,S829)&gt;3,"Trừ toàn bộ chuyên cần tháng",""))</f>
        <v/>
      </c>
      <c r="AI829" s="12"/>
    </row>
    <row r="830" spans="1:35" x14ac:dyDescent="0.25">
      <c r="A830" s="4" t="s">
        <v>1190</v>
      </c>
      <c r="B830" s="1" t="s">
        <v>806</v>
      </c>
      <c r="C830" s="1" t="s">
        <v>20</v>
      </c>
      <c r="D830" s="1" t="s">
        <v>90</v>
      </c>
      <c r="E830" s="1" t="s">
        <v>22</v>
      </c>
      <c r="F830" s="1" t="s">
        <v>23</v>
      </c>
      <c r="G830" s="1" t="s">
        <v>29</v>
      </c>
      <c r="H830" s="1" t="s">
        <v>1217</v>
      </c>
      <c r="I830" s="1" t="s">
        <v>1218</v>
      </c>
      <c r="J830" s="1" t="s">
        <v>25</v>
      </c>
      <c r="K830" s="1" t="s">
        <v>292</v>
      </c>
      <c r="L830" s="1" t="s">
        <v>25</v>
      </c>
      <c r="M830" s="1" t="s">
        <v>26</v>
      </c>
      <c r="N830" s="1" t="s">
        <v>25</v>
      </c>
      <c r="O830" s="1" t="s">
        <v>293</v>
      </c>
      <c r="P830" s="1" t="s">
        <v>25</v>
      </c>
      <c r="Q830" s="1" t="s">
        <v>25</v>
      </c>
      <c r="R830" s="85" t="str">
        <f t="shared" si="48"/>
        <v>945918</v>
      </c>
      <c r="S830" t="str">
        <f>VLOOKUP(A830,Data_NV!$A:$C,3,0)</f>
        <v>Hoàng Thị Hoài Nhi</v>
      </c>
      <c r="T830" t="str">
        <f>VLOOKUP(A830,Data_NV!$A:$E,4,0)</f>
        <v>Kế toán - Văn phòng</v>
      </c>
      <c r="U830" s="82">
        <f>DATEVALUE(Table2[[#This Row],[Ngày]])</f>
        <v>45918</v>
      </c>
      <c r="V830" t="str">
        <f>VLOOKUP(A830,Data_NV!$A:$E,5,0)</f>
        <v>Đang làm việc</v>
      </c>
      <c r="W830" s="10">
        <f>VLOOKUP(A830,Data_NV!$A:$I,8,0)</f>
        <v>0.33333333333333331</v>
      </c>
      <c r="X830" s="10">
        <f>VLOOKUP(A830,Data_NV!$A:$I,9,0)</f>
        <v>0.70833333333333337</v>
      </c>
      <c r="Y830" s="10">
        <f>IFERROR(TIMEVALUE(Table2[[#This Row],[Vào]]),0)</f>
        <v>0.32668981481481479</v>
      </c>
      <c r="Z830" s="10">
        <f>IFERROR(TIMEVALUE(Table2[[#This Row],[Ra]]),0)</f>
        <v>0.79001157407407407</v>
      </c>
      <c r="AA830" t="str">
        <f t="shared" si="49"/>
        <v>x</v>
      </c>
      <c r="AB830" s="105">
        <f t="shared" si="50"/>
        <v>0</v>
      </c>
      <c r="AC830" s="12" t="str">
        <f>IF(VLOOKUP(A830,Data_NV!$A:$I,7,0)="Không","",IF(OR(AND(Y830=0,Z830=0),AND(Y830&lt;&gt;0,Z830&lt;&gt;0)),"","Quên chấm công"))</f>
        <v/>
      </c>
      <c r="AD830" s="12">
        <f>IF(VLOOKUP(A830,Data_NV!$A:$I,7,0)="Không",0,IF(AND(Y830=0,Z830=0),0,IF(X830&lt;=Z830,0,ROUNDDOWN((X830-Z830)*24*60,0))))</f>
        <v>0</v>
      </c>
      <c r="AE830" s="12">
        <f>IF(VLOOKUP(A830,Data_NV!$A:$I,6,0)="Không",0,IF(Z830&lt;=X830,0,ROUNDDOWN((Z830-X830)*24*60,0)))</f>
        <v>117</v>
      </c>
      <c r="AF830" s="26">
        <f t="shared" si="51"/>
        <v>0</v>
      </c>
      <c r="AG830" s="27" t="str">
        <f>IF(AC830="","",IF(COUNTIFS($AC$3:AC830,"Quên chấm công",$S$3:S830,S830)&gt;3,"Không chấm công do vi phạm quá 3 lần",IF(COUNTIFS($AC$3:AC830,"Quên chấm công",$S$3:S830,S830)&gt;2,"Trừ toàn bộ chuyên cần tháng do vi phạm lần 3",IF(COUNTIFS($AC$3:AC830,"Quên chấm công",$S$3:S830,S830)&gt;1,"Trừ 1/2 ngày lương",50000))))</f>
        <v/>
      </c>
      <c r="AH830" s="12" t="str">
        <f>IF(AF830=0,"",IF(COUNTIFS($AF$3:AF830,"&gt;0",$S$3:S830,S830)&gt;3,"Trừ toàn bộ chuyên cần tháng",""))</f>
        <v/>
      </c>
      <c r="AI830" s="12"/>
    </row>
    <row r="831" spans="1:35" x14ac:dyDescent="0.25">
      <c r="A831" s="4" t="s">
        <v>1190</v>
      </c>
      <c r="B831" s="1" t="s">
        <v>806</v>
      </c>
      <c r="C831" s="1" t="s">
        <v>20</v>
      </c>
      <c r="D831" s="1" t="s">
        <v>95</v>
      </c>
      <c r="E831" s="1" t="s">
        <v>22</v>
      </c>
      <c r="F831" s="1" t="s">
        <v>23</v>
      </c>
      <c r="G831" s="1" t="s">
        <v>29</v>
      </c>
      <c r="H831" s="1" t="s">
        <v>273</v>
      </c>
      <c r="I831" s="1" t="s">
        <v>1219</v>
      </c>
      <c r="J831" s="1" t="s">
        <v>25</v>
      </c>
      <c r="K831" s="1" t="s">
        <v>372</v>
      </c>
      <c r="L831" s="1" t="s">
        <v>25</v>
      </c>
      <c r="M831" s="1" t="s">
        <v>26</v>
      </c>
      <c r="N831" s="1" t="s">
        <v>25</v>
      </c>
      <c r="O831" s="1" t="s">
        <v>373</v>
      </c>
      <c r="P831" s="1" t="s">
        <v>25</v>
      </c>
      <c r="Q831" s="1" t="s">
        <v>25</v>
      </c>
      <c r="R831" s="85" t="str">
        <f t="shared" si="48"/>
        <v>945919</v>
      </c>
      <c r="S831" t="str">
        <f>VLOOKUP(A831,Data_NV!$A:$C,3,0)</f>
        <v>Hoàng Thị Hoài Nhi</v>
      </c>
      <c r="T831" t="str">
        <f>VLOOKUP(A831,Data_NV!$A:$E,4,0)</f>
        <v>Kế toán - Văn phòng</v>
      </c>
      <c r="U831" s="82">
        <f>DATEVALUE(Table2[[#This Row],[Ngày]])</f>
        <v>45919</v>
      </c>
      <c r="V831" t="str">
        <f>VLOOKUP(A831,Data_NV!$A:$E,5,0)</f>
        <v>Đang làm việc</v>
      </c>
      <c r="W831" s="10">
        <f>VLOOKUP(A831,Data_NV!$A:$I,8,0)</f>
        <v>0.33333333333333331</v>
      </c>
      <c r="X831" s="10">
        <f>VLOOKUP(A831,Data_NV!$A:$I,9,0)</f>
        <v>0.70833333333333337</v>
      </c>
      <c r="Y831" s="10">
        <f>IFERROR(TIMEVALUE(Table2[[#This Row],[Vào]]),0)</f>
        <v>0.32658564814814817</v>
      </c>
      <c r="Z831" s="10">
        <f>IFERROR(TIMEVALUE(Table2[[#This Row],[Ra]]),0)</f>
        <v>0.78255787037037039</v>
      </c>
      <c r="AA831" t="str">
        <f t="shared" si="49"/>
        <v>x</v>
      </c>
      <c r="AB831" s="105">
        <f t="shared" si="50"/>
        <v>0</v>
      </c>
      <c r="AC831" s="12" t="str">
        <f>IF(VLOOKUP(A831,Data_NV!$A:$I,7,0)="Không","",IF(OR(AND(Y831=0,Z831=0),AND(Y831&lt;&gt;0,Z831&lt;&gt;0)),"","Quên chấm công"))</f>
        <v/>
      </c>
      <c r="AD831" s="12">
        <f>IF(VLOOKUP(A831,Data_NV!$A:$I,7,0)="Không",0,IF(AND(Y831=0,Z831=0),0,IF(X831&lt;=Z831,0,ROUNDDOWN((X831-Z831)*24*60,0))))</f>
        <v>0</v>
      </c>
      <c r="AE831" s="12">
        <f>IF(VLOOKUP(A831,Data_NV!$A:$I,6,0)="Không",0,IF(Z831&lt;=X831,0,ROUNDDOWN((Z831-X831)*24*60,0)))</f>
        <v>106</v>
      </c>
      <c r="AF831" s="26">
        <f t="shared" si="51"/>
        <v>0</v>
      </c>
      <c r="AG831" s="27" t="str">
        <f>IF(AC831="","",IF(COUNTIFS($AC$3:AC831,"Quên chấm công",$S$3:S831,S831)&gt;3,"Không chấm công do vi phạm quá 3 lần",IF(COUNTIFS($AC$3:AC831,"Quên chấm công",$S$3:S831,S831)&gt;2,"Trừ toàn bộ chuyên cần tháng do vi phạm lần 3",IF(COUNTIFS($AC$3:AC831,"Quên chấm công",$S$3:S831,S831)&gt;1,"Trừ 1/2 ngày lương",50000))))</f>
        <v/>
      </c>
      <c r="AH831" s="12" t="str">
        <f>IF(AF831=0,"",IF(COUNTIFS($AF$3:AF831,"&gt;0",$S$3:S831,S831)&gt;3,"Trừ toàn bộ chuyên cần tháng",""))</f>
        <v/>
      </c>
      <c r="AI831" s="12"/>
    </row>
    <row r="832" spans="1:35" x14ac:dyDescent="0.25">
      <c r="A832" s="4" t="s">
        <v>1190</v>
      </c>
      <c r="B832" s="1" t="s">
        <v>806</v>
      </c>
      <c r="C832" s="1" t="s">
        <v>20</v>
      </c>
      <c r="D832" s="1" t="s">
        <v>100</v>
      </c>
      <c r="E832" s="1" t="s">
        <v>22</v>
      </c>
      <c r="F832" s="1" t="s">
        <v>23</v>
      </c>
      <c r="G832" s="1" t="s">
        <v>29</v>
      </c>
      <c r="H832" s="1" t="s">
        <v>1220</v>
      </c>
      <c r="I832" s="1" t="s">
        <v>865</v>
      </c>
      <c r="J832" s="1" t="s">
        <v>25</v>
      </c>
      <c r="K832" s="1" t="s">
        <v>114</v>
      </c>
      <c r="L832" s="1" t="s">
        <v>25</v>
      </c>
      <c r="M832" s="1" t="s">
        <v>26</v>
      </c>
      <c r="N832" s="1" t="s">
        <v>25</v>
      </c>
      <c r="O832" s="1" t="s">
        <v>115</v>
      </c>
      <c r="P832" s="1" t="s">
        <v>25</v>
      </c>
      <c r="Q832" s="1" t="s">
        <v>25</v>
      </c>
      <c r="R832" s="85" t="str">
        <f t="shared" si="48"/>
        <v>945920</v>
      </c>
      <c r="S832" t="str">
        <f>VLOOKUP(A832,Data_NV!$A:$C,3,0)</f>
        <v>Hoàng Thị Hoài Nhi</v>
      </c>
      <c r="T832" t="str">
        <f>VLOOKUP(A832,Data_NV!$A:$E,4,0)</f>
        <v>Kế toán - Văn phòng</v>
      </c>
      <c r="U832" s="82">
        <f>DATEVALUE(Table2[[#This Row],[Ngày]])</f>
        <v>45920</v>
      </c>
      <c r="V832" t="str">
        <f>VLOOKUP(A832,Data_NV!$A:$E,5,0)</f>
        <v>Đang làm việc</v>
      </c>
      <c r="W832" s="10">
        <f>VLOOKUP(A832,Data_NV!$A:$I,8,0)</f>
        <v>0.33333333333333331</v>
      </c>
      <c r="X832" s="10">
        <f>VLOOKUP(A832,Data_NV!$A:$I,9,0)</f>
        <v>0.70833333333333337</v>
      </c>
      <c r="Y832" s="10">
        <f>IFERROR(TIMEVALUE(Table2[[#This Row],[Vào]]),0)</f>
        <v>0.32502314814814814</v>
      </c>
      <c r="Z832" s="10">
        <f>IFERROR(TIMEVALUE(Table2[[#This Row],[Ra]]),0)</f>
        <v>0.77908564814814818</v>
      </c>
      <c r="AA832" t="str">
        <f t="shared" si="49"/>
        <v>x</v>
      </c>
      <c r="AB832" s="105">
        <f t="shared" si="50"/>
        <v>0</v>
      </c>
      <c r="AC832" s="12" t="str">
        <f>IF(VLOOKUP(A832,Data_NV!$A:$I,7,0)="Không","",IF(OR(AND(Y832=0,Z832=0),AND(Y832&lt;&gt;0,Z832&lt;&gt;0)),"","Quên chấm công"))</f>
        <v/>
      </c>
      <c r="AD832" s="12">
        <f>IF(VLOOKUP(A832,Data_NV!$A:$I,7,0)="Không",0,IF(AND(Y832=0,Z832=0),0,IF(X832&lt;=Z832,0,ROUNDDOWN((X832-Z832)*24*60,0))))</f>
        <v>0</v>
      </c>
      <c r="AE832" s="12">
        <f>IF(VLOOKUP(A832,Data_NV!$A:$I,6,0)="Không",0,IF(Z832&lt;=X832,0,ROUNDDOWN((Z832-X832)*24*60,0)))</f>
        <v>101</v>
      </c>
      <c r="AF832" s="26">
        <f t="shared" si="51"/>
        <v>0</v>
      </c>
      <c r="AG832" s="27" t="str">
        <f>IF(AC832="","",IF(COUNTIFS($AC$3:AC832,"Quên chấm công",$S$3:S832,S832)&gt;3,"Không chấm công do vi phạm quá 3 lần",IF(COUNTIFS($AC$3:AC832,"Quên chấm công",$S$3:S832,S832)&gt;2,"Trừ toàn bộ chuyên cần tháng do vi phạm lần 3",IF(COUNTIFS($AC$3:AC832,"Quên chấm công",$S$3:S832,S832)&gt;1,"Trừ 1/2 ngày lương",50000))))</f>
        <v/>
      </c>
      <c r="AH832" s="12" t="str">
        <f>IF(AF832=0,"",IF(COUNTIFS($AF$3:AF832,"&gt;0",$S$3:S832,S832)&gt;3,"Trừ toàn bộ chuyên cần tháng",""))</f>
        <v/>
      </c>
      <c r="AI832" s="12"/>
    </row>
    <row r="833" spans="1:35" x14ac:dyDescent="0.25">
      <c r="A833" s="4" t="s">
        <v>1190</v>
      </c>
      <c r="B833" s="1" t="s">
        <v>806</v>
      </c>
      <c r="C833" s="1" t="s">
        <v>20</v>
      </c>
      <c r="D833" s="1" t="s">
        <v>105</v>
      </c>
      <c r="E833" s="1" t="s">
        <v>22</v>
      </c>
      <c r="F833" s="1" t="s">
        <v>23</v>
      </c>
      <c r="G833" s="1" t="s">
        <v>12</v>
      </c>
      <c r="H833" s="1" t="s">
        <v>24</v>
      </c>
      <c r="I833" s="1" t="s">
        <v>24</v>
      </c>
      <c r="J833" s="1" t="s">
        <v>25</v>
      </c>
      <c r="K833" s="1" t="s">
        <v>25</v>
      </c>
      <c r="L833" s="1" t="s">
        <v>26</v>
      </c>
      <c r="M833" s="1" t="s">
        <v>25</v>
      </c>
      <c r="N833" s="1" t="s">
        <v>25</v>
      </c>
      <c r="O833" s="1" t="s">
        <v>25</v>
      </c>
      <c r="P833" s="1" t="s">
        <v>25</v>
      </c>
      <c r="Q833" s="1" t="s">
        <v>25</v>
      </c>
      <c r="R833" s="85" t="str">
        <f t="shared" si="48"/>
        <v>945921</v>
      </c>
      <c r="S833" t="str">
        <f>VLOOKUP(A833,Data_NV!$A:$C,3,0)</f>
        <v>Hoàng Thị Hoài Nhi</v>
      </c>
      <c r="T833" t="str">
        <f>VLOOKUP(A833,Data_NV!$A:$E,4,0)</f>
        <v>Kế toán - Văn phòng</v>
      </c>
      <c r="U833" s="82">
        <f>DATEVALUE(Table2[[#This Row],[Ngày]])</f>
        <v>45921</v>
      </c>
      <c r="V833" t="str">
        <f>VLOOKUP(A833,Data_NV!$A:$E,5,0)</f>
        <v>Đang làm việc</v>
      </c>
      <c r="W833" s="10">
        <f>VLOOKUP(A833,Data_NV!$A:$I,8,0)</f>
        <v>0.33333333333333331</v>
      </c>
      <c r="X833" s="10">
        <f>VLOOKUP(A833,Data_NV!$A:$I,9,0)</f>
        <v>0.70833333333333337</v>
      </c>
      <c r="Y833" s="10">
        <f>IFERROR(TIMEVALUE(Table2[[#This Row],[Vào]]),0)</f>
        <v>0</v>
      </c>
      <c r="Z833" s="10">
        <f>IFERROR(TIMEVALUE(Table2[[#This Row],[Ra]]),0)</f>
        <v>0</v>
      </c>
      <c r="AA833" t="str">
        <f t="shared" si="49"/>
        <v>Chủ nhật</v>
      </c>
      <c r="AB833" s="105">
        <f t="shared" si="50"/>
        <v>0</v>
      </c>
      <c r="AC833" s="12" t="str">
        <f>IF(VLOOKUP(A833,Data_NV!$A:$I,7,0)="Không","",IF(OR(AND(Y833=0,Z833=0),AND(Y833&lt;&gt;0,Z833&lt;&gt;0)),"","Quên chấm công"))</f>
        <v/>
      </c>
      <c r="AD833" s="12">
        <f>IF(VLOOKUP(A833,Data_NV!$A:$I,7,0)="Không",0,IF(AND(Y833=0,Z833=0),0,IF(X833&lt;=Z833,0,ROUNDDOWN((X833-Z833)*24*60,0))))</f>
        <v>0</v>
      </c>
      <c r="AE833" s="12">
        <f>IF(VLOOKUP(A833,Data_NV!$A:$I,6,0)="Không",0,IF(Z833&lt;=X833,0,ROUNDDOWN((Z833-X833)*24*60,0)))</f>
        <v>0</v>
      </c>
      <c r="AF833" s="26">
        <f t="shared" si="51"/>
        <v>0</v>
      </c>
      <c r="AG833" s="27" t="str">
        <f>IF(AC833="","",IF(COUNTIFS($AC$3:AC833,"Quên chấm công",$S$3:S833,S833)&gt;3,"Không chấm công do vi phạm quá 3 lần",IF(COUNTIFS($AC$3:AC833,"Quên chấm công",$S$3:S833,S833)&gt;2,"Trừ toàn bộ chuyên cần tháng do vi phạm lần 3",IF(COUNTIFS($AC$3:AC833,"Quên chấm công",$S$3:S833,S833)&gt;1,"Trừ 1/2 ngày lương",50000))))</f>
        <v/>
      </c>
      <c r="AH833" s="12" t="str">
        <f>IF(AF833=0,"",IF(COUNTIFS($AF$3:AF833,"&gt;0",$S$3:S833,S833)&gt;3,"Trừ toàn bộ chuyên cần tháng",""))</f>
        <v/>
      </c>
      <c r="AI833" s="12"/>
    </row>
    <row r="834" spans="1:35" x14ac:dyDescent="0.25">
      <c r="A834" s="4" t="s">
        <v>1190</v>
      </c>
      <c r="B834" s="1" t="s">
        <v>806</v>
      </c>
      <c r="C834" s="1" t="s">
        <v>20</v>
      </c>
      <c r="D834" s="1" t="s">
        <v>106</v>
      </c>
      <c r="E834" s="1" t="s">
        <v>22</v>
      </c>
      <c r="F834" s="1" t="s">
        <v>23</v>
      </c>
      <c r="G834" s="1" t="s">
        <v>10</v>
      </c>
      <c r="H834" s="1" t="s">
        <v>1221</v>
      </c>
      <c r="I834" s="1" t="s">
        <v>1222</v>
      </c>
      <c r="J834" s="1" t="s">
        <v>25</v>
      </c>
      <c r="K834" s="1" t="s">
        <v>396</v>
      </c>
      <c r="L834" s="1" t="s">
        <v>25</v>
      </c>
      <c r="M834" s="1" t="s">
        <v>26</v>
      </c>
      <c r="N834" s="1" t="s">
        <v>25</v>
      </c>
      <c r="O834" s="1" t="s">
        <v>33</v>
      </c>
      <c r="P834" s="1" t="s">
        <v>923</v>
      </c>
      <c r="Q834" s="1" t="s">
        <v>25</v>
      </c>
      <c r="R834" s="85" t="str">
        <f t="shared" si="48"/>
        <v>945922</v>
      </c>
      <c r="S834" t="str">
        <f>VLOOKUP(A834,Data_NV!$A:$C,3,0)</f>
        <v>Hoàng Thị Hoài Nhi</v>
      </c>
      <c r="T834" t="str">
        <f>VLOOKUP(A834,Data_NV!$A:$E,4,0)</f>
        <v>Kế toán - Văn phòng</v>
      </c>
      <c r="U834" s="82">
        <f>DATEVALUE(Table2[[#This Row],[Ngày]])</f>
        <v>45922</v>
      </c>
      <c r="V834" t="str">
        <f>VLOOKUP(A834,Data_NV!$A:$E,5,0)</f>
        <v>Đang làm việc</v>
      </c>
      <c r="W834" s="10">
        <f>VLOOKUP(A834,Data_NV!$A:$I,8,0)</f>
        <v>0.33333333333333331</v>
      </c>
      <c r="X834" s="10">
        <f>VLOOKUP(A834,Data_NV!$A:$I,9,0)</f>
        <v>0.70833333333333337</v>
      </c>
      <c r="Y834" s="10">
        <f>IFERROR(TIMEVALUE(Table2[[#This Row],[Vào]]),0)</f>
        <v>0.33333333333333331</v>
      </c>
      <c r="Z834" s="10">
        <f>IFERROR(TIMEVALUE(Table2[[#This Row],[Ra]]),0)</f>
        <v>0.80280092592592589</v>
      </c>
      <c r="AA834" t="str">
        <f t="shared" si="49"/>
        <v>x</v>
      </c>
      <c r="AB834" s="105">
        <f t="shared" si="50"/>
        <v>0</v>
      </c>
      <c r="AC834" s="12" t="str">
        <f>IF(VLOOKUP(A834,Data_NV!$A:$I,7,0)="Không","",IF(OR(AND(Y834=0,Z834=0),AND(Y834&lt;&gt;0,Z834&lt;&gt;0)),"","Quên chấm công"))</f>
        <v/>
      </c>
      <c r="AD834" s="12">
        <f>IF(VLOOKUP(A834,Data_NV!$A:$I,7,0)="Không",0,IF(AND(Y834=0,Z834=0),0,IF(X834&lt;=Z834,0,ROUNDDOWN((X834-Z834)*24*60,0))))</f>
        <v>0</v>
      </c>
      <c r="AE834" s="12">
        <f>IF(VLOOKUP(A834,Data_NV!$A:$I,6,0)="Không",0,IF(Z834&lt;=X834,0,ROUNDDOWN((Z834-X834)*24*60,0)))</f>
        <v>136</v>
      </c>
      <c r="AF834" s="26">
        <f t="shared" si="51"/>
        <v>0</v>
      </c>
      <c r="AG834" s="27" t="str">
        <f>IF(AC834="","",IF(COUNTIFS($AC$3:AC834,"Quên chấm công",$S$3:S834,S834)&gt;3,"Không chấm công do vi phạm quá 3 lần",IF(COUNTIFS($AC$3:AC834,"Quên chấm công",$S$3:S834,S834)&gt;2,"Trừ toàn bộ chuyên cần tháng do vi phạm lần 3",IF(COUNTIFS($AC$3:AC834,"Quên chấm công",$S$3:S834,S834)&gt;1,"Trừ 1/2 ngày lương",50000))))</f>
        <v/>
      </c>
      <c r="AH834" s="12" t="str">
        <f>IF(AF834=0,"",IF(COUNTIFS($AF$3:AF834,"&gt;0",$S$3:S834,S834)&gt;3,"Trừ toàn bộ chuyên cần tháng",""))</f>
        <v/>
      </c>
      <c r="AI834" s="12"/>
    </row>
    <row r="835" spans="1:35" x14ac:dyDescent="0.25">
      <c r="A835" s="4" t="s">
        <v>1190</v>
      </c>
      <c r="B835" s="1" t="s">
        <v>806</v>
      </c>
      <c r="C835" s="1" t="s">
        <v>20</v>
      </c>
      <c r="D835" s="1" t="s">
        <v>111</v>
      </c>
      <c r="E835" s="1" t="s">
        <v>22</v>
      </c>
      <c r="F835" s="1" t="s">
        <v>23</v>
      </c>
      <c r="G835" s="1" t="s">
        <v>29</v>
      </c>
      <c r="H835" s="1" t="s">
        <v>1223</v>
      </c>
      <c r="I835" s="1" t="s">
        <v>1224</v>
      </c>
      <c r="J835" s="1" t="s">
        <v>25</v>
      </c>
      <c r="K835" s="1" t="s">
        <v>1194</v>
      </c>
      <c r="L835" s="1" t="s">
        <v>25</v>
      </c>
      <c r="M835" s="1" t="s">
        <v>26</v>
      </c>
      <c r="N835" s="1" t="s">
        <v>25</v>
      </c>
      <c r="O835" s="1" t="s">
        <v>484</v>
      </c>
      <c r="P835" s="1" t="s">
        <v>25</v>
      </c>
      <c r="Q835" s="1" t="s">
        <v>25</v>
      </c>
      <c r="R835" s="85" t="str">
        <f t="shared" ref="R835:R842" si="52">A835&amp;U835</f>
        <v>945923</v>
      </c>
      <c r="S835" t="str">
        <f>VLOOKUP(A835,Data_NV!$A:$C,3,0)</f>
        <v>Hoàng Thị Hoài Nhi</v>
      </c>
      <c r="T835" t="str">
        <f>VLOOKUP(A835,Data_NV!$A:$E,4,0)</f>
        <v>Kế toán - Văn phòng</v>
      </c>
      <c r="U835" s="82">
        <f>DATEVALUE(Table2[[#This Row],[Ngày]])</f>
        <v>45923</v>
      </c>
      <c r="V835" t="str">
        <f>VLOOKUP(A835,Data_NV!$A:$E,5,0)</f>
        <v>Đang làm việc</v>
      </c>
      <c r="W835" s="10">
        <f>VLOOKUP(A835,Data_NV!$A:$I,8,0)</f>
        <v>0.33333333333333331</v>
      </c>
      <c r="X835" s="10">
        <f>VLOOKUP(A835,Data_NV!$A:$I,9,0)</f>
        <v>0.70833333333333337</v>
      </c>
      <c r="Y835" s="10">
        <f>IFERROR(TIMEVALUE(Table2[[#This Row],[Vào]]),0)</f>
        <v>0.32504629629629628</v>
      </c>
      <c r="Z835" s="10">
        <f>IFERROR(TIMEVALUE(Table2[[#This Row],[Ra]]),0)</f>
        <v>0.75795138888888891</v>
      </c>
      <c r="AA835" t="str">
        <f t="shared" ref="AA835:AA842" si="53">IF(TEXT($U835,"ddd")="CN","Chủ nhật",IF(OR(AND(Y835=0,Z835=0),AG835="Không chấm công do vi phạm quá 3 lần"),"",IF(OR(AG835="Trừ 1/2 ngày lương",AF835="Trừ 1/2 ngày lương",AB835&gt;=60),"1/2","x")))</f>
        <v>x</v>
      </c>
      <c r="AB835" s="105">
        <f t="shared" ref="AB835:AB842" si="54">IF(Y835&lt;=W835,0,(Y835-W835)*24*60)</f>
        <v>0</v>
      </c>
      <c r="AC835" s="12" t="str">
        <f>IF(VLOOKUP(A835,Data_NV!$A:$I,7,0)="Không","",IF(OR(AND(Y835=0,Z835=0),AND(Y835&lt;&gt;0,Z835&lt;&gt;0)),"","Quên chấm công"))</f>
        <v/>
      </c>
      <c r="AD835" s="12">
        <f>IF(VLOOKUP(A835,Data_NV!$A:$I,7,0)="Không",0,IF(AND(Y835=0,Z835=0),0,IF(X835&lt;=Z835,0,ROUNDDOWN((X835-Z835)*24*60,0))))</f>
        <v>0</v>
      </c>
      <c r="AE835" s="12">
        <f>IF(VLOOKUP(A835,Data_NV!$A:$I,6,0)="Không",0,IF(Z835&lt;=X835,0,ROUNDDOWN((Z835-X835)*24*60,0)))</f>
        <v>71</v>
      </c>
      <c r="AF835" s="26">
        <f t="shared" ref="AF835:AF842" si="55">IF(AB835&gt;60,"Trừ 1/2 ngày lương",IF(AB835&gt;15,50000,IF(AB835&gt;6,30000,0)))</f>
        <v>0</v>
      </c>
      <c r="AG835" s="27" t="str">
        <f>IF(AC835="","",IF(COUNTIFS($AC$3:AC835,"Quên chấm công",$S$3:S835,S835)&gt;3,"Không chấm công do vi phạm quá 3 lần",IF(COUNTIFS($AC$3:AC835,"Quên chấm công",$S$3:S835,S835)&gt;2,"Trừ toàn bộ chuyên cần tháng do vi phạm lần 3",IF(COUNTIFS($AC$3:AC835,"Quên chấm công",$S$3:S835,S835)&gt;1,"Trừ 1/2 ngày lương",50000))))</f>
        <v/>
      </c>
      <c r="AH835" s="12" t="str">
        <f>IF(AF835=0,"",IF(COUNTIFS($AF$3:AF835,"&gt;0",$S$3:S835,S835)&gt;3,"Trừ toàn bộ chuyên cần tháng",""))</f>
        <v/>
      </c>
      <c r="AI835" s="12"/>
    </row>
    <row r="836" spans="1:35" x14ac:dyDescent="0.25">
      <c r="A836" s="4" t="s">
        <v>1190</v>
      </c>
      <c r="B836" s="1" t="s">
        <v>806</v>
      </c>
      <c r="C836" s="1" t="s">
        <v>20</v>
      </c>
      <c r="D836" s="1" t="s">
        <v>116</v>
      </c>
      <c r="E836" s="1" t="s">
        <v>22</v>
      </c>
      <c r="F836" s="1" t="s">
        <v>23</v>
      </c>
      <c r="G836" s="1" t="s">
        <v>29</v>
      </c>
      <c r="H836" s="1" t="s">
        <v>1225</v>
      </c>
      <c r="I836" s="1" t="s">
        <v>1226</v>
      </c>
      <c r="J836" s="1" t="s">
        <v>25</v>
      </c>
      <c r="K836" s="1" t="s">
        <v>1227</v>
      </c>
      <c r="L836" s="1" t="s">
        <v>25</v>
      </c>
      <c r="M836" s="1" t="s">
        <v>26</v>
      </c>
      <c r="N836" s="1" t="s">
        <v>25</v>
      </c>
      <c r="O836" s="1" t="s">
        <v>1228</v>
      </c>
      <c r="P836" s="1" t="s">
        <v>25</v>
      </c>
      <c r="Q836" s="1" t="s">
        <v>25</v>
      </c>
      <c r="R836" s="85" t="str">
        <f t="shared" si="52"/>
        <v>945924</v>
      </c>
      <c r="S836" t="str">
        <f>VLOOKUP(A836,Data_NV!$A:$C,3,0)</f>
        <v>Hoàng Thị Hoài Nhi</v>
      </c>
      <c r="T836" t="str">
        <f>VLOOKUP(A836,Data_NV!$A:$E,4,0)</f>
        <v>Kế toán - Văn phòng</v>
      </c>
      <c r="U836" s="82">
        <f>DATEVALUE(Table2[[#This Row],[Ngày]])</f>
        <v>45924</v>
      </c>
      <c r="V836" t="str">
        <f>VLOOKUP(A836,Data_NV!$A:$E,5,0)</f>
        <v>Đang làm việc</v>
      </c>
      <c r="W836" s="10">
        <f>VLOOKUP(A836,Data_NV!$A:$I,8,0)</f>
        <v>0.33333333333333331</v>
      </c>
      <c r="X836" s="10">
        <f>VLOOKUP(A836,Data_NV!$A:$I,9,0)</f>
        <v>0.70833333333333337</v>
      </c>
      <c r="Y836" s="10">
        <f>IFERROR(TIMEVALUE(Table2[[#This Row],[Vào]]),0)</f>
        <v>0.32700231481481479</v>
      </c>
      <c r="Z836" s="10">
        <f>IFERROR(TIMEVALUE(Table2[[#This Row],[Ra]]),0)</f>
        <v>0.78835648148148152</v>
      </c>
      <c r="AA836" t="str">
        <f t="shared" si="53"/>
        <v>x</v>
      </c>
      <c r="AB836" s="105">
        <f t="shared" si="54"/>
        <v>0</v>
      </c>
      <c r="AC836" s="12" t="str">
        <f>IF(VLOOKUP(A836,Data_NV!$A:$I,7,0)="Không","",IF(OR(AND(Y836=0,Z836=0),AND(Y836&lt;&gt;0,Z836&lt;&gt;0)),"","Quên chấm công"))</f>
        <v/>
      </c>
      <c r="AD836" s="12">
        <f>IF(VLOOKUP(A836,Data_NV!$A:$I,7,0)="Không",0,IF(AND(Y836=0,Z836=0),0,IF(X836&lt;=Z836,0,ROUNDDOWN((X836-Z836)*24*60,0))))</f>
        <v>0</v>
      </c>
      <c r="AE836" s="12">
        <f>IF(VLOOKUP(A836,Data_NV!$A:$I,6,0)="Không",0,IF(Z836&lt;=X836,0,ROUNDDOWN((Z836-X836)*24*60,0)))</f>
        <v>115</v>
      </c>
      <c r="AF836" s="26">
        <f t="shared" si="55"/>
        <v>0</v>
      </c>
      <c r="AG836" s="27" t="str">
        <f>IF(AC836="","",IF(COUNTIFS($AC$3:AC836,"Quên chấm công",$S$3:S836,S836)&gt;3,"Không chấm công do vi phạm quá 3 lần",IF(COUNTIFS($AC$3:AC836,"Quên chấm công",$S$3:S836,S836)&gt;2,"Trừ toàn bộ chuyên cần tháng do vi phạm lần 3",IF(COUNTIFS($AC$3:AC836,"Quên chấm công",$S$3:S836,S836)&gt;1,"Trừ 1/2 ngày lương",50000))))</f>
        <v/>
      </c>
      <c r="AH836" s="12" t="str">
        <f>IF(AF836=0,"",IF(COUNTIFS($AF$3:AF836,"&gt;0",$S$3:S836,S836)&gt;3,"Trừ toàn bộ chuyên cần tháng",""))</f>
        <v/>
      </c>
      <c r="AI836" s="12"/>
    </row>
    <row r="837" spans="1:35" x14ac:dyDescent="0.25">
      <c r="A837" s="4" t="s">
        <v>1190</v>
      </c>
      <c r="B837" s="1" t="s">
        <v>806</v>
      </c>
      <c r="C837" s="1" t="s">
        <v>20</v>
      </c>
      <c r="D837" s="1" t="s">
        <v>121</v>
      </c>
      <c r="E837" s="1" t="s">
        <v>22</v>
      </c>
      <c r="F837" s="1" t="s">
        <v>23</v>
      </c>
      <c r="G837" s="1" t="s">
        <v>29</v>
      </c>
      <c r="H837" s="1" t="s">
        <v>1229</v>
      </c>
      <c r="I837" s="1" t="s">
        <v>1230</v>
      </c>
      <c r="J837" s="1" t="s">
        <v>25</v>
      </c>
      <c r="K837" s="1" t="s">
        <v>1231</v>
      </c>
      <c r="L837" s="1" t="s">
        <v>25</v>
      </c>
      <c r="M837" s="1" t="s">
        <v>26</v>
      </c>
      <c r="N837" s="1" t="s">
        <v>25</v>
      </c>
      <c r="O837" s="1" t="s">
        <v>33</v>
      </c>
      <c r="P837" s="1" t="s">
        <v>617</v>
      </c>
      <c r="Q837" s="1" t="s">
        <v>25</v>
      </c>
      <c r="R837" s="85" t="str">
        <f t="shared" si="52"/>
        <v>945925</v>
      </c>
      <c r="S837" t="str">
        <f>VLOOKUP(A837,Data_NV!$A:$C,3,0)</f>
        <v>Hoàng Thị Hoài Nhi</v>
      </c>
      <c r="T837" t="str">
        <f>VLOOKUP(A837,Data_NV!$A:$E,4,0)</f>
        <v>Kế toán - Văn phòng</v>
      </c>
      <c r="U837" s="82">
        <f>DATEVALUE(Table2[[#This Row],[Ngày]])</f>
        <v>45925</v>
      </c>
      <c r="V837" t="str">
        <f>VLOOKUP(A837,Data_NV!$A:$E,5,0)</f>
        <v>Đang làm việc</v>
      </c>
      <c r="W837" s="10">
        <f>VLOOKUP(A837,Data_NV!$A:$I,8,0)</f>
        <v>0.33333333333333331</v>
      </c>
      <c r="X837" s="10">
        <f>VLOOKUP(A837,Data_NV!$A:$I,9,0)</f>
        <v>0.70833333333333337</v>
      </c>
      <c r="Y837" s="10">
        <f>IFERROR(TIMEVALUE(Table2[[#This Row],[Vào]]),0)</f>
        <v>0.32656249999999998</v>
      </c>
      <c r="Z837" s="10">
        <f>IFERROR(TIMEVALUE(Table2[[#This Row],[Ra]]),0)</f>
        <v>0.79920138888888892</v>
      </c>
      <c r="AA837" t="str">
        <f t="shared" si="53"/>
        <v>x</v>
      </c>
      <c r="AB837" s="105">
        <f t="shared" si="54"/>
        <v>0</v>
      </c>
      <c r="AC837" s="12" t="str">
        <f>IF(VLOOKUP(A837,Data_NV!$A:$I,7,0)="Không","",IF(OR(AND(Y837=0,Z837=0),AND(Y837&lt;&gt;0,Z837&lt;&gt;0)),"","Quên chấm công"))</f>
        <v/>
      </c>
      <c r="AD837" s="12">
        <f>IF(VLOOKUP(A837,Data_NV!$A:$I,7,0)="Không",0,IF(AND(Y837=0,Z837=0),0,IF(X837&lt;=Z837,0,ROUNDDOWN((X837-Z837)*24*60,0))))</f>
        <v>0</v>
      </c>
      <c r="AE837" s="12">
        <f>IF(VLOOKUP(A837,Data_NV!$A:$I,6,0)="Không",0,IF(Z837&lt;=X837,0,ROUNDDOWN((Z837-X837)*24*60,0)))</f>
        <v>130</v>
      </c>
      <c r="AF837" s="26">
        <f t="shared" si="55"/>
        <v>0</v>
      </c>
      <c r="AG837" s="27" t="str">
        <f>IF(AC837="","",IF(COUNTIFS($AC$3:AC837,"Quên chấm công",$S$3:S837,S837)&gt;3,"Không chấm công do vi phạm quá 3 lần",IF(COUNTIFS($AC$3:AC837,"Quên chấm công",$S$3:S837,S837)&gt;2,"Trừ toàn bộ chuyên cần tháng do vi phạm lần 3",IF(COUNTIFS($AC$3:AC837,"Quên chấm công",$S$3:S837,S837)&gt;1,"Trừ 1/2 ngày lương",50000))))</f>
        <v/>
      </c>
      <c r="AH837" s="12" t="str">
        <f>IF(AF837=0,"",IF(COUNTIFS($AF$3:AF837,"&gt;0",$S$3:S837,S837)&gt;3,"Trừ toàn bộ chuyên cần tháng",""))</f>
        <v/>
      </c>
      <c r="AI837" s="12"/>
    </row>
    <row r="838" spans="1:35" x14ac:dyDescent="0.25">
      <c r="A838" s="4" t="s">
        <v>1190</v>
      </c>
      <c r="B838" s="1" t="s">
        <v>806</v>
      </c>
      <c r="C838" s="1" t="s">
        <v>20</v>
      </c>
      <c r="D838" s="1" t="s">
        <v>123</v>
      </c>
      <c r="E838" s="1" t="s">
        <v>22</v>
      </c>
      <c r="F838" s="1" t="s">
        <v>23</v>
      </c>
      <c r="G838" s="1" t="s">
        <v>29</v>
      </c>
      <c r="H838" s="1" t="s">
        <v>993</v>
      </c>
      <c r="I838" s="1" t="s">
        <v>1232</v>
      </c>
      <c r="J838" s="1" t="s">
        <v>25</v>
      </c>
      <c r="K838" s="1" t="s">
        <v>1231</v>
      </c>
      <c r="L838" s="1" t="s">
        <v>25</v>
      </c>
      <c r="M838" s="1" t="s">
        <v>26</v>
      </c>
      <c r="N838" s="1" t="s">
        <v>25</v>
      </c>
      <c r="O838" s="1" t="s">
        <v>33</v>
      </c>
      <c r="P838" s="1" t="s">
        <v>617</v>
      </c>
      <c r="Q838" s="1" t="s">
        <v>25</v>
      </c>
      <c r="R838" s="85" t="str">
        <f t="shared" si="52"/>
        <v>945926</v>
      </c>
      <c r="S838" t="str">
        <f>VLOOKUP(A838,Data_NV!$A:$C,3,0)</f>
        <v>Hoàng Thị Hoài Nhi</v>
      </c>
      <c r="T838" t="str">
        <f>VLOOKUP(A838,Data_NV!$A:$E,4,0)</f>
        <v>Kế toán - Văn phòng</v>
      </c>
      <c r="U838" s="82">
        <f>DATEVALUE(Table2[[#This Row],[Ngày]])</f>
        <v>45926</v>
      </c>
      <c r="V838" t="str">
        <f>VLOOKUP(A838,Data_NV!$A:$E,5,0)</f>
        <v>Đang làm việc</v>
      </c>
      <c r="W838" s="10">
        <f>VLOOKUP(A838,Data_NV!$A:$I,8,0)</f>
        <v>0.33333333333333331</v>
      </c>
      <c r="X838" s="10">
        <f>VLOOKUP(A838,Data_NV!$A:$I,9,0)</f>
        <v>0.70833333333333337</v>
      </c>
      <c r="Y838" s="10">
        <f>IFERROR(TIMEVALUE(Table2[[#This Row],[Vào]]),0)</f>
        <v>0.32609953703703703</v>
      </c>
      <c r="Z838" s="10">
        <f>IFERROR(TIMEVALUE(Table2[[#This Row],[Ra]]),0)</f>
        <v>0.7994444444444444</v>
      </c>
      <c r="AA838" t="str">
        <f t="shared" si="53"/>
        <v>x</v>
      </c>
      <c r="AB838" s="105">
        <f t="shared" si="54"/>
        <v>0</v>
      </c>
      <c r="AC838" s="12" t="str">
        <f>IF(VLOOKUP(A838,Data_NV!$A:$I,7,0)="Không","",IF(OR(AND(Y838=0,Z838=0),AND(Y838&lt;&gt;0,Z838&lt;&gt;0)),"","Quên chấm công"))</f>
        <v/>
      </c>
      <c r="AD838" s="12">
        <f>IF(VLOOKUP(A838,Data_NV!$A:$I,7,0)="Không",0,IF(AND(Y838=0,Z838=0),0,IF(X838&lt;=Z838,0,ROUNDDOWN((X838-Z838)*24*60,0))))</f>
        <v>0</v>
      </c>
      <c r="AE838" s="12">
        <f>IF(VLOOKUP(A838,Data_NV!$A:$I,6,0)="Không",0,IF(Z838&lt;=X838,0,ROUNDDOWN((Z838-X838)*24*60,0)))</f>
        <v>131</v>
      </c>
      <c r="AF838" s="26">
        <f t="shared" si="55"/>
        <v>0</v>
      </c>
      <c r="AG838" s="27" t="str">
        <f>IF(AC838="","",IF(COUNTIFS($AC$3:AC838,"Quên chấm công",$S$3:S838,S838)&gt;3,"Không chấm công do vi phạm quá 3 lần",IF(COUNTIFS($AC$3:AC838,"Quên chấm công",$S$3:S838,S838)&gt;2,"Trừ toàn bộ chuyên cần tháng do vi phạm lần 3",IF(COUNTIFS($AC$3:AC838,"Quên chấm công",$S$3:S838,S838)&gt;1,"Trừ 1/2 ngày lương",50000))))</f>
        <v/>
      </c>
      <c r="AH838" s="12" t="str">
        <f>IF(AF838=0,"",IF(COUNTIFS($AF$3:AF838,"&gt;0",$S$3:S838,S838)&gt;3,"Trừ toàn bộ chuyên cần tháng",""))</f>
        <v/>
      </c>
      <c r="AI838" s="12"/>
    </row>
    <row r="839" spans="1:35" x14ac:dyDescent="0.25">
      <c r="A839" s="4" t="s">
        <v>1190</v>
      </c>
      <c r="B839" s="1" t="s">
        <v>806</v>
      </c>
      <c r="C839" s="1" t="s">
        <v>20</v>
      </c>
      <c r="D839" s="1" t="s">
        <v>125</v>
      </c>
      <c r="E839" s="1" t="s">
        <v>22</v>
      </c>
      <c r="F839" s="1" t="s">
        <v>23</v>
      </c>
      <c r="G839" s="1" t="s">
        <v>29</v>
      </c>
      <c r="H839" s="1" t="s">
        <v>1233</v>
      </c>
      <c r="I839" s="1" t="s">
        <v>1234</v>
      </c>
      <c r="J839" s="1" t="s">
        <v>25</v>
      </c>
      <c r="K839" s="1" t="s">
        <v>1227</v>
      </c>
      <c r="L839" s="1" t="s">
        <v>25</v>
      </c>
      <c r="M839" s="1" t="s">
        <v>26</v>
      </c>
      <c r="N839" s="1" t="s">
        <v>25</v>
      </c>
      <c r="O839" s="1" t="s">
        <v>1228</v>
      </c>
      <c r="P839" s="1" t="s">
        <v>25</v>
      </c>
      <c r="Q839" s="1" t="s">
        <v>25</v>
      </c>
      <c r="R839" s="85" t="str">
        <f t="shared" si="52"/>
        <v>945927</v>
      </c>
      <c r="S839" t="str">
        <f>VLOOKUP(A839,Data_NV!$A:$C,3,0)</f>
        <v>Hoàng Thị Hoài Nhi</v>
      </c>
      <c r="T839" t="str">
        <f>VLOOKUP(A839,Data_NV!$A:$E,4,0)</f>
        <v>Kế toán - Văn phòng</v>
      </c>
      <c r="U839" s="82">
        <f>DATEVALUE(Table2[[#This Row],[Ngày]])</f>
        <v>45927</v>
      </c>
      <c r="V839" t="str">
        <f>VLOOKUP(A839,Data_NV!$A:$E,5,0)</f>
        <v>Đang làm việc</v>
      </c>
      <c r="W839" s="10">
        <f>VLOOKUP(A839,Data_NV!$A:$I,8,0)</f>
        <v>0.33333333333333331</v>
      </c>
      <c r="X839" s="10">
        <f>VLOOKUP(A839,Data_NV!$A:$I,9,0)</f>
        <v>0.70833333333333337</v>
      </c>
      <c r="Y839" s="10">
        <f>IFERROR(TIMEVALUE(Table2[[#This Row],[Vào]]),0)</f>
        <v>0.32612268518518517</v>
      </c>
      <c r="Z839" s="10">
        <f>IFERROR(TIMEVALUE(Table2[[#This Row],[Ra]]),0)</f>
        <v>0.78825231481481484</v>
      </c>
      <c r="AA839" t="str">
        <f t="shared" si="53"/>
        <v>x</v>
      </c>
      <c r="AB839" s="105">
        <f t="shared" si="54"/>
        <v>0</v>
      </c>
      <c r="AC839" s="12" t="str">
        <f>IF(VLOOKUP(A839,Data_NV!$A:$I,7,0)="Không","",IF(OR(AND(Y839=0,Z839=0),AND(Y839&lt;&gt;0,Z839&lt;&gt;0)),"","Quên chấm công"))</f>
        <v/>
      </c>
      <c r="AD839" s="12">
        <f>IF(VLOOKUP(A839,Data_NV!$A:$I,7,0)="Không",0,IF(AND(Y839=0,Z839=0),0,IF(X839&lt;=Z839,0,ROUNDDOWN((X839-Z839)*24*60,0))))</f>
        <v>0</v>
      </c>
      <c r="AE839" s="12">
        <f>IF(VLOOKUP(A839,Data_NV!$A:$I,6,0)="Không",0,IF(Z839&lt;=X839,0,ROUNDDOWN((Z839-X839)*24*60,0)))</f>
        <v>115</v>
      </c>
      <c r="AF839" s="26">
        <f t="shared" si="55"/>
        <v>0</v>
      </c>
      <c r="AG839" s="27" t="str">
        <f>IF(AC839="","",IF(COUNTIFS($AC$3:AC839,"Quên chấm công",$S$3:S839,S839)&gt;3,"Không chấm công do vi phạm quá 3 lần",IF(COUNTIFS($AC$3:AC839,"Quên chấm công",$S$3:S839,S839)&gt;2,"Trừ toàn bộ chuyên cần tháng do vi phạm lần 3",IF(COUNTIFS($AC$3:AC839,"Quên chấm công",$S$3:S839,S839)&gt;1,"Trừ 1/2 ngày lương",50000))))</f>
        <v/>
      </c>
      <c r="AH839" s="12" t="str">
        <f>IF(AF839=0,"",IF(COUNTIFS($AF$3:AF839,"&gt;0",$S$3:S839,S839)&gt;3,"Trừ toàn bộ chuyên cần tháng",""))</f>
        <v/>
      </c>
      <c r="AI839" s="12"/>
    </row>
    <row r="840" spans="1:35" x14ac:dyDescent="0.25">
      <c r="A840" s="4" t="s">
        <v>1190</v>
      </c>
      <c r="B840" s="1" t="s">
        <v>806</v>
      </c>
      <c r="C840" s="1" t="s">
        <v>20</v>
      </c>
      <c r="D840" s="1" t="s">
        <v>130</v>
      </c>
      <c r="E840" s="1" t="s">
        <v>22</v>
      </c>
      <c r="F840" s="1" t="s">
        <v>23</v>
      </c>
      <c r="G840" s="1" t="s">
        <v>12</v>
      </c>
      <c r="H840" s="1" t="s">
        <v>24</v>
      </c>
      <c r="I840" s="1" t="s">
        <v>24</v>
      </c>
      <c r="J840" s="1" t="s">
        <v>25</v>
      </c>
      <c r="K840" s="1" t="s">
        <v>25</v>
      </c>
      <c r="L840" s="1" t="s">
        <v>26</v>
      </c>
      <c r="M840" s="1" t="s">
        <v>25</v>
      </c>
      <c r="N840" s="1" t="s">
        <v>25</v>
      </c>
      <c r="O840" s="1" t="s">
        <v>25</v>
      </c>
      <c r="P840" s="1" t="s">
        <v>25</v>
      </c>
      <c r="Q840" s="1" t="s">
        <v>25</v>
      </c>
      <c r="R840" s="85" t="str">
        <f t="shared" si="52"/>
        <v>945928</v>
      </c>
      <c r="S840" t="str">
        <f>VLOOKUP(A840,Data_NV!$A:$C,3,0)</f>
        <v>Hoàng Thị Hoài Nhi</v>
      </c>
      <c r="T840" t="str">
        <f>VLOOKUP(A840,Data_NV!$A:$E,4,0)</f>
        <v>Kế toán - Văn phòng</v>
      </c>
      <c r="U840" s="82">
        <f>DATEVALUE(Table2[[#This Row],[Ngày]])</f>
        <v>45928</v>
      </c>
      <c r="V840" t="str">
        <f>VLOOKUP(A840,Data_NV!$A:$E,5,0)</f>
        <v>Đang làm việc</v>
      </c>
      <c r="W840" s="10">
        <f>VLOOKUP(A840,Data_NV!$A:$I,8,0)</f>
        <v>0.33333333333333331</v>
      </c>
      <c r="X840" s="10">
        <f>VLOOKUP(A840,Data_NV!$A:$I,9,0)</f>
        <v>0.70833333333333337</v>
      </c>
      <c r="Y840" s="10">
        <f>IFERROR(TIMEVALUE(Table2[[#This Row],[Vào]]),0)</f>
        <v>0</v>
      </c>
      <c r="Z840" s="10">
        <f>IFERROR(TIMEVALUE(Table2[[#This Row],[Ra]]),0)</f>
        <v>0</v>
      </c>
      <c r="AA840" t="str">
        <f t="shared" si="53"/>
        <v>Chủ nhật</v>
      </c>
      <c r="AB840" s="105">
        <f t="shared" si="54"/>
        <v>0</v>
      </c>
      <c r="AC840" s="12" t="str">
        <f>IF(VLOOKUP(A840,Data_NV!$A:$I,7,0)="Không","",IF(OR(AND(Y840=0,Z840=0),AND(Y840&lt;&gt;0,Z840&lt;&gt;0)),"","Quên chấm công"))</f>
        <v/>
      </c>
      <c r="AD840" s="12">
        <f>IF(VLOOKUP(A840,Data_NV!$A:$I,7,0)="Không",0,IF(AND(Y840=0,Z840=0),0,IF(X840&lt;=Z840,0,ROUNDDOWN((X840-Z840)*24*60,0))))</f>
        <v>0</v>
      </c>
      <c r="AE840" s="12">
        <f>IF(VLOOKUP(A840,Data_NV!$A:$I,6,0)="Không",0,IF(Z840&lt;=X840,0,ROUNDDOWN((Z840-X840)*24*60,0)))</f>
        <v>0</v>
      </c>
      <c r="AF840" s="26">
        <f t="shared" si="55"/>
        <v>0</v>
      </c>
      <c r="AG840" s="27" t="str">
        <f>IF(AC840="","",IF(COUNTIFS($AC$3:AC840,"Quên chấm công",$S$3:S840,S840)&gt;3,"Không chấm công do vi phạm quá 3 lần",IF(COUNTIFS($AC$3:AC840,"Quên chấm công",$S$3:S840,S840)&gt;2,"Trừ toàn bộ chuyên cần tháng do vi phạm lần 3",IF(COUNTIFS($AC$3:AC840,"Quên chấm công",$S$3:S840,S840)&gt;1,"Trừ 1/2 ngày lương",50000))))</f>
        <v/>
      </c>
      <c r="AH840" s="12" t="str">
        <f>IF(AF840=0,"",IF(COUNTIFS($AF$3:AF840,"&gt;0",$S$3:S840,S840)&gt;3,"Trừ toàn bộ chuyên cần tháng",""))</f>
        <v/>
      </c>
      <c r="AI840" s="12"/>
    </row>
    <row r="841" spans="1:35" x14ac:dyDescent="0.25">
      <c r="A841" s="4" t="s">
        <v>1190</v>
      </c>
      <c r="B841" s="1" t="s">
        <v>806</v>
      </c>
      <c r="C841" s="1" t="s">
        <v>20</v>
      </c>
      <c r="D841" s="1" t="s">
        <v>131</v>
      </c>
      <c r="E841" s="1" t="s">
        <v>22</v>
      </c>
      <c r="F841" s="1" t="s">
        <v>23</v>
      </c>
      <c r="G841" s="1" t="s">
        <v>29</v>
      </c>
      <c r="H841" s="1" t="s">
        <v>1235</v>
      </c>
      <c r="I841" s="1" t="s">
        <v>1236</v>
      </c>
      <c r="J841" s="1" t="s">
        <v>25</v>
      </c>
      <c r="K841" s="1" t="s">
        <v>1237</v>
      </c>
      <c r="L841" s="1" t="s">
        <v>25</v>
      </c>
      <c r="M841" s="1" t="s">
        <v>26</v>
      </c>
      <c r="N841" s="1" t="s">
        <v>25</v>
      </c>
      <c r="O841" s="1" t="s">
        <v>33</v>
      </c>
      <c r="P841" s="1" t="s">
        <v>990</v>
      </c>
      <c r="Q841" s="1" t="s">
        <v>25</v>
      </c>
      <c r="R841" s="85" t="str">
        <f t="shared" si="52"/>
        <v>945929</v>
      </c>
      <c r="S841" t="str">
        <f>VLOOKUP(A841,Data_NV!$A:$C,3,0)</f>
        <v>Hoàng Thị Hoài Nhi</v>
      </c>
      <c r="T841" t="str">
        <f>VLOOKUP(A841,Data_NV!$A:$E,4,0)</f>
        <v>Kế toán - Văn phòng</v>
      </c>
      <c r="U841" s="82">
        <f>DATEVALUE(Table2[[#This Row],[Ngày]])</f>
        <v>45929</v>
      </c>
      <c r="V841" t="str">
        <f>VLOOKUP(A841,Data_NV!$A:$E,5,0)</f>
        <v>Đang làm việc</v>
      </c>
      <c r="W841" s="10">
        <f>VLOOKUP(A841,Data_NV!$A:$I,8,0)</f>
        <v>0.33333333333333331</v>
      </c>
      <c r="X841" s="10">
        <f>VLOOKUP(A841,Data_NV!$A:$I,9,0)</f>
        <v>0.70833333333333337</v>
      </c>
      <c r="Y841" s="10">
        <f>IFERROR(TIMEVALUE(Table2[[#This Row],[Vào]]),0)</f>
        <v>0.3278240740740741</v>
      </c>
      <c r="Z841" s="10">
        <f>IFERROR(TIMEVALUE(Table2[[#This Row],[Ra]]),0)</f>
        <v>0.79462962962962957</v>
      </c>
      <c r="AA841" t="str">
        <f t="shared" si="53"/>
        <v>x</v>
      </c>
      <c r="AB841" s="105">
        <f t="shared" si="54"/>
        <v>0</v>
      </c>
      <c r="AC841" s="12" t="str">
        <f>IF(VLOOKUP(A841,Data_NV!$A:$I,7,0)="Không","",IF(OR(AND(Y841=0,Z841=0),AND(Y841&lt;&gt;0,Z841&lt;&gt;0)),"","Quên chấm công"))</f>
        <v/>
      </c>
      <c r="AD841" s="12">
        <f>IF(VLOOKUP(A841,Data_NV!$A:$I,7,0)="Không",0,IF(AND(Y841=0,Z841=0),0,IF(X841&lt;=Z841,0,ROUNDDOWN((X841-Z841)*24*60,0))))</f>
        <v>0</v>
      </c>
      <c r="AE841" s="12">
        <f>IF(VLOOKUP(A841,Data_NV!$A:$I,6,0)="Không",0,IF(Z841&lt;=X841,0,ROUNDDOWN((Z841-X841)*24*60,0)))</f>
        <v>124</v>
      </c>
      <c r="AF841" s="26">
        <f t="shared" si="55"/>
        <v>0</v>
      </c>
      <c r="AG841" s="27" t="str">
        <f>IF(AC841="","",IF(COUNTIFS($AC$3:AC841,"Quên chấm công",$S$3:S841,S841)&gt;3,"Không chấm công do vi phạm quá 3 lần",IF(COUNTIFS($AC$3:AC841,"Quên chấm công",$S$3:S841,S841)&gt;2,"Trừ toàn bộ chuyên cần tháng do vi phạm lần 3",IF(COUNTIFS($AC$3:AC841,"Quên chấm công",$S$3:S841,S841)&gt;1,"Trừ 1/2 ngày lương",50000))))</f>
        <v/>
      </c>
      <c r="AH841" s="12" t="str">
        <f>IF(AF841=0,"",IF(COUNTIFS($AF$3:AF841,"&gt;0",$S$3:S841,S841)&gt;3,"Trừ toàn bộ chuyên cần tháng",""))</f>
        <v/>
      </c>
      <c r="AI841" s="12"/>
    </row>
    <row r="842" spans="1:35" x14ac:dyDescent="0.25">
      <c r="A842" s="4" t="s">
        <v>1190</v>
      </c>
      <c r="B842" s="1" t="s">
        <v>806</v>
      </c>
      <c r="C842" s="1" t="s">
        <v>20</v>
      </c>
      <c r="D842" s="1" t="s">
        <v>136</v>
      </c>
      <c r="E842" s="1" t="s">
        <v>22</v>
      </c>
      <c r="F842" s="1" t="s">
        <v>23</v>
      </c>
      <c r="G842" s="1" t="s">
        <v>29</v>
      </c>
      <c r="H842" s="1" t="s">
        <v>1238</v>
      </c>
      <c r="I842" s="1" t="s">
        <v>1239</v>
      </c>
      <c r="J842" s="1" t="s">
        <v>25</v>
      </c>
      <c r="K842" s="1" t="s">
        <v>119</v>
      </c>
      <c r="L842" s="1" t="s">
        <v>25</v>
      </c>
      <c r="M842" s="1" t="s">
        <v>26</v>
      </c>
      <c r="N842" s="1" t="s">
        <v>25</v>
      </c>
      <c r="O842" s="1" t="s">
        <v>120</v>
      </c>
      <c r="P842" s="1" t="s">
        <v>25</v>
      </c>
      <c r="Q842" s="1" t="s">
        <v>25</v>
      </c>
      <c r="R842" s="85" t="str">
        <f t="shared" si="52"/>
        <v>945930</v>
      </c>
      <c r="S842" t="str">
        <f>VLOOKUP(A842,Data_NV!$A:$C,3,0)</f>
        <v>Hoàng Thị Hoài Nhi</v>
      </c>
      <c r="T842" t="str">
        <f>VLOOKUP(A842,Data_NV!$A:$E,4,0)</f>
        <v>Kế toán - Văn phòng</v>
      </c>
      <c r="U842" s="82">
        <f>DATEVALUE(Table2[[#This Row],[Ngày]])</f>
        <v>45930</v>
      </c>
      <c r="V842" t="str">
        <f>VLOOKUP(A842,Data_NV!$A:$E,5,0)</f>
        <v>Đang làm việc</v>
      </c>
      <c r="W842" s="10">
        <f>VLOOKUP(A842,Data_NV!$A:$I,8,0)</f>
        <v>0.33333333333333331</v>
      </c>
      <c r="X842" s="10">
        <f>VLOOKUP(A842,Data_NV!$A:$I,9,0)</f>
        <v>0.70833333333333337</v>
      </c>
      <c r="Y842" s="10">
        <f>IFERROR(TIMEVALUE(Table2[[#This Row],[Vào]]),0)</f>
        <v>0.32662037037037039</v>
      </c>
      <c r="Z842" s="10">
        <f>IFERROR(TIMEVALUE(Table2[[#This Row],[Ra]]),0)</f>
        <v>0.75611111111111107</v>
      </c>
      <c r="AA842" t="str">
        <f t="shared" si="53"/>
        <v>x</v>
      </c>
      <c r="AB842" s="105">
        <f t="shared" si="54"/>
        <v>0</v>
      </c>
      <c r="AC842" s="12" t="str">
        <f>IF(VLOOKUP(A842,Data_NV!$A:$I,7,0)="Không","",IF(OR(AND(Y842=0,Z842=0),AND(Y842&lt;&gt;0,Z842&lt;&gt;0)),"","Quên chấm công"))</f>
        <v/>
      </c>
      <c r="AD842" s="12">
        <f>IF(VLOOKUP(A842,Data_NV!$A:$I,7,0)="Không",0,IF(AND(Y842=0,Z842=0),0,IF(X842&lt;=Z842,0,ROUNDDOWN((X842-Z842)*24*60,0))))</f>
        <v>0</v>
      </c>
      <c r="AE842" s="12">
        <f>IF(VLOOKUP(A842,Data_NV!$A:$I,6,0)="Không",0,IF(Z842&lt;=X842,0,ROUNDDOWN((Z842-X842)*24*60,0)))</f>
        <v>68</v>
      </c>
      <c r="AF842" s="26">
        <f t="shared" si="55"/>
        <v>0</v>
      </c>
      <c r="AG842" s="27" t="str">
        <f>IF(AC842="","",IF(COUNTIFS($AC$3:AC842,"Quên chấm công",$S$3:S842,S842)&gt;3,"Không chấm công do vi phạm quá 3 lần",IF(COUNTIFS($AC$3:AC842,"Quên chấm công",$S$3:S842,S842)&gt;2,"Trừ toàn bộ chuyên cần tháng do vi phạm lần 3",IF(COUNTIFS($AC$3:AC842,"Quên chấm công",$S$3:S842,S842)&gt;1,"Trừ 1/2 ngày lương",50000))))</f>
        <v/>
      </c>
      <c r="AH842" s="12" t="str">
        <f>IF(AF842=0,"",IF(COUNTIFS($AF$3:AF842,"&gt;0",$S$3:S842,S842)&gt;3,"Trừ toàn bộ chuyên cần tháng",""))</f>
        <v/>
      </c>
      <c r="AI842" s="12"/>
    </row>
  </sheetData>
  <phoneticPr fontId="44" type="noConversion"/>
  <conditionalFormatting sqref="A2:AI197 A198:AH202 A203:AI399 A400:AH400 A401:AI411 A412:AH412 A413:AI441 A442:AH442 A443:AI448 A449:AH449 A450:AI463 A464:AH464 A465:AI470 A471:AH471 A472:AI477 A478:AH478 A479:AI481 A482:AH482 A483:AI498 A499:AH500 A501:AI508 A509:AH509 A510:AI842">
    <cfRule type="expression" dxfId="107" priority="37">
      <formula>$AG2="Không chấm công do vi phạm quá 3 lần"</formula>
    </cfRule>
    <cfRule type="expression" dxfId="106" priority="38">
      <formula>$AC2="Quên Chấm Công"</formula>
    </cfRule>
    <cfRule type="expression" dxfId="105" priority="39">
      <formula>$AH2="Trừ toàn bộ chuyên cần tháng"</formula>
    </cfRule>
  </conditionalFormatting>
  <conditionalFormatting sqref="AA2:AA842">
    <cfRule type="expression" dxfId="104" priority="40">
      <formula>$AA2="Chủ Nhật"</formula>
    </cfRule>
  </conditionalFormatting>
  <conditionalFormatting sqref="AI400">
    <cfRule type="expression" dxfId="103" priority="10">
      <formula>$AG400="Không chấm công do vi phạm quá 3 lần"</formula>
    </cfRule>
    <cfRule type="expression" dxfId="102" priority="11">
      <formula>$AC400="Quên Chấm Công"</formula>
    </cfRule>
    <cfRule type="expression" dxfId="101" priority="12">
      <formula>$AH400="Trừ toàn bộ chuyên cần tháng"</formula>
    </cfRule>
  </conditionalFormatting>
  <conditionalFormatting sqref="AI412">
    <cfRule type="expression" dxfId="100" priority="16">
      <formula>$AG412="Không chấm công do vi phạm quá 3 lần"</formula>
    </cfRule>
    <cfRule type="expression" dxfId="99" priority="17">
      <formula>$AC412="Quên Chấm Công"</formula>
    </cfRule>
    <cfRule type="expression" dxfId="98" priority="18">
      <formula>$AH412="Trừ toàn bộ chuyên cần tháng"</formula>
    </cfRule>
  </conditionalFormatting>
  <conditionalFormatting sqref="AI442">
    <cfRule type="expression" dxfId="97" priority="35">
      <formula>$AC442="Quên Chấm Công"</formula>
    </cfRule>
    <cfRule type="expression" dxfId="96" priority="34">
      <formula>$AG442="Không chấm công do vi phạm quá 3 lần"</formula>
    </cfRule>
    <cfRule type="expression" dxfId="95" priority="36">
      <formula>$AH442="Trừ toàn bộ chuyên cần tháng"</formula>
    </cfRule>
  </conditionalFormatting>
  <conditionalFormatting sqref="AI449">
    <cfRule type="expression" dxfId="94" priority="33">
      <formula>$AH449="Trừ toàn bộ chuyên cần tháng"</formula>
    </cfRule>
    <cfRule type="expression" dxfId="93" priority="32">
      <formula>$AC449="Quên Chấm Công"</formula>
    </cfRule>
    <cfRule type="expression" dxfId="92" priority="31">
      <formula>$AG449="Không chấm công do vi phạm quá 3 lần"</formula>
    </cfRule>
  </conditionalFormatting>
  <conditionalFormatting sqref="AI464">
    <cfRule type="expression" dxfId="91" priority="30">
      <formula>$AH464="Trừ toàn bộ chuyên cần tháng"</formula>
    </cfRule>
    <cfRule type="expression" dxfId="90" priority="29">
      <formula>$AC464="Quên Chấm Công"</formula>
    </cfRule>
    <cfRule type="expression" dxfId="89" priority="28">
      <formula>$AG464="Không chấm công do vi phạm quá 3 lần"</formula>
    </cfRule>
  </conditionalFormatting>
  <conditionalFormatting sqref="AI471">
    <cfRule type="expression" dxfId="88" priority="27">
      <formula>$AH471="Trừ toàn bộ chuyên cần tháng"</formula>
    </cfRule>
    <cfRule type="expression" dxfId="87" priority="26">
      <formula>$AC471="Quên Chấm Công"</formula>
    </cfRule>
    <cfRule type="expression" dxfId="86" priority="25">
      <formula>$AG471="Không chấm công do vi phạm quá 3 lần"</formula>
    </cfRule>
  </conditionalFormatting>
  <conditionalFormatting sqref="AI478">
    <cfRule type="expression" dxfId="85" priority="23">
      <formula>$AC478="Quên Chấm Công"</formula>
    </cfRule>
    <cfRule type="expression" dxfId="84" priority="24">
      <formula>$AH478="Trừ toàn bộ chuyên cần tháng"</formula>
    </cfRule>
    <cfRule type="expression" dxfId="83" priority="22">
      <formula>$AG478="Không chấm công do vi phạm quá 3 lần"</formula>
    </cfRule>
  </conditionalFormatting>
  <conditionalFormatting sqref="AI482">
    <cfRule type="expression" dxfId="82" priority="21">
      <formula>$AH482="Trừ toàn bộ chuyên cần tháng"</formula>
    </cfRule>
    <cfRule type="expression" dxfId="81" priority="20">
      <formula>$AC482="Quên Chấm Công"</formula>
    </cfRule>
    <cfRule type="expression" dxfId="80" priority="19">
      <formula>$AG482="Không chấm công do vi phạm quá 3 lần"</formula>
    </cfRule>
  </conditionalFormatting>
  <conditionalFormatting sqref="AI499:AI500">
    <cfRule type="expression" dxfId="79" priority="6">
      <formula>$AH499="Trừ toàn bộ chuyên cần tháng"</formula>
    </cfRule>
    <cfRule type="expression" dxfId="78" priority="5">
      <formula>$AC499="Quên Chấm Công"</formula>
    </cfRule>
    <cfRule type="expression" dxfId="77" priority="4">
      <formula>$AG499="Không chấm công do vi phạm quá 3 lần"</formula>
    </cfRule>
  </conditionalFormatting>
  <conditionalFormatting sqref="AI509">
    <cfRule type="expression" dxfId="76" priority="3">
      <formula>$AH509="Trừ toàn bộ chuyên cần tháng"</formula>
    </cfRule>
    <cfRule type="expression" dxfId="75" priority="2">
      <formula>$AC509="Quên Chấm Công"</formula>
    </cfRule>
    <cfRule type="expression" dxfId="74" priority="1">
      <formula>$AG509="Không chấm công do vi phạm quá 3 lần"</formula>
    </cfRule>
  </conditionalFormatting>
  <pageMargins left="0.75" right="0.75" top="1" bottom="1" header="0.5" footer="0.5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48D30-BD58-4F59-813F-3003D32A0B5C}">
  <dimension ref="A1:D2"/>
  <sheetViews>
    <sheetView workbookViewId="0">
      <selection activeCell="D7" sqref="D7"/>
    </sheetView>
  </sheetViews>
  <sheetFormatPr defaultRowHeight="15" x14ac:dyDescent="0.25"/>
  <cols>
    <col min="1" max="1" width="4" bestFit="1" customWidth="1"/>
    <col min="2" max="2" width="10.28515625" bestFit="1" customWidth="1"/>
    <col min="3" max="3" width="15.140625" style="91" bestFit="1" customWidth="1"/>
    <col min="4" max="4" width="22.85546875" bestFit="1" customWidth="1"/>
  </cols>
  <sheetData>
    <row r="1" spans="1:4" x14ac:dyDescent="0.25">
      <c r="A1" s="102" t="s">
        <v>1240</v>
      </c>
      <c r="B1" s="103" t="s">
        <v>1415</v>
      </c>
      <c r="C1" s="104" t="s">
        <v>1416</v>
      </c>
      <c r="D1" s="103" t="s">
        <v>1417</v>
      </c>
    </row>
    <row r="2" spans="1:4" x14ac:dyDescent="0.25">
      <c r="A2">
        <v>1</v>
      </c>
      <c r="B2" t="s">
        <v>1275</v>
      </c>
      <c r="C2" s="91" t="s">
        <v>1418</v>
      </c>
      <c r="D2" t="s">
        <v>1419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3E85-38C0-41F9-B1C6-79FC7B9134AC}">
  <dimension ref="A1:K66"/>
  <sheetViews>
    <sheetView workbookViewId="0">
      <selection activeCell="C14" sqref="C14"/>
    </sheetView>
  </sheetViews>
  <sheetFormatPr defaultRowHeight="15" x14ac:dyDescent="0.25"/>
  <cols>
    <col min="1" max="1" width="7.42578125" bestFit="1" customWidth="1"/>
    <col min="2" max="2" width="9" bestFit="1" customWidth="1"/>
    <col min="3" max="3" width="23.28515625" bestFit="1" customWidth="1"/>
    <col min="4" max="4" width="20.85546875" bestFit="1" customWidth="1"/>
    <col min="5" max="5" width="14.85546875" customWidth="1"/>
    <col min="6" max="6" width="0" hidden="1" customWidth="1"/>
    <col min="7" max="7" width="9.28515625" hidden="1" customWidth="1"/>
    <col min="8" max="8" width="17" style="10" hidden="1" customWidth="1"/>
    <col min="9" max="9" width="12.42578125" style="10" hidden="1" customWidth="1"/>
    <col min="10" max="10" width="10.42578125" style="82" bestFit="1" customWidth="1"/>
    <col min="11" max="11" width="16" bestFit="1" customWidth="1"/>
  </cols>
  <sheetData>
    <row r="1" spans="1:11" ht="47.25" x14ac:dyDescent="0.25">
      <c r="A1" s="5" t="s">
        <v>1242</v>
      </c>
      <c r="B1" s="6" t="s">
        <v>1240</v>
      </c>
      <c r="C1" s="7" t="s">
        <v>1241</v>
      </c>
      <c r="D1" s="7" t="s">
        <v>3</v>
      </c>
      <c r="E1" s="7" t="s">
        <v>1279</v>
      </c>
      <c r="F1" s="8" t="s">
        <v>1281</v>
      </c>
      <c r="G1" s="9" t="s">
        <v>1284</v>
      </c>
      <c r="H1" s="11" t="s">
        <v>1287</v>
      </c>
      <c r="I1" s="11" t="s">
        <v>1289</v>
      </c>
      <c r="J1" s="90" t="s">
        <v>1364</v>
      </c>
      <c r="K1" s="8" t="s">
        <v>1420</v>
      </c>
    </row>
    <row r="2" spans="1:11" ht="15.75" x14ac:dyDescent="0.25">
      <c r="A2" s="3" t="s">
        <v>939</v>
      </c>
      <c r="B2" s="3">
        <v>1</v>
      </c>
      <c r="C2" s="2" t="s">
        <v>1244</v>
      </c>
      <c r="D2" s="2" t="s">
        <v>1243</v>
      </c>
      <c r="E2" t="s">
        <v>1277</v>
      </c>
      <c r="F2" t="s">
        <v>1282</v>
      </c>
      <c r="G2" t="s">
        <v>1282</v>
      </c>
      <c r="H2" s="10">
        <v>0.33333333333333331</v>
      </c>
      <c r="I2" s="10">
        <v>0.70833333333333337</v>
      </c>
      <c r="J2" s="82">
        <v>32109</v>
      </c>
      <c r="K2">
        <f>MONTH(Table1[[#This Row],[Ngày sinh]])</f>
        <v>11</v>
      </c>
    </row>
    <row r="3" spans="1:11" ht="15.75" x14ac:dyDescent="0.25">
      <c r="A3" s="3" t="s">
        <v>776</v>
      </c>
      <c r="B3" s="3">
        <v>2</v>
      </c>
      <c r="C3" s="2" t="s">
        <v>1245</v>
      </c>
      <c r="D3" s="2" t="s">
        <v>1243</v>
      </c>
      <c r="E3" t="s">
        <v>1277</v>
      </c>
      <c r="F3" t="s">
        <v>1282</v>
      </c>
      <c r="G3" t="s">
        <v>1282</v>
      </c>
      <c r="H3" s="10">
        <v>0.33333333333333331</v>
      </c>
      <c r="I3" s="10">
        <v>0.70833333333333337</v>
      </c>
      <c r="J3" s="82">
        <v>35418</v>
      </c>
      <c r="K3">
        <f>MONTH(Table1[[#This Row],[Ngày sinh]])</f>
        <v>12</v>
      </c>
    </row>
    <row r="4" spans="1:11" ht="15.75" x14ac:dyDescent="0.25">
      <c r="A4" s="3" t="s">
        <v>330</v>
      </c>
      <c r="B4" s="3">
        <v>3</v>
      </c>
      <c r="C4" s="2" t="s">
        <v>1246</v>
      </c>
      <c r="D4" s="2" t="s">
        <v>1243</v>
      </c>
      <c r="E4" t="s">
        <v>1277</v>
      </c>
      <c r="F4" t="s">
        <v>1282</v>
      </c>
      <c r="G4" t="s">
        <v>1282</v>
      </c>
      <c r="H4" s="10">
        <v>0.33333333333333331</v>
      </c>
      <c r="I4" s="10">
        <v>0.70833333333333337</v>
      </c>
      <c r="J4" s="82">
        <v>30993</v>
      </c>
      <c r="K4">
        <f>MONTH(Table1[[#This Row],[Ngày sinh]])</f>
        <v>11</v>
      </c>
    </row>
    <row r="5" spans="1:11" ht="15.75" x14ac:dyDescent="0.25">
      <c r="A5" s="3" t="s">
        <v>231</v>
      </c>
      <c r="B5" s="3">
        <v>4</v>
      </c>
      <c r="C5" s="2" t="s">
        <v>1247</v>
      </c>
      <c r="D5" s="2" t="s">
        <v>1243</v>
      </c>
      <c r="E5" t="s">
        <v>1277</v>
      </c>
      <c r="F5" t="s">
        <v>1282</v>
      </c>
      <c r="G5" t="s">
        <v>1282</v>
      </c>
      <c r="H5" s="10">
        <v>0.33333333333333331</v>
      </c>
      <c r="I5" s="10">
        <v>0.70833333333333337</v>
      </c>
      <c r="J5" s="82">
        <v>34596</v>
      </c>
      <c r="K5">
        <f>MONTH(Table1[[#This Row],[Ngày sinh]])</f>
        <v>9</v>
      </c>
    </row>
    <row r="6" spans="1:11" ht="15.75" x14ac:dyDescent="0.25">
      <c r="A6" s="3" t="s">
        <v>750</v>
      </c>
      <c r="B6" s="3">
        <v>5</v>
      </c>
      <c r="C6" s="2" t="s">
        <v>1248</v>
      </c>
      <c r="D6" s="2" t="s">
        <v>1243</v>
      </c>
      <c r="E6" t="s">
        <v>1277</v>
      </c>
      <c r="F6" t="s">
        <v>1282</v>
      </c>
      <c r="G6" t="s">
        <v>1282</v>
      </c>
      <c r="H6" s="10">
        <v>0.33333333333333331</v>
      </c>
      <c r="I6" s="10">
        <v>0.70833333333333337</v>
      </c>
      <c r="J6" s="82">
        <v>34500</v>
      </c>
      <c r="K6">
        <f>MONTH(Table1[[#This Row],[Ngày sinh]])</f>
        <v>6</v>
      </c>
    </row>
    <row r="7" spans="1:11" ht="15.75" x14ac:dyDescent="0.25">
      <c r="A7" s="3" t="s">
        <v>805</v>
      </c>
      <c r="B7" s="3">
        <v>6</v>
      </c>
      <c r="C7" s="2" t="s">
        <v>1249</v>
      </c>
      <c r="D7" s="2" t="s">
        <v>1243</v>
      </c>
      <c r="E7" t="s">
        <v>1277</v>
      </c>
      <c r="F7" t="s">
        <v>1282</v>
      </c>
      <c r="G7" t="s">
        <v>1282</v>
      </c>
      <c r="H7" s="10">
        <v>0.33333333333333331</v>
      </c>
      <c r="I7" s="10">
        <v>0.70833333333333337</v>
      </c>
      <c r="J7" s="82">
        <v>34729</v>
      </c>
      <c r="K7">
        <f>MONTH(Table1[[#This Row],[Ngày sinh]])</f>
        <v>1</v>
      </c>
    </row>
    <row r="8" spans="1:11" ht="15.75" x14ac:dyDescent="0.25">
      <c r="A8" s="3" t="s">
        <v>915</v>
      </c>
      <c r="B8" s="3">
        <v>7</v>
      </c>
      <c r="C8" s="2" t="s">
        <v>1250</v>
      </c>
      <c r="D8" s="2" t="s">
        <v>1243</v>
      </c>
      <c r="E8" t="s">
        <v>1277</v>
      </c>
      <c r="F8" t="s">
        <v>1282</v>
      </c>
      <c r="G8" t="s">
        <v>1282</v>
      </c>
      <c r="H8" s="10">
        <v>0.33333333333333331</v>
      </c>
      <c r="I8" s="10">
        <v>0.70833333333333337</v>
      </c>
      <c r="J8" s="82">
        <v>30760</v>
      </c>
      <c r="K8">
        <f>MONTH(Table1[[#This Row],[Ngày sinh]])</f>
        <v>3</v>
      </c>
    </row>
    <row r="9" spans="1:11" ht="15.75" x14ac:dyDescent="0.25">
      <c r="A9" s="3" t="s">
        <v>678</v>
      </c>
      <c r="B9" s="3">
        <v>8</v>
      </c>
      <c r="C9" s="2" t="s">
        <v>1251</v>
      </c>
      <c r="D9" s="2" t="s">
        <v>1243</v>
      </c>
      <c r="E9" t="s">
        <v>1277</v>
      </c>
      <c r="F9" t="s">
        <v>1283</v>
      </c>
      <c r="G9" t="s">
        <v>1283</v>
      </c>
      <c r="H9" s="10">
        <v>0.33333333333333331</v>
      </c>
      <c r="I9" s="10">
        <v>0.70833333333333337</v>
      </c>
      <c r="J9" s="82">
        <v>37236</v>
      </c>
      <c r="K9">
        <f>MONTH(Table1[[#This Row],[Ngày sinh]])</f>
        <v>12</v>
      </c>
    </row>
    <row r="10" spans="1:11" ht="15.75" x14ac:dyDescent="0.25">
      <c r="A10" s="3" t="s">
        <v>18</v>
      </c>
      <c r="B10" s="3">
        <v>9</v>
      </c>
      <c r="C10" s="2" t="s">
        <v>1252</v>
      </c>
      <c r="D10" s="2" t="s">
        <v>1278</v>
      </c>
      <c r="E10" t="s">
        <v>1277</v>
      </c>
      <c r="F10" t="s">
        <v>1282</v>
      </c>
      <c r="G10" t="s">
        <v>1283</v>
      </c>
      <c r="H10" s="10">
        <v>0.3125</v>
      </c>
      <c r="I10" s="10">
        <v>0.6875</v>
      </c>
      <c r="J10" s="82">
        <v>31312</v>
      </c>
      <c r="K10">
        <f>MONTH(Table1[[#This Row],[Ngày sinh]])</f>
        <v>9</v>
      </c>
    </row>
    <row r="11" spans="1:11" ht="15.75" x14ac:dyDescent="0.25">
      <c r="A11" s="3" t="s">
        <v>172</v>
      </c>
      <c r="B11" s="3">
        <v>10</v>
      </c>
      <c r="C11" s="2" t="s">
        <v>1253</v>
      </c>
      <c r="D11" s="2" t="s">
        <v>1278</v>
      </c>
      <c r="E11" t="s">
        <v>1277</v>
      </c>
      <c r="F11" t="s">
        <v>1282</v>
      </c>
      <c r="G11" t="s">
        <v>1282</v>
      </c>
      <c r="H11" s="10">
        <v>0.3125</v>
      </c>
      <c r="I11" s="10">
        <v>0.6875</v>
      </c>
      <c r="J11" s="82">
        <v>29481</v>
      </c>
      <c r="K11">
        <f>MONTH(Table1[[#This Row],[Ngày sinh]])</f>
        <v>9</v>
      </c>
    </row>
    <row r="12" spans="1:11" ht="15.75" x14ac:dyDescent="0.25">
      <c r="A12" s="3" t="s">
        <v>198</v>
      </c>
      <c r="B12" s="3">
        <v>11</v>
      </c>
      <c r="C12" s="2" t="s">
        <v>1254</v>
      </c>
      <c r="D12" s="2" t="s">
        <v>1278</v>
      </c>
      <c r="E12" t="s">
        <v>1277</v>
      </c>
      <c r="F12" t="s">
        <v>1282</v>
      </c>
      <c r="G12" t="s">
        <v>1282</v>
      </c>
      <c r="H12" s="10">
        <v>0.3125</v>
      </c>
      <c r="I12" s="10">
        <v>0.6875</v>
      </c>
      <c r="J12" s="82">
        <v>35744</v>
      </c>
      <c r="K12">
        <f>MONTH(Table1[[#This Row],[Ngày sinh]])</f>
        <v>11</v>
      </c>
    </row>
    <row r="13" spans="1:11" ht="15.75" x14ac:dyDescent="0.25">
      <c r="A13" s="3" t="s">
        <v>566</v>
      </c>
      <c r="B13" s="3">
        <v>12</v>
      </c>
      <c r="C13" s="2" t="s">
        <v>1255</v>
      </c>
      <c r="D13" s="2" t="s">
        <v>1278</v>
      </c>
      <c r="E13" t="s">
        <v>1277</v>
      </c>
      <c r="F13" t="s">
        <v>1282</v>
      </c>
      <c r="G13" t="s">
        <v>1282</v>
      </c>
      <c r="H13" s="10">
        <v>0.3125</v>
      </c>
      <c r="I13" s="10">
        <v>0.6875</v>
      </c>
      <c r="J13" s="82">
        <v>29537</v>
      </c>
      <c r="K13">
        <f>MONTH(Table1[[#This Row],[Ngày sinh]])</f>
        <v>11</v>
      </c>
    </row>
    <row r="14" spans="1:11" ht="15.75" x14ac:dyDescent="0.25">
      <c r="A14" s="3" t="s">
        <v>163</v>
      </c>
      <c r="B14" s="3">
        <v>13</v>
      </c>
      <c r="C14" s="2" t="s">
        <v>1256</v>
      </c>
      <c r="D14" s="2" t="s">
        <v>1278</v>
      </c>
      <c r="E14" t="s">
        <v>1277</v>
      </c>
      <c r="F14" t="s">
        <v>1282</v>
      </c>
      <c r="G14" t="s">
        <v>1282</v>
      </c>
      <c r="H14" s="10">
        <v>0.3125</v>
      </c>
      <c r="I14" s="10">
        <v>0.6875</v>
      </c>
      <c r="J14" s="82">
        <v>36069</v>
      </c>
      <c r="K14">
        <f>MONTH(Table1[[#This Row],[Ngày sinh]])</f>
        <v>10</v>
      </c>
    </row>
    <row r="15" spans="1:11" ht="15.75" x14ac:dyDescent="0.25">
      <c r="A15" s="3" t="s">
        <v>141</v>
      </c>
      <c r="B15" s="3">
        <v>14</v>
      </c>
      <c r="C15" s="2" t="s">
        <v>1257</v>
      </c>
      <c r="D15" s="2" t="s">
        <v>1278</v>
      </c>
      <c r="E15" t="s">
        <v>1277</v>
      </c>
      <c r="F15" t="s">
        <v>1282</v>
      </c>
      <c r="G15" t="s">
        <v>1282</v>
      </c>
      <c r="H15" s="10">
        <v>0.3125</v>
      </c>
      <c r="I15" s="10">
        <v>0.6875</v>
      </c>
      <c r="J15" s="82">
        <v>28529</v>
      </c>
      <c r="K15">
        <f>MONTH(Table1[[#This Row],[Ngày sinh]])</f>
        <v>2</v>
      </c>
    </row>
    <row r="16" spans="1:11" ht="15.75" x14ac:dyDescent="0.25">
      <c r="A16" s="3" t="s">
        <v>501</v>
      </c>
      <c r="B16" s="3">
        <v>15</v>
      </c>
      <c r="C16" s="2" t="s">
        <v>1258</v>
      </c>
      <c r="D16" s="2" t="s">
        <v>1278</v>
      </c>
      <c r="E16" t="s">
        <v>1277</v>
      </c>
      <c r="F16" t="s">
        <v>1283</v>
      </c>
      <c r="G16" t="s">
        <v>1283</v>
      </c>
      <c r="H16" s="10">
        <v>0.33333333333333331</v>
      </c>
      <c r="I16" s="10">
        <v>0.70833333333333337</v>
      </c>
      <c r="J16" s="82">
        <v>36357</v>
      </c>
      <c r="K16">
        <f>MONTH(Table1[[#This Row],[Ngày sinh]])</f>
        <v>7</v>
      </c>
    </row>
    <row r="17" spans="1:11" ht="15.75" x14ac:dyDescent="0.25">
      <c r="A17" s="3" t="s">
        <v>433</v>
      </c>
      <c r="B17" s="3">
        <v>16</v>
      </c>
      <c r="C17" s="2" t="s">
        <v>1259</v>
      </c>
      <c r="D17" s="2" t="s">
        <v>1278</v>
      </c>
      <c r="E17" t="s">
        <v>1277</v>
      </c>
      <c r="F17" t="s">
        <v>1283</v>
      </c>
      <c r="G17" t="s">
        <v>1283</v>
      </c>
      <c r="H17" s="10">
        <v>0.33333333333333331</v>
      </c>
      <c r="I17" s="10">
        <v>0.70833333333333337</v>
      </c>
      <c r="J17" s="82">
        <v>37177</v>
      </c>
      <c r="K17">
        <f>MONTH(Table1[[#This Row],[Ngày sinh]])</f>
        <v>10</v>
      </c>
    </row>
    <row r="18" spans="1:11" ht="15.75" x14ac:dyDescent="0.25">
      <c r="A18" s="3" t="s">
        <v>605</v>
      </c>
      <c r="B18" s="3">
        <v>17</v>
      </c>
      <c r="C18" s="2" t="s">
        <v>1260</v>
      </c>
      <c r="D18" s="2" t="s">
        <v>1278</v>
      </c>
      <c r="E18" t="s">
        <v>1277</v>
      </c>
      <c r="F18" t="s">
        <v>1283</v>
      </c>
      <c r="G18" t="s">
        <v>1283</v>
      </c>
      <c r="H18" s="10">
        <v>0.3125</v>
      </c>
      <c r="I18" s="10">
        <v>0.6875</v>
      </c>
      <c r="J18" s="82">
        <v>36170</v>
      </c>
      <c r="K18">
        <f>MONTH(Table1[[#This Row],[Ngày sinh]])</f>
        <v>1</v>
      </c>
    </row>
    <row r="19" spans="1:11" ht="15.75" x14ac:dyDescent="0.25">
      <c r="A19" s="3" t="s">
        <v>890</v>
      </c>
      <c r="B19" s="3">
        <v>18</v>
      </c>
      <c r="C19" s="2" t="s">
        <v>1261</v>
      </c>
      <c r="D19" s="2" t="s">
        <v>1278</v>
      </c>
      <c r="E19" t="s">
        <v>1277</v>
      </c>
      <c r="F19" t="s">
        <v>1282</v>
      </c>
      <c r="G19" t="s">
        <v>1282</v>
      </c>
      <c r="H19" s="10">
        <v>0.3125</v>
      </c>
      <c r="I19" s="10">
        <v>0.6875</v>
      </c>
      <c r="J19" s="82">
        <v>34055</v>
      </c>
      <c r="K19">
        <f>MONTH(Table1[[#This Row],[Ngày sinh]])</f>
        <v>3</v>
      </c>
    </row>
    <row r="20" spans="1:11" ht="15.75" x14ac:dyDescent="0.25">
      <c r="A20" s="3" t="s">
        <v>1006</v>
      </c>
      <c r="B20" s="3">
        <v>19</v>
      </c>
      <c r="C20" s="2" t="s">
        <v>1262</v>
      </c>
      <c r="D20" s="2" t="s">
        <v>1278</v>
      </c>
      <c r="E20" t="s">
        <v>1277</v>
      </c>
      <c r="F20" t="s">
        <v>1282</v>
      </c>
      <c r="G20" t="s">
        <v>1282</v>
      </c>
      <c r="H20" s="10">
        <v>0.3125</v>
      </c>
      <c r="I20" s="10">
        <v>0.6875</v>
      </c>
      <c r="J20" s="82">
        <v>35733</v>
      </c>
      <c r="K20">
        <f>MONTH(Table1[[#This Row],[Ngày sinh]])</f>
        <v>10</v>
      </c>
    </row>
    <row r="21" spans="1:11" ht="15.75" x14ac:dyDescent="0.25">
      <c r="A21" s="3" t="s">
        <v>256</v>
      </c>
      <c r="B21" s="3">
        <v>20</v>
      </c>
      <c r="C21" s="2" t="s">
        <v>1263</v>
      </c>
      <c r="D21" s="2" t="s">
        <v>1278</v>
      </c>
      <c r="E21" t="s">
        <v>1277</v>
      </c>
      <c r="F21" t="s">
        <v>1283</v>
      </c>
      <c r="G21" t="s">
        <v>1283</v>
      </c>
      <c r="H21" s="10">
        <v>0.33333333333333331</v>
      </c>
      <c r="I21" s="10">
        <v>0.70833333333333337</v>
      </c>
      <c r="J21" s="82">
        <v>34736</v>
      </c>
      <c r="K21">
        <f>MONTH(Table1[[#This Row],[Ngày sinh]])</f>
        <v>2</v>
      </c>
    </row>
    <row r="22" spans="1:11" ht="15.75" x14ac:dyDescent="0.25">
      <c r="A22" s="3" t="s">
        <v>1088</v>
      </c>
      <c r="B22" s="3">
        <v>21</v>
      </c>
      <c r="C22" s="2" t="s">
        <v>1265</v>
      </c>
      <c r="D22" s="2" t="s">
        <v>1264</v>
      </c>
      <c r="E22" t="s">
        <v>1277</v>
      </c>
      <c r="F22" t="s">
        <v>1282</v>
      </c>
      <c r="G22" t="s">
        <v>1283</v>
      </c>
      <c r="H22" s="10">
        <v>0.33333333333333331</v>
      </c>
      <c r="I22" s="10">
        <v>0.70833333333333337</v>
      </c>
      <c r="J22" s="82">
        <v>31434</v>
      </c>
      <c r="K22">
        <f>MONTH(Table1[[#This Row],[Ngày sinh]])</f>
        <v>1</v>
      </c>
    </row>
    <row r="23" spans="1:11" ht="15.75" x14ac:dyDescent="0.25">
      <c r="A23" s="3" t="s">
        <v>1036</v>
      </c>
      <c r="B23" s="3">
        <v>22</v>
      </c>
      <c r="C23" s="2" t="s">
        <v>1266</v>
      </c>
      <c r="D23" s="2" t="s">
        <v>1264</v>
      </c>
      <c r="E23" t="s">
        <v>1277</v>
      </c>
      <c r="F23" t="s">
        <v>1283</v>
      </c>
      <c r="G23" t="s">
        <v>1283</v>
      </c>
      <c r="H23" s="10">
        <v>0.33333333333333331</v>
      </c>
      <c r="I23" s="10">
        <v>0.70833333333333337</v>
      </c>
      <c r="J23" s="82">
        <v>31066</v>
      </c>
      <c r="K23">
        <f>MONTH(Table1[[#This Row],[Ngày sinh]])</f>
        <v>1</v>
      </c>
    </row>
    <row r="24" spans="1:11" ht="15.75" x14ac:dyDescent="0.25">
      <c r="A24" s="3" t="s">
        <v>1135</v>
      </c>
      <c r="B24" s="3">
        <v>23</v>
      </c>
      <c r="C24" s="2" t="s">
        <v>1267</v>
      </c>
      <c r="D24" s="2" t="s">
        <v>1264</v>
      </c>
      <c r="E24" t="s">
        <v>1277</v>
      </c>
      <c r="F24" t="s">
        <v>1283</v>
      </c>
      <c r="G24" t="s">
        <v>1283</v>
      </c>
      <c r="H24" s="10">
        <v>0.33333333333333331</v>
      </c>
      <c r="I24" s="10">
        <v>0.70833333333333337</v>
      </c>
      <c r="J24" s="82">
        <v>32114</v>
      </c>
      <c r="K24">
        <f>MONTH(Table1[[#This Row],[Ngày sinh]])</f>
        <v>12</v>
      </c>
    </row>
    <row r="25" spans="1:11" ht="15.75" x14ac:dyDescent="0.25">
      <c r="A25" s="3" t="s">
        <v>1190</v>
      </c>
      <c r="B25" s="3">
        <v>24</v>
      </c>
      <c r="C25" s="2" t="s">
        <v>1268</v>
      </c>
      <c r="D25" s="2" t="s">
        <v>1264</v>
      </c>
      <c r="E25" t="s">
        <v>1277</v>
      </c>
      <c r="F25" t="s">
        <v>1283</v>
      </c>
      <c r="G25" t="s">
        <v>1283</v>
      </c>
      <c r="H25" s="10">
        <v>0.33333333333333331</v>
      </c>
      <c r="I25" s="10">
        <v>0.70833333333333337</v>
      </c>
      <c r="J25" s="82">
        <v>36558</v>
      </c>
      <c r="K25">
        <f>MONTH(Table1[[#This Row],[Ngày sinh]])</f>
        <v>2</v>
      </c>
    </row>
    <row r="26" spans="1:11" ht="15.75" x14ac:dyDescent="0.25">
      <c r="A26" s="3" t="s">
        <v>352</v>
      </c>
      <c r="B26" s="3">
        <v>25</v>
      </c>
      <c r="C26" s="2" t="s">
        <v>1269</v>
      </c>
      <c r="D26" s="2" t="s">
        <v>1264</v>
      </c>
      <c r="E26" t="s">
        <v>1277</v>
      </c>
      <c r="F26" t="s">
        <v>1283</v>
      </c>
      <c r="G26" t="s">
        <v>1283</v>
      </c>
      <c r="H26" s="10">
        <v>0.33333333333333331</v>
      </c>
      <c r="I26" s="10">
        <v>0.70833333333333337</v>
      </c>
      <c r="J26" s="82">
        <v>33767</v>
      </c>
      <c r="K26">
        <f>MONTH(Table1[[#This Row],[Ngày sinh]])</f>
        <v>6</v>
      </c>
    </row>
    <row r="27" spans="1:11" ht="15.75" x14ac:dyDescent="0.25">
      <c r="A27" s="3" t="s">
        <v>835</v>
      </c>
      <c r="B27" s="3">
        <v>26</v>
      </c>
      <c r="C27" s="2" t="s">
        <v>1270</v>
      </c>
      <c r="D27" s="2" t="s">
        <v>1264</v>
      </c>
      <c r="E27" t="s">
        <v>1277</v>
      </c>
      <c r="F27" t="s">
        <v>1283</v>
      </c>
      <c r="G27" t="s">
        <v>1283</v>
      </c>
      <c r="H27" s="10">
        <v>0.33333333333333331</v>
      </c>
      <c r="I27" s="10">
        <v>0.70833333333333337</v>
      </c>
      <c r="J27" s="82">
        <v>31828</v>
      </c>
      <c r="K27">
        <f>MONTH(Table1[[#This Row],[Ngày sinh]])</f>
        <v>2</v>
      </c>
    </row>
    <row r="28" spans="1:11" ht="15.75" x14ac:dyDescent="0.25">
      <c r="A28" s="3" t="s">
        <v>963</v>
      </c>
      <c r="B28" s="3">
        <v>27</v>
      </c>
      <c r="C28" s="2" t="s">
        <v>1271</v>
      </c>
      <c r="D28" s="2" t="s">
        <v>1264</v>
      </c>
      <c r="E28" t="s">
        <v>1277</v>
      </c>
      <c r="F28" t="s">
        <v>1283</v>
      </c>
      <c r="G28" t="s">
        <v>1283</v>
      </c>
      <c r="H28" s="10">
        <v>0.33333333333333331</v>
      </c>
      <c r="I28" s="10">
        <v>0.70833333333333337</v>
      </c>
      <c r="J28" s="82">
        <v>37494</v>
      </c>
      <c r="K28">
        <f>MONTH(Table1[[#This Row],[Ngày sinh]])</f>
        <v>8</v>
      </c>
    </row>
    <row r="29" spans="1:11" ht="15.75" hidden="1" x14ac:dyDescent="0.25">
      <c r="A29" s="3" t="s">
        <v>1005</v>
      </c>
      <c r="B29" s="3">
        <v>28</v>
      </c>
      <c r="C29" s="2" t="s">
        <v>1272</v>
      </c>
      <c r="D29" s="2" t="s">
        <v>1264</v>
      </c>
      <c r="E29" t="s">
        <v>1276</v>
      </c>
      <c r="F29" t="s">
        <v>1283</v>
      </c>
      <c r="G29" t="s">
        <v>1283</v>
      </c>
      <c r="H29" s="10">
        <v>0.33333333333333331</v>
      </c>
      <c r="I29" s="10">
        <v>0.70833333333333337</v>
      </c>
      <c r="K29">
        <f>MONTH(Table1[[#This Row],[Ngày sinh]])</f>
        <v>1</v>
      </c>
    </row>
    <row r="30" spans="1:11" ht="15.75" hidden="1" x14ac:dyDescent="0.25">
      <c r="A30" s="3" t="s">
        <v>1033</v>
      </c>
      <c r="B30" s="3">
        <v>29</v>
      </c>
      <c r="C30" s="2" t="s">
        <v>1273</v>
      </c>
      <c r="D30" s="2" t="s">
        <v>1264</v>
      </c>
      <c r="E30" t="s">
        <v>1276</v>
      </c>
      <c r="F30" t="s">
        <v>1283</v>
      </c>
      <c r="G30" t="s">
        <v>1283</v>
      </c>
      <c r="H30" s="10">
        <v>0.33333333333333331</v>
      </c>
      <c r="I30" s="10">
        <v>0.70833333333333337</v>
      </c>
      <c r="K30">
        <f>MONTH(Table1[[#This Row],[Ngày sinh]])</f>
        <v>1</v>
      </c>
    </row>
    <row r="31" spans="1:11" ht="15.75" x14ac:dyDescent="0.25">
      <c r="A31" s="3" t="s">
        <v>1181</v>
      </c>
      <c r="B31" s="3">
        <v>30</v>
      </c>
      <c r="C31" s="2" t="s">
        <v>1275</v>
      </c>
      <c r="D31" s="2" t="s">
        <v>1264</v>
      </c>
      <c r="E31" t="s">
        <v>1277</v>
      </c>
      <c r="F31" t="s">
        <v>1283</v>
      </c>
      <c r="G31" t="s">
        <v>1283</v>
      </c>
      <c r="H31" s="10">
        <v>0.33333333333333331</v>
      </c>
      <c r="I31" s="10">
        <v>0.70833333333333337</v>
      </c>
      <c r="J31" s="82">
        <v>27340</v>
      </c>
      <c r="K31">
        <f>MONTH(Table1[[#This Row],[Ngày sinh]])</f>
        <v>11</v>
      </c>
    </row>
    <row r="32" spans="1:11" ht="15.75" hidden="1" x14ac:dyDescent="0.25">
      <c r="A32" s="3" t="s">
        <v>221</v>
      </c>
      <c r="B32" s="3">
        <v>31</v>
      </c>
      <c r="C32" s="2" t="s">
        <v>222</v>
      </c>
      <c r="D32" s="2"/>
      <c r="E32" t="s">
        <v>1276</v>
      </c>
      <c r="H32" s="10">
        <v>0.33333333333333331</v>
      </c>
      <c r="I32" s="10">
        <v>0.70833333333333337</v>
      </c>
      <c r="K32">
        <f>MONTH(Table1[[#This Row],[Ngày sinh]])</f>
        <v>1</v>
      </c>
    </row>
    <row r="33" spans="1:11" ht="15.75" hidden="1" x14ac:dyDescent="0.25">
      <c r="A33" s="3" t="s">
        <v>223</v>
      </c>
      <c r="B33" s="3">
        <v>32</v>
      </c>
      <c r="C33" s="2" t="s">
        <v>224</v>
      </c>
      <c r="D33" s="2"/>
      <c r="E33" t="s">
        <v>1276</v>
      </c>
      <c r="H33" s="10">
        <v>0.33333333333333331</v>
      </c>
      <c r="I33" s="10">
        <v>0.70833333333333337</v>
      </c>
      <c r="K33">
        <f>MONTH(Table1[[#This Row],[Ngày sinh]])</f>
        <v>1</v>
      </c>
    </row>
    <row r="34" spans="1:11" ht="15.75" hidden="1" x14ac:dyDescent="0.25">
      <c r="A34" s="3" t="s">
        <v>225</v>
      </c>
      <c r="B34" s="3">
        <v>33</v>
      </c>
      <c r="C34" s="2" t="s">
        <v>226</v>
      </c>
      <c r="D34" s="2"/>
      <c r="E34" t="s">
        <v>1276</v>
      </c>
      <c r="H34" s="10">
        <v>0.33333333333333331</v>
      </c>
      <c r="I34" s="10">
        <v>0.70833333333333337</v>
      </c>
      <c r="K34">
        <f>MONTH(Table1[[#This Row],[Ngày sinh]])</f>
        <v>1</v>
      </c>
    </row>
    <row r="35" spans="1:11" ht="15.75" hidden="1" x14ac:dyDescent="0.25">
      <c r="A35" s="3" t="s">
        <v>227</v>
      </c>
      <c r="B35" s="3">
        <v>34</v>
      </c>
      <c r="C35" s="2" t="s">
        <v>228</v>
      </c>
      <c r="D35" s="2"/>
      <c r="E35" t="s">
        <v>1276</v>
      </c>
      <c r="H35" s="10">
        <v>0.33333333333333331</v>
      </c>
      <c r="I35" s="10">
        <v>0.70833333333333337</v>
      </c>
      <c r="K35">
        <f>MONTH(Table1[[#This Row],[Ngày sinh]])</f>
        <v>1</v>
      </c>
    </row>
    <row r="36" spans="1:11" ht="15.75" hidden="1" x14ac:dyDescent="0.25">
      <c r="A36" s="3" t="s">
        <v>229</v>
      </c>
      <c r="B36" s="3">
        <v>35</v>
      </c>
      <c r="C36" s="2" t="s">
        <v>230</v>
      </c>
      <c r="D36" s="2"/>
      <c r="E36" t="s">
        <v>1276</v>
      </c>
      <c r="H36" s="10">
        <v>0.33333333333333331</v>
      </c>
      <c r="I36" s="10">
        <v>0.70833333333333337</v>
      </c>
      <c r="K36">
        <f>MONTH(Table1[[#This Row],[Ngày sinh]])</f>
        <v>1</v>
      </c>
    </row>
    <row r="37" spans="1:11" ht="15.75" hidden="1" x14ac:dyDescent="0.25">
      <c r="A37" s="3" t="s">
        <v>431</v>
      </c>
      <c r="B37" s="3">
        <v>36</v>
      </c>
      <c r="C37" s="2" t="s">
        <v>432</v>
      </c>
      <c r="D37" s="2"/>
      <c r="E37" t="s">
        <v>1276</v>
      </c>
      <c r="H37" s="10">
        <v>0.33333333333333331</v>
      </c>
      <c r="I37" s="10">
        <v>0.70833333333333337</v>
      </c>
      <c r="K37">
        <f>MONTH(Table1[[#This Row],[Ngày sinh]])</f>
        <v>1</v>
      </c>
    </row>
    <row r="38" spans="1:11" ht="15.75" hidden="1" x14ac:dyDescent="0.25">
      <c r="A38" s="3" t="s">
        <v>591</v>
      </c>
      <c r="B38" s="3">
        <v>37</v>
      </c>
      <c r="C38" s="2" t="s">
        <v>592</v>
      </c>
      <c r="D38" s="2"/>
      <c r="E38" t="s">
        <v>1276</v>
      </c>
      <c r="H38" s="10">
        <v>0.33333333333333331</v>
      </c>
      <c r="I38" s="10">
        <v>0.70833333333333337</v>
      </c>
      <c r="K38">
        <f>MONTH(Table1[[#This Row],[Ngày sinh]])</f>
        <v>1</v>
      </c>
    </row>
    <row r="39" spans="1:11" ht="15.75" hidden="1" x14ac:dyDescent="0.25">
      <c r="A39" s="3" t="s">
        <v>593</v>
      </c>
      <c r="B39" s="3">
        <v>38</v>
      </c>
      <c r="C39" s="2" t="s">
        <v>594</v>
      </c>
      <c r="D39" s="2"/>
      <c r="E39" t="s">
        <v>1276</v>
      </c>
      <c r="H39" s="10">
        <v>0.33333333333333331</v>
      </c>
      <c r="I39" s="10">
        <v>0.70833333333333337</v>
      </c>
      <c r="K39">
        <f>MONTH(Table1[[#This Row],[Ngày sinh]])</f>
        <v>1</v>
      </c>
    </row>
    <row r="40" spans="1:11" ht="15.75" hidden="1" x14ac:dyDescent="0.25">
      <c r="A40" s="3" t="s">
        <v>595</v>
      </c>
      <c r="B40" s="3">
        <v>39</v>
      </c>
      <c r="C40" s="2" t="s">
        <v>596</v>
      </c>
      <c r="D40" s="2"/>
      <c r="E40" t="s">
        <v>1276</v>
      </c>
      <c r="H40" s="10">
        <v>0.33333333333333331</v>
      </c>
      <c r="I40" s="10">
        <v>0.70833333333333337</v>
      </c>
      <c r="K40">
        <f>MONTH(Table1[[#This Row],[Ngày sinh]])</f>
        <v>1</v>
      </c>
    </row>
    <row r="41" spans="1:11" ht="15.75" hidden="1" x14ac:dyDescent="0.25">
      <c r="A41" s="3" t="s">
        <v>597</v>
      </c>
      <c r="B41" s="3">
        <v>40</v>
      </c>
      <c r="C41" s="2" t="s">
        <v>598</v>
      </c>
      <c r="D41" s="2"/>
      <c r="E41" t="s">
        <v>1276</v>
      </c>
      <c r="H41" s="10">
        <v>0.33333333333333331</v>
      </c>
      <c r="I41" s="10">
        <v>0.70833333333333337</v>
      </c>
      <c r="K41">
        <f>MONTH(Table1[[#This Row],[Ngày sinh]])</f>
        <v>1</v>
      </c>
    </row>
    <row r="42" spans="1:11" ht="15.75" hidden="1" x14ac:dyDescent="0.25">
      <c r="A42" s="3" t="s">
        <v>599</v>
      </c>
      <c r="B42" s="3">
        <v>41</v>
      </c>
      <c r="C42" s="2" t="s">
        <v>600</v>
      </c>
      <c r="D42" s="2"/>
      <c r="E42" t="s">
        <v>1276</v>
      </c>
      <c r="H42" s="10">
        <v>0.33333333333333331</v>
      </c>
      <c r="I42" s="10">
        <v>0.70833333333333337</v>
      </c>
      <c r="K42">
        <f>MONTH(Table1[[#This Row],[Ngày sinh]])</f>
        <v>1</v>
      </c>
    </row>
    <row r="43" spans="1:11" ht="15.75" hidden="1" x14ac:dyDescent="0.25">
      <c r="A43" s="3" t="s">
        <v>601</v>
      </c>
      <c r="B43" s="3">
        <v>42</v>
      </c>
      <c r="C43" s="2" t="s">
        <v>602</v>
      </c>
      <c r="D43" s="2"/>
      <c r="E43" t="s">
        <v>1276</v>
      </c>
      <c r="H43" s="10">
        <v>0.33333333333333331</v>
      </c>
      <c r="I43" s="10">
        <v>0.70833333333333337</v>
      </c>
      <c r="K43">
        <f>MONTH(Table1[[#This Row],[Ngày sinh]])</f>
        <v>1</v>
      </c>
    </row>
    <row r="44" spans="1:11" ht="15.75" hidden="1" x14ac:dyDescent="0.25">
      <c r="A44" s="3" t="s">
        <v>603</v>
      </c>
      <c r="B44" s="3">
        <v>43</v>
      </c>
      <c r="C44" s="2" t="s">
        <v>604</v>
      </c>
      <c r="D44" s="2"/>
      <c r="E44" t="s">
        <v>1276</v>
      </c>
      <c r="H44" s="10">
        <v>0.33333333333333331</v>
      </c>
      <c r="I44" s="10">
        <v>0.70833333333333337</v>
      </c>
      <c r="K44">
        <f>MONTH(Table1[[#This Row],[Ngày sinh]])</f>
        <v>1</v>
      </c>
    </row>
    <row r="45" spans="1:11" ht="15.75" hidden="1" x14ac:dyDescent="0.25">
      <c r="A45" s="3" t="s">
        <v>670</v>
      </c>
      <c r="B45" s="3">
        <v>44</v>
      </c>
      <c r="C45" s="2" t="s">
        <v>671</v>
      </c>
      <c r="D45" s="2"/>
      <c r="E45" t="s">
        <v>1276</v>
      </c>
      <c r="H45" s="10">
        <v>0.33333333333333331</v>
      </c>
      <c r="I45" s="10">
        <v>0.70833333333333337</v>
      </c>
      <c r="K45">
        <f>MONTH(Table1[[#This Row],[Ngày sinh]])</f>
        <v>1</v>
      </c>
    </row>
    <row r="46" spans="1:11" ht="15.75" hidden="1" x14ac:dyDescent="0.25">
      <c r="A46" s="3" t="s">
        <v>672</v>
      </c>
      <c r="B46" s="3">
        <v>45</v>
      </c>
      <c r="C46" s="2" t="s">
        <v>673</v>
      </c>
      <c r="D46" s="2"/>
      <c r="E46" t="s">
        <v>1276</v>
      </c>
      <c r="H46" s="10">
        <v>0.33333333333333331</v>
      </c>
      <c r="I46" s="10">
        <v>0.70833333333333337</v>
      </c>
      <c r="K46">
        <f>MONTH(Table1[[#This Row],[Ngày sinh]])</f>
        <v>1</v>
      </c>
    </row>
    <row r="47" spans="1:11" ht="15.75" hidden="1" x14ac:dyDescent="0.25">
      <c r="A47" s="3" t="s">
        <v>674</v>
      </c>
      <c r="B47" s="3">
        <v>46</v>
      </c>
      <c r="C47" s="2" t="s">
        <v>675</v>
      </c>
      <c r="D47" s="2"/>
      <c r="E47" t="s">
        <v>1276</v>
      </c>
      <c r="H47" s="10">
        <v>0.33333333333333331</v>
      </c>
      <c r="I47" s="10">
        <v>0.70833333333333337</v>
      </c>
      <c r="K47">
        <f>MONTH(Table1[[#This Row],[Ngày sinh]])</f>
        <v>1</v>
      </c>
    </row>
    <row r="48" spans="1:11" ht="15.75" hidden="1" x14ac:dyDescent="0.25">
      <c r="A48" s="3" t="s">
        <v>676</v>
      </c>
      <c r="B48" s="3">
        <v>47</v>
      </c>
      <c r="C48" s="2" t="s">
        <v>677</v>
      </c>
      <c r="D48" s="2"/>
      <c r="E48" t="s">
        <v>1276</v>
      </c>
      <c r="H48" s="10">
        <v>0.33333333333333331</v>
      </c>
      <c r="I48" s="10">
        <v>0.70833333333333337</v>
      </c>
      <c r="K48">
        <f>MONTH(Table1[[#This Row],[Ngày sinh]])</f>
        <v>1</v>
      </c>
    </row>
    <row r="49" spans="1:11" ht="15.75" hidden="1" x14ac:dyDescent="0.25">
      <c r="A49" s="3" t="s">
        <v>773</v>
      </c>
      <c r="B49" s="3">
        <v>48</v>
      </c>
      <c r="C49" s="2" t="s">
        <v>598</v>
      </c>
      <c r="D49" s="2"/>
      <c r="E49" t="s">
        <v>1276</v>
      </c>
      <c r="H49" s="10">
        <v>0.33333333333333331</v>
      </c>
      <c r="I49" s="10">
        <v>0.70833333333333337</v>
      </c>
      <c r="K49">
        <f>MONTH(Table1[[#This Row],[Ngày sinh]])</f>
        <v>1</v>
      </c>
    </row>
    <row r="50" spans="1:11" ht="15.75" hidden="1" x14ac:dyDescent="0.25">
      <c r="A50" s="3" t="s">
        <v>774</v>
      </c>
      <c r="B50" s="3">
        <v>49</v>
      </c>
      <c r="C50" s="2" t="s">
        <v>775</v>
      </c>
      <c r="D50" s="2"/>
      <c r="E50" t="s">
        <v>1276</v>
      </c>
      <c r="H50" s="10">
        <v>0.33333333333333331</v>
      </c>
      <c r="I50" s="10">
        <v>0.70833333333333337</v>
      </c>
      <c r="K50">
        <f>MONTH(Table1[[#This Row],[Ngày sinh]])</f>
        <v>1</v>
      </c>
    </row>
    <row r="51" spans="1:11" ht="15.75" hidden="1" x14ac:dyDescent="0.25">
      <c r="A51" s="3" t="s">
        <v>798</v>
      </c>
      <c r="B51" s="3">
        <v>50</v>
      </c>
      <c r="C51" s="2" t="s">
        <v>799</v>
      </c>
      <c r="D51" s="2"/>
      <c r="E51" t="s">
        <v>1276</v>
      </c>
      <c r="H51" s="10">
        <v>0.33333333333333331</v>
      </c>
      <c r="I51" s="10">
        <v>0.70833333333333337</v>
      </c>
      <c r="K51">
        <f>MONTH(Table1[[#This Row],[Ngày sinh]])</f>
        <v>1</v>
      </c>
    </row>
    <row r="52" spans="1:11" ht="15.75" hidden="1" x14ac:dyDescent="0.25">
      <c r="A52" s="3" t="s">
        <v>800</v>
      </c>
      <c r="B52" s="3">
        <v>51</v>
      </c>
      <c r="C52" s="2" t="s">
        <v>801</v>
      </c>
      <c r="D52" s="2"/>
      <c r="E52" t="s">
        <v>1276</v>
      </c>
      <c r="H52" s="10">
        <v>0.33333333333333331</v>
      </c>
      <c r="I52" s="10">
        <v>0.70833333333333337</v>
      </c>
      <c r="K52">
        <f>MONTH(Table1[[#This Row],[Ngày sinh]])</f>
        <v>1</v>
      </c>
    </row>
    <row r="53" spans="1:11" ht="15.75" hidden="1" x14ac:dyDescent="0.25">
      <c r="A53" s="3" t="s">
        <v>802</v>
      </c>
      <c r="B53" s="3">
        <v>52</v>
      </c>
      <c r="C53" s="2" t="s">
        <v>775</v>
      </c>
      <c r="D53" s="2"/>
      <c r="E53" t="s">
        <v>1276</v>
      </c>
      <c r="H53" s="10">
        <v>0.33333333333333331</v>
      </c>
      <c r="I53" s="10">
        <v>0.70833333333333337</v>
      </c>
      <c r="K53">
        <f>MONTH(Table1[[#This Row],[Ngày sinh]])</f>
        <v>1</v>
      </c>
    </row>
    <row r="54" spans="1:11" ht="15.75" hidden="1" x14ac:dyDescent="0.25">
      <c r="A54" s="3" t="s">
        <v>803</v>
      </c>
      <c r="B54" s="3">
        <v>53</v>
      </c>
      <c r="C54" s="2" t="s">
        <v>804</v>
      </c>
      <c r="D54" s="2"/>
      <c r="E54" t="s">
        <v>1276</v>
      </c>
      <c r="H54" s="10">
        <v>0.33333333333333331</v>
      </c>
      <c r="I54" s="10">
        <v>0.70833333333333337</v>
      </c>
      <c r="K54">
        <f>MONTH(Table1[[#This Row],[Ngày sinh]])</f>
        <v>1</v>
      </c>
    </row>
    <row r="55" spans="1:11" ht="15.75" hidden="1" x14ac:dyDescent="0.25">
      <c r="A55" s="3" t="s">
        <v>827</v>
      </c>
      <c r="B55" s="3">
        <v>54</v>
      </c>
      <c r="C55" s="2" t="s">
        <v>828</v>
      </c>
      <c r="D55" s="2"/>
      <c r="E55" t="s">
        <v>1276</v>
      </c>
      <c r="H55" s="10">
        <v>0.33333333333333331</v>
      </c>
      <c r="I55" s="10">
        <v>0.70833333333333337</v>
      </c>
      <c r="K55">
        <f>MONTH(Table1[[#This Row],[Ngày sinh]])</f>
        <v>1</v>
      </c>
    </row>
    <row r="56" spans="1:11" ht="15.75" hidden="1" x14ac:dyDescent="0.25">
      <c r="A56" s="3" t="s">
        <v>829</v>
      </c>
      <c r="B56" s="3">
        <v>55</v>
      </c>
      <c r="C56" s="2" t="s">
        <v>830</v>
      </c>
      <c r="D56" s="2"/>
      <c r="E56" t="s">
        <v>1276</v>
      </c>
      <c r="H56" s="10">
        <v>0.33333333333333331</v>
      </c>
      <c r="I56" s="10">
        <v>0.70833333333333337</v>
      </c>
      <c r="K56">
        <f>MONTH(Table1[[#This Row],[Ngày sinh]])</f>
        <v>1</v>
      </c>
    </row>
    <row r="57" spans="1:11" ht="15.75" hidden="1" x14ac:dyDescent="0.25">
      <c r="A57" s="3" t="s">
        <v>831</v>
      </c>
      <c r="B57" s="3">
        <v>56</v>
      </c>
      <c r="C57" s="2" t="s">
        <v>832</v>
      </c>
      <c r="D57" s="2"/>
      <c r="E57" t="s">
        <v>1276</v>
      </c>
      <c r="H57" s="10">
        <v>0.33333333333333331</v>
      </c>
      <c r="I57" s="10">
        <v>0.70833333333333337</v>
      </c>
      <c r="K57">
        <f>MONTH(Table1[[#This Row],[Ngày sinh]])</f>
        <v>1</v>
      </c>
    </row>
    <row r="58" spans="1:11" ht="15.75" hidden="1" x14ac:dyDescent="0.25">
      <c r="A58" s="3" t="s">
        <v>833</v>
      </c>
      <c r="B58" s="3">
        <v>57</v>
      </c>
      <c r="C58" s="2" t="s">
        <v>834</v>
      </c>
      <c r="D58" s="2"/>
      <c r="E58" t="s">
        <v>1276</v>
      </c>
      <c r="H58" s="10">
        <v>0.33333333333333331</v>
      </c>
      <c r="I58" s="10">
        <v>0.70833333333333337</v>
      </c>
      <c r="K58">
        <f>MONTH(Table1[[#This Row],[Ngày sinh]])</f>
        <v>1</v>
      </c>
    </row>
    <row r="59" spans="1:11" ht="15.75" hidden="1" x14ac:dyDescent="0.25">
      <c r="A59" s="3" t="s">
        <v>937</v>
      </c>
      <c r="B59" s="3">
        <v>58</v>
      </c>
      <c r="C59" s="2" t="s">
        <v>938</v>
      </c>
      <c r="D59" s="2"/>
      <c r="E59" t="s">
        <v>1276</v>
      </c>
      <c r="H59" s="10">
        <v>0.33333333333333331</v>
      </c>
      <c r="I59" s="10">
        <v>0.70833333333333337</v>
      </c>
      <c r="K59">
        <f>MONTH(Table1[[#This Row],[Ngày sinh]])</f>
        <v>1</v>
      </c>
    </row>
    <row r="60" spans="1:11" ht="15.75" hidden="1" x14ac:dyDescent="0.25">
      <c r="A60" s="3" t="s">
        <v>959</v>
      </c>
      <c r="B60" s="3">
        <v>59</v>
      </c>
      <c r="C60" s="2" t="s">
        <v>960</v>
      </c>
      <c r="D60" s="2"/>
      <c r="E60" t="s">
        <v>1276</v>
      </c>
      <c r="H60" s="10">
        <v>0.33333333333333331</v>
      </c>
      <c r="I60" s="10">
        <v>0.70833333333333337</v>
      </c>
      <c r="K60">
        <f>MONTH(Table1[[#This Row],[Ngày sinh]])</f>
        <v>1</v>
      </c>
    </row>
    <row r="61" spans="1:11" ht="15.75" hidden="1" x14ac:dyDescent="0.25">
      <c r="A61" s="3" t="s">
        <v>961</v>
      </c>
      <c r="B61" s="3">
        <v>60</v>
      </c>
      <c r="C61" s="2" t="s">
        <v>962</v>
      </c>
      <c r="D61" s="2"/>
      <c r="E61" t="s">
        <v>1276</v>
      </c>
      <c r="H61" s="10">
        <v>0.33333333333333331</v>
      </c>
      <c r="I61" s="10">
        <v>0.70833333333333337</v>
      </c>
      <c r="K61">
        <f>MONTH(Table1[[#This Row],[Ngày sinh]])</f>
        <v>1</v>
      </c>
    </row>
    <row r="62" spans="1:11" ht="15.75" hidden="1" x14ac:dyDescent="0.25">
      <c r="A62" s="3" t="s">
        <v>1003</v>
      </c>
      <c r="B62" s="3">
        <v>61</v>
      </c>
      <c r="C62" s="2" t="s">
        <v>1004</v>
      </c>
      <c r="D62" s="2"/>
      <c r="E62" t="s">
        <v>1276</v>
      </c>
      <c r="H62" s="10">
        <v>0.33333333333333331</v>
      </c>
      <c r="I62" s="10">
        <v>0.70833333333333337</v>
      </c>
      <c r="K62">
        <f>MONTH(Table1[[#This Row],[Ngày sinh]])</f>
        <v>1</v>
      </c>
    </row>
    <row r="63" spans="1:11" ht="15.75" hidden="1" x14ac:dyDescent="0.25">
      <c r="A63" s="3" t="s">
        <v>1031</v>
      </c>
      <c r="B63" s="3">
        <v>62</v>
      </c>
      <c r="C63" s="2" t="s">
        <v>1032</v>
      </c>
      <c r="D63" s="2"/>
      <c r="E63" t="s">
        <v>1276</v>
      </c>
      <c r="H63" s="10">
        <v>0.33333333333333331</v>
      </c>
      <c r="I63" s="10">
        <v>0.70833333333333337</v>
      </c>
      <c r="K63">
        <f>MONTH(Table1[[#This Row],[Ngày sinh]])</f>
        <v>1</v>
      </c>
    </row>
    <row r="64" spans="1:11" ht="15.75" hidden="1" x14ac:dyDescent="0.25">
      <c r="A64" s="3" t="s">
        <v>1034</v>
      </c>
      <c r="B64" s="3">
        <v>63</v>
      </c>
      <c r="C64" s="2" t="s">
        <v>1035</v>
      </c>
      <c r="D64" s="2"/>
      <c r="E64" t="s">
        <v>1276</v>
      </c>
      <c r="H64" s="10">
        <v>0.33333333333333331</v>
      </c>
      <c r="I64" s="10">
        <v>0.70833333333333337</v>
      </c>
      <c r="K64">
        <f>MONTH(Table1[[#This Row],[Ngày sinh]])</f>
        <v>1</v>
      </c>
    </row>
    <row r="65" spans="1:11" ht="15.75" hidden="1" x14ac:dyDescent="0.25">
      <c r="A65" s="3" t="s">
        <v>1187</v>
      </c>
      <c r="B65" s="3">
        <v>64</v>
      </c>
      <c r="C65" s="2" t="s">
        <v>1188</v>
      </c>
      <c r="D65" s="2"/>
      <c r="E65" t="s">
        <v>1276</v>
      </c>
      <c r="H65" s="10">
        <v>0.33333333333333331</v>
      </c>
      <c r="I65" s="10">
        <v>0.70833333333333337</v>
      </c>
      <c r="K65">
        <f>MONTH(Table1[[#This Row],[Ngày sinh]])</f>
        <v>1</v>
      </c>
    </row>
    <row r="66" spans="1:11" ht="15.75" hidden="1" x14ac:dyDescent="0.25">
      <c r="A66" s="3" t="s">
        <v>1189</v>
      </c>
      <c r="B66" s="3">
        <v>65</v>
      </c>
      <c r="C66" s="2" t="s">
        <v>916</v>
      </c>
      <c r="D66" s="2"/>
      <c r="E66" t="s">
        <v>1276</v>
      </c>
      <c r="H66" s="10">
        <v>0.33333333333333331</v>
      </c>
      <c r="I66" s="10">
        <v>0.70833333333333337</v>
      </c>
      <c r="K66">
        <f>MONTH(Table1[[#This Row],[Ngày sinh]])</f>
        <v>1</v>
      </c>
    </row>
  </sheetData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1BF10F-9588-43CB-A849-073CCD470543}">
            <xm:f>$K1=BANG_CHAM_CONG!$R$2</xm:f>
            <x14:dxf>
              <fill>
                <patternFill>
                  <bgColor rgb="FFFFFF00"/>
                </patternFill>
              </fill>
            </x14:dxf>
          </x14:cfRule>
          <xm:sqref>A1:K66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7C6C6-6E44-4E46-93EB-0CAA4DA6691E}">
  <dimension ref="A1:C24"/>
  <sheetViews>
    <sheetView workbookViewId="0">
      <selection activeCell="G1" sqref="G1"/>
    </sheetView>
  </sheetViews>
  <sheetFormatPr defaultRowHeight="15" x14ac:dyDescent="0.25"/>
  <cols>
    <col min="1" max="1" width="33.140625" bestFit="1" customWidth="1"/>
    <col min="2" max="2" width="27.42578125" bestFit="1" customWidth="1"/>
  </cols>
  <sheetData>
    <row r="1" spans="1:3" x14ac:dyDescent="0.25">
      <c r="A1" s="19" t="s">
        <v>1293</v>
      </c>
      <c r="B1" s="19" t="s">
        <v>1294</v>
      </c>
      <c r="C1" s="19" t="s">
        <v>1295</v>
      </c>
    </row>
    <row r="2" spans="1:3" x14ac:dyDescent="0.25">
      <c r="A2" t="s">
        <v>1264</v>
      </c>
      <c r="B2" s="10">
        <v>0.33333333333333331</v>
      </c>
      <c r="C2" s="10">
        <v>0.70833333333333337</v>
      </c>
    </row>
    <row r="3" spans="1:3" x14ac:dyDescent="0.25">
      <c r="A3" t="s">
        <v>1243</v>
      </c>
      <c r="B3" s="10">
        <v>0.33333333333333331</v>
      </c>
      <c r="C3" s="10">
        <v>0.70833333333333337</v>
      </c>
    </row>
    <row r="4" spans="1:3" x14ac:dyDescent="0.25">
      <c r="A4" t="s">
        <v>1296</v>
      </c>
      <c r="B4" s="10">
        <v>0.3125</v>
      </c>
      <c r="C4" s="10">
        <v>0.6875</v>
      </c>
    </row>
    <row r="6" spans="1:3" x14ac:dyDescent="0.25">
      <c r="A6" s="23" t="s">
        <v>1297</v>
      </c>
      <c r="B6" s="23"/>
      <c r="C6" s="23"/>
    </row>
    <row r="7" spans="1:3" x14ac:dyDescent="0.25">
      <c r="A7" t="s">
        <v>1298</v>
      </c>
      <c r="B7" s="20">
        <v>30000</v>
      </c>
      <c r="C7" t="s">
        <v>1299</v>
      </c>
    </row>
    <row r="8" spans="1:3" x14ac:dyDescent="0.25">
      <c r="A8" t="s">
        <v>1300</v>
      </c>
      <c r="B8" s="20">
        <v>50000</v>
      </c>
      <c r="C8" t="s">
        <v>1299</v>
      </c>
    </row>
    <row r="9" spans="1:3" x14ac:dyDescent="0.25">
      <c r="A9" t="s">
        <v>1301</v>
      </c>
      <c r="B9" s="21" t="s">
        <v>1302</v>
      </c>
    </row>
    <row r="10" spans="1:3" x14ac:dyDescent="0.25">
      <c r="A10" t="s">
        <v>1303</v>
      </c>
      <c r="B10" s="22" t="s">
        <v>1304</v>
      </c>
    </row>
    <row r="13" spans="1:3" x14ac:dyDescent="0.25">
      <c r="A13" s="23" t="s">
        <v>1305</v>
      </c>
      <c r="B13" s="23"/>
      <c r="C13" s="23"/>
    </row>
    <row r="14" spans="1:3" x14ac:dyDescent="0.25">
      <c r="A14" t="s">
        <v>1306</v>
      </c>
      <c r="B14" s="20">
        <v>50000</v>
      </c>
      <c r="C14" t="s">
        <v>1299</v>
      </c>
    </row>
    <row r="15" spans="1:3" x14ac:dyDescent="0.25">
      <c r="A15" t="s">
        <v>1308</v>
      </c>
      <c r="B15" s="21" t="s">
        <v>1311</v>
      </c>
    </row>
    <row r="16" spans="1:3" x14ac:dyDescent="0.25">
      <c r="A16" t="s">
        <v>1307</v>
      </c>
      <c r="B16" s="21" t="s">
        <v>1310</v>
      </c>
    </row>
    <row r="17" spans="1:3" x14ac:dyDescent="0.25">
      <c r="A17" t="s">
        <v>1309</v>
      </c>
      <c r="B17" s="22" t="s">
        <v>1304</v>
      </c>
    </row>
    <row r="20" spans="1:3" x14ac:dyDescent="0.25">
      <c r="A20" s="23" t="s">
        <v>1312</v>
      </c>
      <c r="B20" s="23"/>
      <c r="C20" s="23"/>
    </row>
    <row r="21" spans="1:3" x14ac:dyDescent="0.25">
      <c r="A21" t="s">
        <v>1313</v>
      </c>
      <c r="B21" s="20" t="s">
        <v>1314</v>
      </c>
    </row>
    <row r="22" spans="1:3" x14ac:dyDescent="0.25">
      <c r="A22" t="s">
        <v>1308</v>
      </c>
      <c r="B22" s="21" t="s">
        <v>1315</v>
      </c>
    </row>
    <row r="23" spans="1:3" x14ac:dyDescent="0.25">
      <c r="A23" t="s">
        <v>1316</v>
      </c>
      <c r="B23" s="21" t="s">
        <v>1317</v>
      </c>
    </row>
    <row r="24" spans="1:3" x14ac:dyDescent="0.25">
      <c r="B24" s="22"/>
    </row>
  </sheetData>
  <pageMargins left="0.7" right="0.7" top="0.75" bottom="0.75" header="0.3" footer="0.3"/>
  <pageSetup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DF" shapeId="3073" r:id="rId4">
          <objectPr defaultSize="0" autoPict="0" r:id="rId5">
            <anchor moveWithCells="1">
              <from>
                <xdr:col>7</xdr:col>
                <xdr:colOff>247650</xdr:colOff>
                <xdr:row>0</xdr:row>
                <xdr:rowOff>0</xdr:rowOff>
              </from>
              <to>
                <xdr:col>15</xdr:col>
                <xdr:colOff>161925</xdr:colOff>
                <xdr:row>35</xdr:row>
                <xdr:rowOff>114300</xdr:rowOff>
              </to>
            </anchor>
          </objectPr>
        </oleObject>
      </mc:Choice>
      <mc:Fallback>
        <oleObject progId="PDF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BANG_CHAM_CONG</vt:lpstr>
      <vt:lpstr>Data_Cong</vt:lpstr>
      <vt:lpstr>TK Ngân Hàng Mới</vt:lpstr>
      <vt:lpstr>Data_NV</vt:lpstr>
      <vt:lpstr>NQ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PC</dc:creator>
  <cp:lastModifiedBy>PC</cp:lastModifiedBy>
  <dcterms:created xsi:type="dcterms:W3CDTF">2025-10-01T07:04:14Z</dcterms:created>
  <dcterms:modified xsi:type="dcterms:W3CDTF">2025-10-02T04:53:30Z</dcterms:modified>
</cp:coreProperties>
</file>