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\\MAYCHUDELL\PKT - Copy 2\01 KTT\CHAM CONG\"/>
    </mc:Choice>
  </mc:AlternateContent>
  <xr:revisionPtr revIDLastSave="0" documentId="13_ncr:1_{AF433CC5-54E9-4199-A85E-39214C91EBD5}" xr6:coauthVersionLast="47" xr6:coauthVersionMax="47" xr10:uidLastSave="{00000000-0000-0000-0000-000000000000}"/>
  <bookViews>
    <workbookView xWindow="-120" yWindow="-120" windowWidth="29040" windowHeight="15720" xr2:uid="{7D0D8955-9970-4CC8-A9C3-9E0BDCE4E355}"/>
  </bookViews>
  <sheets>
    <sheet name="Data_Cong" sheetId="1" r:id="rId1"/>
    <sheet name="BANG_CHAM_CONG" sheetId="4" r:id="rId2"/>
    <sheet name="Data_NV" sheetId="2" state="hidden" r:id="rId3"/>
    <sheet name="NQ" sheetId="3" state="hidden" r:id="rId4"/>
  </sheets>
  <definedNames>
    <definedName name="_xlnm._FilterDatabase" localSheetId="0" hidden="1">Data_Cong!$A$2:$S$242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3" i="1" l="1"/>
  <c r="AH4" i="1"/>
  <c r="AH5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U3" i="1"/>
  <c r="R3" i="1" s="1"/>
  <c r="U4" i="1"/>
  <c r="R4" i="1" s="1"/>
  <c r="U5" i="1"/>
  <c r="R5" i="1" s="1"/>
  <c r="U6" i="1"/>
  <c r="R6" i="1" s="1"/>
  <c r="U7" i="1"/>
  <c r="R7" i="1" s="1"/>
  <c r="U8" i="1"/>
  <c r="R8" i="1" s="1"/>
  <c r="U9" i="1"/>
  <c r="R9" i="1" s="1"/>
  <c r="U10" i="1"/>
  <c r="R10" i="1" s="1"/>
  <c r="U11" i="1"/>
  <c r="R11" i="1" s="1"/>
  <c r="U12" i="1"/>
  <c r="R12" i="1" s="1"/>
  <c r="U13" i="1"/>
  <c r="R13" i="1" s="1"/>
  <c r="U14" i="1"/>
  <c r="R14" i="1" s="1"/>
  <c r="U15" i="1"/>
  <c r="R15" i="1" s="1"/>
  <c r="U16" i="1"/>
  <c r="R16" i="1" s="1"/>
  <c r="U17" i="1"/>
  <c r="R17" i="1" s="1"/>
  <c r="U18" i="1"/>
  <c r="R18" i="1" s="1"/>
  <c r="U19" i="1"/>
  <c r="R19" i="1" s="1"/>
  <c r="U20" i="1"/>
  <c r="R20" i="1" s="1"/>
  <c r="U21" i="1"/>
  <c r="R21" i="1" s="1"/>
  <c r="U22" i="1"/>
  <c r="R22" i="1" s="1"/>
  <c r="U23" i="1"/>
  <c r="R23" i="1" s="1"/>
  <c r="U24" i="1"/>
  <c r="R24" i="1" s="1"/>
  <c r="U25" i="1"/>
  <c r="R25" i="1" s="1"/>
  <c r="U26" i="1"/>
  <c r="R26" i="1" s="1"/>
  <c r="U27" i="1"/>
  <c r="R27" i="1" s="1"/>
  <c r="U28" i="1"/>
  <c r="R28" i="1" s="1"/>
  <c r="U29" i="1"/>
  <c r="R29" i="1" s="1"/>
  <c r="U30" i="1"/>
  <c r="R30" i="1" s="1"/>
  <c r="U31" i="1"/>
  <c r="R31" i="1" s="1"/>
  <c r="U32" i="1"/>
  <c r="R32" i="1" s="1"/>
  <c r="U33" i="1"/>
  <c r="R33" i="1" s="1"/>
  <c r="U34" i="1"/>
  <c r="R34" i="1" s="1"/>
  <c r="U35" i="1"/>
  <c r="R35" i="1" s="1"/>
  <c r="U36" i="1"/>
  <c r="R36" i="1" s="1"/>
  <c r="U37" i="1"/>
  <c r="R37" i="1" s="1"/>
  <c r="U38" i="1"/>
  <c r="R38" i="1" s="1"/>
  <c r="U39" i="1"/>
  <c r="R39" i="1" s="1"/>
  <c r="U40" i="1"/>
  <c r="R40" i="1" s="1"/>
  <c r="U41" i="1"/>
  <c r="R41" i="1" s="1"/>
  <c r="U42" i="1"/>
  <c r="R42" i="1" s="1"/>
  <c r="U43" i="1"/>
  <c r="R43" i="1" s="1"/>
  <c r="U44" i="1"/>
  <c r="R44" i="1" s="1"/>
  <c r="U45" i="1"/>
  <c r="R45" i="1" s="1"/>
  <c r="U46" i="1"/>
  <c r="R46" i="1" s="1"/>
  <c r="U47" i="1"/>
  <c r="R47" i="1" s="1"/>
  <c r="U48" i="1"/>
  <c r="R48" i="1" s="1"/>
  <c r="U49" i="1"/>
  <c r="R49" i="1" s="1"/>
  <c r="U50" i="1"/>
  <c r="R50" i="1" s="1"/>
  <c r="U51" i="1"/>
  <c r="R51" i="1" s="1"/>
  <c r="U52" i="1"/>
  <c r="R52" i="1" s="1"/>
  <c r="U53" i="1"/>
  <c r="R53" i="1" s="1"/>
  <c r="U54" i="1"/>
  <c r="R54" i="1" s="1"/>
  <c r="U55" i="1"/>
  <c r="R55" i="1" s="1"/>
  <c r="U56" i="1"/>
  <c r="R56" i="1" s="1"/>
  <c r="U57" i="1"/>
  <c r="R57" i="1" s="1"/>
  <c r="U58" i="1"/>
  <c r="R58" i="1" s="1"/>
  <c r="U59" i="1"/>
  <c r="R59" i="1" s="1"/>
  <c r="U60" i="1"/>
  <c r="R60" i="1" s="1"/>
  <c r="U61" i="1"/>
  <c r="R61" i="1" s="1"/>
  <c r="U62" i="1"/>
  <c r="R62" i="1" s="1"/>
  <c r="U63" i="1"/>
  <c r="R63" i="1" s="1"/>
  <c r="U64" i="1"/>
  <c r="R64" i="1" s="1"/>
  <c r="U65" i="1"/>
  <c r="R65" i="1" s="1"/>
  <c r="U66" i="1"/>
  <c r="R66" i="1" s="1"/>
  <c r="U67" i="1"/>
  <c r="R67" i="1" s="1"/>
  <c r="U68" i="1"/>
  <c r="R68" i="1" s="1"/>
  <c r="U69" i="1"/>
  <c r="R69" i="1" s="1"/>
  <c r="U70" i="1"/>
  <c r="R70" i="1" s="1"/>
  <c r="U71" i="1"/>
  <c r="R71" i="1" s="1"/>
  <c r="U72" i="1"/>
  <c r="R72" i="1" s="1"/>
  <c r="U73" i="1"/>
  <c r="R73" i="1" s="1"/>
  <c r="U74" i="1"/>
  <c r="R74" i="1" s="1"/>
  <c r="U75" i="1"/>
  <c r="R75" i="1" s="1"/>
  <c r="U76" i="1"/>
  <c r="R76" i="1" s="1"/>
  <c r="U77" i="1"/>
  <c r="R77" i="1" s="1"/>
  <c r="U78" i="1"/>
  <c r="R78" i="1" s="1"/>
  <c r="U79" i="1"/>
  <c r="R79" i="1" s="1"/>
  <c r="U80" i="1"/>
  <c r="R80" i="1" s="1"/>
  <c r="U81" i="1"/>
  <c r="R81" i="1" s="1"/>
  <c r="U82" i="1"/>
  <c r="R82" i="1" s="1"/>
  <c r="U83" i="1"/>
  <c r="R83" i="1" s="1"/>
  <c r="U84" i="1"/>
  <c r="R84" i="1" s="1"/>
  <c r="U85" i="1"/>
  <c r="R85" i="1" s="1"/>
  <c r="U86" i="1"/>
  <c r="R86" i="1" s="1"/>
  <c r="U87" i="1"/>
  <c r="R87" i="1" s="1"/>
  <c r="U88" i="1"/>
  <c r="R88" i="1" s="1"/>
  <c r="U89" i="1"/>
  <c r="R89" i="1" s="1"/>
  <c r="U90" i="1"/>
  <c r="R90" i="1" s="1"/>
  <c r="U91" i="1"/>
  <c r="R91" i="1" s="1"/>
  <c r="U92" i="1"/>
  <c r="R92" i="1" s="1"/>
  <c r="U93" i="1"/>
  <c r="R93" i="1" s="1"/>
  <c r="U94" i="1"/>
  <c r="R94" i="1" s="1"/>
  <c r="U95" i="1"/>
  <c r="R95" i="1" s="1"/>
  <c r="U96" i="1"/>
  <c r="R96" i="1" s="1"/>
  <c r="U97" i="1"/>
  <c r="R97" i="1" s="1"/>
  <c r="U98" i="1"/>
  <c r="R98" i="1" s="1"/>
  <c r="U99" i="1"/>
  <c r="R99" i="1" s="1"/>
  <c r="U100" i="1"/>
  <c r="R100" i="1" s="1"/>
  <c r="U101" i="1"/>
  <c r="R101" i="1" s="1"/>
  <c r="U102" i="1"/>
  <c r="R102" i="1" s="1"/>
  <c r="U103" i="1"/>
  <c r="R103" i="1" s="1"/>
  <c r="U104" i="1"/>
  <c r="R104" i="1" s="1"/>
  <c r="U105" i="1"/>
  <c r="R105" i="1" s="1"/>
  <c r="U106" i="1"/>
  <c r="R106" i="1" s="1"/>
  <c r="U107" i="1"/>
  <c r="R107" i="1" s="1"/>
  <c r="U108" i="1"/>
  <c r="R108" i="1" s="1"/>
  <c r="U109" i="1"/>
  <c r="R109" i="1" s="1"/>
  <c r="U110" i="1"/>
  <c r="R110" i="1" s="1"/>
  <c r="U111" i="1"/>
  <c r="R111" i="1" s="1"/>
  <c r="U112" i="1"/>
  <c r="R112" i="1" s="1"/>
  <c r="U113" i="1"/>
  <c r="R113" i="1" s="1"/>
  <c r="U114" i="1"/>
  <c r="R114" i="1" s="1"/>
  <c r="U115" i="1"/>
  <c r="R115" i="1" s="1"/>
  <c r="U116" i="1"/>
  <c r="R116" i="1" s="1"/>
  <c r="U117" i="1"/>
  <c r="R117" i="1" s="1"/>
  <c r="U118" i="1"/>
  <c r="R118" i="1" s="1"/>
  <c r="U119" i="1"/>
  <c r="R119" i="1" s="1"/>
  <c r="U120" i="1"/>
  <c r="R120" i="1" s="1"/>
  <c r="U121" i="1"/>
  <c r="R121" i="1" s="1"/>
  <c r="U122" i="1"/>
  <c r="R122" i="1" s="1"/>
  <c r="U123" i="1"/>
  <c r="R123" i="1" s="1"/>
  <c r="U124" i="1"/>
  <c r="R124" i="1" s="1"/>
  <c r="U125" i="1"/>
  <c r="R125" i="1" s="1"/>
  <c r="U126" i="1"/>
  <c r="R126" i="1" s="1"/>
  <c r="U127" i="1"/>
  <c r="R127" i="1" s="1"/>
  <c r="U128" i="1"/>
  <c r="R128" i="1" s="1"/>
  <c r="U129" i="1"/>
  <c r="R129" i="1" s="1"/>
  <c r="U130" i="1"/>
  <c r="R130" i="1" s="1"/>
  <c r="U131" i="1"/>
  <c r="R131" i="1" s="1"/>
  <c r="U132" i="1"/>
  <c r="R132" i="1" s="1"/>
  <c r="U133" i="1"/>
  <c r="R133" i="1" s="1"/>
  <c r="U134" i="1"/>
  <c r="R134" i="1" s="1"/>
  <c r="U135" i="1"/>
  <c r="R135" i="1" s="1"/>
  <c r="U136" i="1"/>
  <c r="R136" i="1" s="1"/>
  <c r="U137" i="1"/>
  <c r="R137" i="1" s="1"/>
  <c r="U138" i="1"/>
  <c r="R138" i="1" s="1"/>
  <c r="U139" i="1"/>
  <c r="R139" i="1" s="1"/>
  <c r="U140" i="1"/>
  <c r="R140" i="1" s="1"/>
  <c r="U141" i="1"/>
  <c r="R141" i="1" s="1"/>
  <c r="U142" i="1"/>
  <c r="R142" i="1" s="1"/>
  <c r="U143" i="1"/>
  <c r="R143" i="1" s="1"/>
  <c r="U144" i="1"/>
  <c r="R144" i="1" s="1"/>
  <c r="U145" i="1"/>
  <c r="R145" i="1" s="1"/>
  <c r="U146" i="1"/>
  <c r="R146" i="1" s="1"/>
  <c r="U147" i="1"/>
  <c r="R147" i="1" s="1"/>
  <c r="U148" i="1"/>
  <c r="R148" i="1" s="1"/>
  <c r="U149" i="1"/>
  <c r="R149" i="1" s="1"/>
  <c r="U150" i="1"/>
  <c r="R150" i="1" s="1"/>
  <c r="U151" i="1"/>
  <c r="R151" i="1" s="1"/>
  <c r="U152" i="1"/>
  <c r="R152" i="1" s="1"/>
  <c r="U153" i="1"/>
  <c r="R153" i="1" s="1"/>
  <c r="U154" i="1"/>
  <c r="R154" i="1" s="1"/>
  <c r="U155" i="1"/>
  <c r="R155" i="1" s="1"/>
  <c r="U156" i="1"/>
  <c r="R156" i="1" s="1"/>
  <c r="U157" i="1"/>
  <c r="R157" i="1" s="1"/>
  <c r="U158" i="1"/>
  <c r="R158" i="1" s="1"/>
  <c r="U159" i="1"/>
  <c r="R159" i="1" s="1"/>
  <c r="U160" i="1"/>
  <c r="R160" i="1" s="1"/>
  <c r="U161" i="1"/>
  <c r="R161" i="1" s="1"/>
  <c r="U162" i="1"/>
  <c r="R162" i="1" s="1"/>
  <c r="U163" i="1"/>
  <c r="R163" i="1" s="1"/>
  <c r="U164" i="1"/>
  <c r="R164" i="1" s="1"/>
  <c r="U165" i="1"/>
  <c r="R165" i="1" s="1"/>
  <c r="U166" i="1"/>
  <c r="R166" i="1" s="1"/>
  <c r="U167" i="1"/>
  <c r="R167" i="1" s="1"/>
  <c r="U168" i="1"/>
  <c r="R168" i="1" s="1"/>
  <c r="U169" i="1"/>
  <c r="R169" i="1" s="1"/>
  <c r="U170" i="1"/>
  <c r="R170" i="1" s="1"/>
  <c r="U171" i="1"/>
  <c r="R171" i="1" s="1"/>
  <c r="U172" i="1"/>
  <c r="R172" i="1" s="1"/>
  <c r="U173" i="1"/>
  <c r="R173" i="1" s="1"/>
  <c r="U174" i="1"/>
  <c r="R174" i="1" s="1"/>
  <c r="U175" i="1"/>
  <c r="R175" i="1" s="1"/>
  <c r="U176" i="1"/>
  <c r="R176" i="1" s="1"/>
  <c r="U177" i="1"/>
  <c r="R177" i="1" s="1"/>
  <c r="U178" i="1"/>
  <c r="R178" i="1" s="1"/>
  <c r="U179" i="1"/>
  <c r="R179" i="1" s="1"/>
  <c r="U180" i="1"/>
  <c r="R180" i="1" s="1"/>
  <c r="U181" i="1"/>
  <c r="R181" i="1" s="1"/>
  <c r="U182" i="1"/>
  <c r="R182" i="1" s="1"/>
  <c r="U183" i="1"/>
  <c r="R183" i="1" s="1"/>
  <c r="U184" i="1"/>
  <c r="R184" i="1" s="1"/>
  <c r="U185" i="1"/>
  <c r="R185" i="1" s="1"/>
  <c r="U186" i="1"/>
  <c r="R186" i="1" s="1"/>
  <c r="U187" i="1"/>
  <c r="R187" i="1" s="1"/>
  <c r="U188" i="1"/>
  <c r="R188" i="1" s="1"/>
  <c r="U189" i="1"/>
  <c r="R189" i="1" s="1"/>
  <c r="U190" i="1"/>
  <c r="R190" i="1" s="1"/>
  <c r="U191" i="1"/>
  <c r="R191" i="1" s="1"/>
  <c r="U192" i="1"/>
  <c r="R192" i="1" s="1"/>
  <c r="U193" i="1"/>
  <c r="R193" i="1" s="1"/>
  <c r="U194" i="1"/>
  <c r="R194" i="1" s="1"/>
  <c r="U195" i="1"/>
  <c r="R195" i="1" s="1"/>
  <c r="U196" i="1"/>
  <c r="R196" i="1" s="1"/>
  <c r="U197" i="1"/>
  <c r="R197" i="1" s="1"/>
  <c r="U198" i="1"/>
  <c r="R198" i="1" s="1"/>
  <c r="U199" i="1"/>
  <c r="R199" i="1" s="1"/>
  <c r="U200" i="1"/>
  <c r="R200" i="1" s="1"/>
  <c r="U201" i="1"/>
  <c r="R201" i="1" s="1"/>
  <c r="U202" i="1"/>
  <c r="R202" i="1" s="1"/>
  <c r="U203" i="1"/>
  <c r="R203" i="1" s="1"/>
  <c r="U204" i="1"/>
  <c r="R204" i="1" s="1"/>
  <c r="U205" i="1"/>
  <c r="R205" i="1" s="1"/>
  <c r="U206" i="1"/>
  <c r="R206" i="1" s="1"/>
  <c r="U207" i="1"/>
  <c r="R207" i="1" s="1"/>
  <c r="U208" i="1"/>
  <c r="R208" i="1" s="1"/>
  <c r="U209" i="1"/>
  <c r="R209" i="1" s="1"/>
  <c r="U210" i="1"/>
  <c r="R210" i="1" s="1"/>
  <c r="U211" i="1"/>
  <c r="R211" i="1" s="1"/>
  <c r="U212" i="1"/>
  <c r="R212" i="1" s="1"/>
  <c r="U213" i="1"/>
  <c r="R213" i="1" s="1"/>
  <c r="U214" i="1"/>
  <c r="R214" i="1" s="1"/>
  <c r="U215" i="1"/>
  <c r="R215" i="1" s="1"/>
  <c r="U216" i="1"/>
  <c r="R216" i="1" s="1"/>
  <c r="U217" i="1"/>
  <c r="R217" i="1" s="1"/>
  <c r="U218" i="1"/>
  <c r="R218" i="1" s="1"/>
  <c r="U219" i="1"/>
  <c r="R219" i="1" s="1"/>
  <c r="U220" i="1"/>
  <c r="R220" i="1" s="1"/>
  <c r="U221" i="1"/>
  <c r="R221" i="1" s="1"/>
  <c r="U222" i="1"/>
  <c r="R222" i="1" s="1"/>
  <c r="U223" i="1"/>
  <c r="R223" i="1" s="1"/>
  <c r="U224" i="1"/>
  <c r="R224" i="1" s="1"/>
  <c r="U225" i="1"/>
  <c r="R225" i="1" s="1"/>
  <c r="U226" i="1"/>
  <c r="R226" i="1" s="1"/>
  <c r="U227" i="1"/>
  <c r="R227" i="1" s="1"/>
  <c r="U228" i="1"/>
  <c r="R228" i="1" s="1"/>
  <c r="U229" i="1"/>
  <c r="R229" i="1" s="1"/>
  <c r="U230" i="1"/>
  <c r="R230" i="1" s="1"/>
  <c r="U231" i="1"/>
  <c r="R231" i="1" s="1"/>
  <c r="U232" i="1"/>
  <c r="R232" i="1" s="1"/>
  <c r="U233" i="1"/>
  <c r="R233" i="1" s="1"/>
  <c r="U234" i="1"/>
  <c r="R234" i="1" s="1"/>
  <c r="U235" i="1"/>
  <c r="R235" i="1" s="1"/>
  <c r="U236" i="1"/>
  <c r="R236" i="1" s="1"/>
  <c r="U237" i="1"/>
  <c r="R237" i="1" s="1"/>
  <c r="U238" i="1"/>
  <c r="R238" i="1" s="1"/>
  <c r="U239" i="1"/>
  <c r="R239" i="1" s="1"/>
  <c r="U240" i="1"/>
  <c r="R240" i="1" s="1"/>
  <c r="U241" i="1"/>
  <c r="R241" i="1" s="1"/>
  <c r="U242" i="1"/>
  <c r="R242" i="1" s="1"/>
  <c r="AN1" i="4"/>
  <c r="D3" i="4" s="1"/>
  <c r="AC3" i="1"/>
  <c r="AG3" i="1" s="1"/>
  <c r="AC4" i="1"/>
  <c r="AG4" i="1" s="1"/>
  <c r="AC5" i="1"/>
  <c r="AG5" i="1" s="1"/>
  <c r="AC6" i="1"/>
  <c r="AG6" i="1" s="1"/>
  <c r="AC7" i="1"/>
  <c r="AG7" i="1" s="1"/>
  <c r="AC8" i="1"/>
  <c r="AG8" i="1" s="1"/>
  <c r="AC9" i="1"/>
  <c r="AG9" i="1" s="1"/>
  <c r="AC10" i="1"/>
  <c r="AG10" i="1" s="1"/>
  <c r="AC11" i="1"/>
  <c r="AG11" i="1" s="1"/>
  <c r="AC12" i="1"/>
  <c r="AG12" i="1" s="1"/>
  <c r="AC13" i="1"/>
  <c r="AG13" i="1" s="1"/>
  <c r="AC14" i="1"/>
  <c r="AG14" i="1" s="1"/>
  <c r="AC15" i="1"/>
  <c r="AG15" i="1" s="1"/>
  <c r="AC16" i="1"/>
  <c r="AG16" i="1" s="1"/>
  <c r="AC17" i="1"/>
  <c r="AG17" i="1" s="1"/>
  <c r="AC18" i="1"/>
  <c r="AG18" i="1" s="1"/>
  <c r="AC19" i="1"/>
  <c r="AG19" i="1" s="1"/>
  <c r="AC20" i="1"/>
  <c r="AG20" i="1" s="1"/>
  <c r="AC21" i="1"/>
  <c r="AG21" i="1" s="1"/>
  <c r="AC22" i="1"/>
  <c r="AG22" i="1" s="1"/>
  <c r="AC23" i="1"/>
  <c r="AG23" i="1" s="1"/>
  <c r="AC24" i="1"/>
  <c r="AG24" i="1" s="1"/>
  <c r="AC25" i="1"/>
  <c r="AG25" i="1" s="1"/>
  <c r="AC26" i="1"/>
  <c r="AG26" i="1" s="1"/>
  <c r="AC27" i="1"/>
  <c r="AG27" i="1" s="1"/>
  <c r="AC28" i="1"/>
  <c r="AG28" i="1" s="1"/>
  <c r="AC29" i="1"/>
  <c r="AG29" i="1" s="1"/>
  <c r="AC30" i="1"/>
  <c r="AG30" i="1" s="1"/>
  <c r="AC31" i="1"/>
  <c r="AG31" i="1" s="1"/>
  <c r="AC32" i="1"/>
  <c r="AG32" i="1" s="1"/>
  <c r="AC33" i="1"/>
  <c r="AG33" i="1" s="1"/>
  <c r="AC34" i="1"/>
  <c r="AG34" i="1" s="1"/>
  <c r="AC35" i="1"/>
  <c r="AG35" i="1" s="1"/>
  <c r="AC36" i="1"/>
  <c r="AG36" i="1" s="1"/>
  <c r="AC37" i="1"/>
  <c r="AG37" i="1" s="1"/>
  <c r="AC38" i="1"/>
  <c r="AG38" i="1" s="1"/>
  <c r="AC39" i="1"/>
  <c r="AG39" i="1" s="1"/>
  <c r="AC40" i="1"/>
  <c r="AG40" i="1" s="1"/>
  <c r="AC41" i="1"/>
  <c r="AG41" i="1" s="1"/>
  <c r="AC42" i="1"/>
  <c r="AG42" i="1" s="1"/>
  <c r="AC43" i="1"/>
  <c r="AG43" i="1" s="1"/>
  <c r="AC44" i="1"/>
  <c r="AG44" i="1" s="1"/>
  <c r="AC45" i="1"/>
  <c r="AG45" i="1" s="1"/>
  <c r="AC46" i="1"/>
  <c r="AG46" i="1" s="1"/>
  <c r="AC47" i="1"/>
  <c r="AG47" i="1" s="1"/>
  <c r="AC48" i="1"/>
  <c r="AG48" i="1" s="1"/>
  <c r="AC49" i="1"/>
  <c r="AG49" i="1" s="1"/>
  <c r="AC50" i="1"/>
  <c r="AG50" i="1" s="1"/>
  <c r="AC51" i="1"/>
  <c r="AG51" i="1" s="1"/>
  <c r="AC52" i="1"/>
  <c r="AG52" i="1" s="1"/>
  <c r="AC53" i="1"/>
  <c r="AG53" i="1" s="1"/>
  <c r="AC54" i="1"/>
  <c r="AG54" i="1" s="1"/>
  <c r="AC55" i="1"/>
  <c r="AG55" i="1" s="1"/>
  <c r="AC56" i="1"/>
  <c r="AG56" i="1" s="1"/>
  <c r="AC57" i="1"/>
  <c r="AG57" i="1" s="1"/>
  <c r="AC58" i="1"/>
  <c r="AG58" i="1" s="1"/>
  <c r="AC59" i="1"/>
  <c r="AG59" i="1" s="1"/>
  <c r="AC60" i="1"/>
  <c r="AG60" i="1" s="1"/>
  <c r="AC61" i="1"/>
  <c r="AG61" i="1" s="1"/>
  <c r="AC62" i="1"/>
  <c r="AG62" i="1" s="1"/>
  <c r="AC93" i="1"/>
  <c r="AG93" i="1" s="1"/>
  <c r="AC94" i="1"/>
  <c r="AG94" i="1" s="1"/>
  <c r="AC95" i="1"/>
  <c r="AG95" i="1" s="1"/>
  <c r="AC96" i="1"/>
  <c r="AG96" i="1" s="1"/>
  <c r="AC97" i="1"/>
  <c r="AG97" i="1" s="1"/>
  <c r="AC98" i="1"/>
  <c r="AG98" i="1" s="1"/>
  <c r="AC99" i="1"/>
  <c r="AG99" i="1" s="1"/>
  <c r="AC100" i="1"/>
  <c r="AG100" i="1" s="1"/>
  <c r="AC101" i="1"/>
  <c r="AG101" i="1" s="1"/>
  <c r="AC102" i="1"/>
  <c r="AG102" i="1" s="1"/>
  <c r="AC103" i="1"/>
  <c r="AG103" i="1" s="1"/>
  <c r="AC104" i="1"/>
  <c r="AG104" i="1" s="1"/>
  <c r="AC105" i="1"/>
  <c r="AG105" i="1" s="1"/>
  <c r="AC106" i="1"/>
  <c r="AG106" i="1" s="1"/>
  <c r="AC107" i="1"/>
  <c r="AG107" i="1" s="1"/>
  <c r="AC108" i="1"/>
  <c r="AG108" i="1" s="1"/>
  <c r="AC109" i="1"/>
  <c r="AG109" i="1" s="1"/>
  <c r="AC110" i="1"/>
  <c r="AG110" i="1" s="1"/>
  <c r="AC111" i="1"/>
  <c r="AG111" i="1" s="1"/>
  <c r="AC112" i="1"/>
  <c r="AG112" i="1" s="1"/>
  <c r="AC113" i="1"/>
  <c r="AG113" i="1" s="1"/>
  <c r="AC114" i="1"/>
  <c r="AG114" i="1" s="1"/>
  <c r="AC115" i="1"/>
  <c r="AG115" i="1" s="1"/>
  <c r="AC116" i="1"/>
  <c r="AG116" i="1" s="1"/>
  <c r="AC117" i="1"/>
  <c r="AG117" i="1" s="1"/>
  <c r="AC118" i="1"/>
  <c r="AG118" i="1" s="1"/>
  <c r="AC119" i="1"/>
  <c r="AG119" i="1" s="1"/>
  <c r="AC120" i="1"/>
  <c r="AG120" i="1" s="1"/>
  <c r="AC121" i="1"/>
  <c r="AG121" i="1" s="1"/>
  <c r="AC122" i="1"/>
  <c r="AG122" i="1" s="1"/>
  <c r="AC123" i="1"/>
  <c r="AG123" i="1" s="1"/>
  <c r="AC124" i="1"/>
  <c r="AG124" i="1" s="1"/>
  <c r="AC125" i="1"/>
  <c r="AG125" i="1" s="1"/>
  <c r="AC126" i="1"/>
  <c r="AG126" i="1" s="1"/>
  <c r="AC127" i="1"/>
  <c r="AG127" i="1" s="1"/>
  <c r="AC128" i="1"/>
  <c r="AG128" i="1" s="1"/>
  <c r="AC129" i="1"/>
  <c r="AG129" i="1" s="1"/>
  <c r="AC130" i="1"/>
  <c r="AG130" i="1" s="1"/>
  <c r="AC131" i="1"/>
  <c r="AG131" i="1" s="1"/>
  <c r="AC132" i="1"/>
  <c r="AG132" i="1" s="1"/>
  <c r="AC133" i="1"/>
  <c r="AG133" i="1" s="1"/>
  <c r="AC134" i="1"/>
  <c r="AG134" i="1" s="1"/>
  <c r="AC135" i="1"/>
  <c r="AG135" i="1" s="1"/>
  <c r="AC136" i="1"/>
  <c r="AG136" i="1" s="1"/>
  <c r="AC137" i="1"/>
  <c r="AG137" i="1" s="1"/>
  <c r="AC138" i="1"/>
  <c r="AG138" i="1" s="1"/>
  <c r="AC139" i="1"/>
  <c r="AG139" i="1" s="1"/>
  <c r="AC140" i="1"/>
  <c r="AG140" i="1" s="1"/>
  <c r="AC141" i="1"/>
  <c r="AG141" i="1" s="1"/>
  <c r="AC142" i="1"/>
  <c r="AG142" i="1" s="1"/>
  <c r="AC143" i="1"/>
  <c r="AG143" i="1" s="1"/>
  <c r="AC144" i="1"/>
  <c r="AG144" i="1" s="1"/>
  <c r="AC145" i="1"/>
  <c r="AG145" i="1" s="1"/>
  <c r="AC146" i="1"/>
  <c r="AG146" i="1" s="1"/>
  <c r="AC147" i="1"/>
  <c r="AG147" i="1" s="1"/>
  <c r="AC148" i="1"/>
  <c r="AG148" i="1" s="1"/>
  <c r="AC149" i="1"/>
  <c r="AG149" i="1" s="1"/>
  <c r="AC150" i="1"/>
  <c r="AG150" i="1" s="1"/>
  <c r="AC151" i="1"/>
  <c r="AG151" i="1" s="1"/>
  <c r="AC152" i="1"/>
  <c r="AG152" i="1" s="1"/>
  <c r="AC153" i="1"/>
  <c r="AG153" i="1" s="1"/>
  <c r="AC154" i="1"/>
  <c r="AG154" i="1" s="1"/>
  <c r="AC155" i="1"/>
  <c r="AG155" i="1" s="1"/>
  <c r="AC156" i="1"/>
  <c r="AG156" i="1" s="1"/>
  <c r="AC157" i="1"/>
  <c r="AG157" i="1" s="1"/>
  <c r="AC158" i="1"/>
  <c r="AG158" i="1" s="1"/>
  <c r="AC159" i="1"/>
  <c r="AG159" i="1" s="1"/>
  <c r="AC160" i="1"/>
  <c r="AG160" i="1" s="1"/>
  <c r="AC161" i="1"/>
  <c r="AG161" i="1" s="1"/>
  <c r="AC162" i="1"/>
  <c r="AG162" i="1" s="1"/>
  <c r="AC163" i="1"/>
  <c r="AG163" i="1" s="1"/>
  <c r="AC164" i="1"/>
  <c r="AG164" i="1" s="1"/>
  <c r="AC165" i="1"/>
  <c r="AG165" i="1" s="1"/>
  <c r="AC166" i="1"/>
  <c r="AG166" i="1" s="1"/>
  <c r="AC167" i="1"/>
  <c r="AG167" i="1" s="1"/>
  <c r="AC168" i="1"/>
  <c r="AG168" i="1" s="1"/>
  <c r="AC169" i="1"/>
  <c r="AG169" i="1" s="1"/>
  <c r="AC170" i="1"/>
  <c r="AG170" i="1" s="1"/>
  <c r="AC171" i="1"/>
  <c r="AG171" i="1" s="1"/>
  <c r="AC172" i="1"/>
  <c r="AG172" i="1" s="1"/>
  <c r="AC173" i="1"/>
  <c r="AG173" i="1" s="1"/>
  <c r="AC174" i="1"/>
  <c r="AG174" i="1" s="1"/>
  <c r="AC175" i="1"/>
  <c r="AG175" i="1" s="1"/>
  <c r="AC176" i="1"/>
  <c r="AG176" i="1" s="1"/>
  <c r="AC177" i="1"/>
  <c r="AG177" i="1" s="1"/>
  <c r="AC178" i="1"/>
  <c r="AG178" i="1" s="1"/>
  <c r="AC179" i="1"/>
  <c r="AG179" i="1" s="1"/>
  <c r="AC180" i="1"/>
  <c r="AG180" i="1" s="1"/>
  <c r="AC181" i="1"/>
  <c r="AG181" i="1" s="1"/>
  <c r="AC182" i="1"/>
  <c r="AG182" i="1" s="1"/>
  <c r="AC183" i="1"/>
  <c r="AG183" i="1" s="1"/>
  <c r="AC184" i="1"/>
  <c r="AG184" i="1" s="1"/>
  <c r="AC185" i="1"/>
  <c r="AG185" i="1" s="1"/>
  <c r="AC186" i="1"/>
  <c r="AG186" i="1" s="1"/>
  <c r="AC187" i="1"/>
  <c r="AG187" i="1" s="1"/>
  <c r="AC188" i="1"/>
  <c r="AG188" i="1" s="1"/>
  <c r="AC189" i="1"/>
  <c r="AG189" i="1" s="1"/>
  <c r="AC190" i="1"/>
  <c r="AG190" i="1" s="1"/>
  <c r="AC191" i="1"/>
  <c r="AG191" i="1" s="1"/>
  <c r="AC192" i="1"/>
  <c r="AG192" i="1" s="1"/>
  <c r="AC193" i="1"/>
  <c r="AG193" i="1" s="1"/>
  <c r="AC194" i="1"/>
  <c r="AG194" i="1" s="1"/>
  <c r="AC195" i="1"/>
  <c r="AG195" i="1" s="1"/>
  <c r="AC196" i="1"/>
  <c r="AG196" i="1" s="1"/>
  <c r="AC197" i="1"/>
  <c r="AG197" i="1" s="1"/>
  <c r="AC198" i="1"/>
  <c r="AG198" i="1" s="1"/>
  <c r="AC199" i="1"/>
  <c r="AG199" i="1" s="1"/>
  <c r="AC200" i="1"/>
  <c r="AG200" i="1" s="1"/>
  <c r="AC201" i="1"/>
  <c r="AG201" i="1" s="1"/>
  <c r="AC202" i="1"/>
  <c r="AG202" i="1" s="1"/>
  <c r="AC203" i="1"/>
  <c r="AG203" i="1" s="1"/>
  <c r="AC204" i="1"/>
  <c r="AG204" i="1" s="1"/>
  <c r="AC205" i="1"/>
  <c r="AG205" i="1" s="1"/>
  <c r="AC206" i="1"/>
  <c r="AG206" i="1" s="1"/>
  <c r="AC207" i="1"/>
  <c r="AG207" i="1" s="1"/>
  <c r="AC208" i="1"/>
  <c r="AG208" i="1" s="1"/>
  <c r="AC209" i="1"/>
  <c r="AG209" i="1" s="1"/>
  <c r="AC210" i="1"/>
  <c r="AG210" i="1" s="1"/>
  <c r="AC211" i="1"/>
  <c r="AG211" i="1" s="1"/>
  <c r="AC212" i="1"/>
  <c r="AG212" i="1" s="1"/>
  <c r="AC213" i="1"/>
  <c r="AG213" i="1" s="1"/>
  <c r="AC214" i="1"/>
  <c r="AG214" i="1" s="1"/>
  <c r="AC215" i="1"/>
  <c r="AG215" i="1" s="1"/>
  <c r="AC216" i="1"/>
  <c r="AG216" i="1" s="1"/>
  <c r="AC217" i="1"/>
  <c r="AG217" i="1" s="1"/>
  <c r="AC218" i="1"/>
  <c r="AG218" i="1" s="1"/>
  <c r="AC219" i="1"/>
  <c r="AG219" i="1" s="1"/>
  <c r="AC220" i="1"/>
  <c r="AG220" i="1" s="1"/>
  <c r="AC221" i="1"/>
  <c r="AG221" i="1" s="1"/>
  <c r="AC222" i="1"/>
  <c r="AG222" i="1" s="1"/>
  <c r="AC223" i="1"/>
  <c r="AG223" i="1" s="1"/>
  <c r="AC224" i="1"/>
  <c r="AG224" i="1" s="1"/>
  <c r="AC225" i="1"/>
  <c r="AG225" i="1" s="1"/>
  <c r="AC226" i="1"/>
  <c r="AG226" i="1" s="1"/>
  <c r="AC227" i="1"/>
  <c r="AG227" i="1" s="1"/>
  <c r="AC228" i="1"/>
  <c r="AG228" i="1" s="1"/>
  <c r="AC229" i="1"/>
  <c r="AG229" i="1" s="1"/>
  <c r="AC230" i="1"/>
  <c r="AG230" i="1" s="1"/>
  <c r="AC231" i="1"/>
  <c r="AG231" i="1" s="1"/>
  <c r="AC232" i="1"/>
  <c r="AG232" i="1" s="1"/>
  <c r="AC233" i="1"/>
  <c r="AG233" i="1" s="1"/>
  <c r="AC234" i="1"/>
  <c r="AG234" i="1" s="1"/>
  <c r="AC235" i="1"/>
  <c r="AG235" i="1" s="1"/>
  <c r="AC236" i="1"/>
  <c r="AG236" i="1" s="1"/>
  <c r="AC237" i="1"/>
  <c r="AG237" i="1" s="1"/>
  <c r="AC238" i="1"/>
  <c r="AG238" i="1" s="1"/>
  <c r="AC239" i="1"/>
  <c r="AG239" i="1" s="1"/>
  <c r="AC240" i="1"/>
  <c r="AG240" i="1" s="1"/>
  <c r="AC241" i="1"/>
  <c r="AG241" i="1" s="1"/>
  <c r="AC242" i="1"/>
  <c r="AG242" i="1" s="1"/>
  <c r="AD3" i="1"/>
  <c r="AD4" i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E3" i="4" l="1"/>
  <c r="Y25" i="4"/>
  <c r="D4" i="4"/>
  <c r="E4" i="4" s="1"/>
  <c r="F4" i="4" s="1"/>
  <c r="G4" i="4" s="1"/>
  <c r="H4" i="4" s="1"/>
  <c r="I4" i="4" s="1"/>
  <c r="J4" i="4" s="1"/>
  <c r="K4" i="4" s="1"/>
  <c r="L4" i="4" s="1"/>
  <c r="M4" i="4" s="1"/>
  <c r="N4" i="4" s="1"/>
  <c r="O4" i="4" s="1"/>
  <c r="P4" i="4" s="1"/>
  <c r="Q4" i="4" s="1"/>
  <c r="R4" i="4" s="1"/>
  <c r="S4" i="4" s="1"/>
  <c r="T4" i="4" s="1"/>
  <c r="U4" i="4" s="1"/>
  <c r="V4" i="4" s="1"/>
  <c r="W4" i="4" s="1"/>
  <c r="X4" i="4" s="1"/>
  <c r="Y4" i="4" s="1"/>
  <c r="Z4" i="4" s="1"/>
  <c r="AA4" i="4" s="1"/>
  <c r="AB4" i="4" s="1"/>
  <c r="AC4" i="4" s="1"/>
  <c r="AD4" i="4" s="1"/>
  <c r="AE4" i="4" s="1"/>
  <c r="AF4" i="4" s="1"/>
  <c r="AG4" i="4" s="1"/>
  <c r="AH4" i="4" s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AA16" i="1" s="1"/>
  <c r="Y17" i="1"/>
  <c r="Y18" i="1"/>
  <c r="Y19" i="1"/>
  <c r="Y20" i="1"/>
  <c r="Y21" i="1"/>
  <c r="Y22" i="1"/>
  <c r="AA22" i="1" s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AA39" i="1" s="1"/>
  <c r="Y40" i="1"/>
  <c r="Y41" i="1"/>
  <c r="Y42" i="1"/>
  <c r="Y43" i="1"/>
  <c r="Y44" i="1"/>
  <c r="Y45" i="1"/>
  <c r="Y46" i="1"/>
  <c r="Y47" i="1"/>
  <c r="Y48" i="1"/>
  <c r="Y49" i="1"/>
  <c r="Y50" i="1"/>
  <c r="AA50" i="1" s="1"/>
  <c r="Y51" i="1"/>
  <c r="Y52" i="1"/>
  <c r="Y53" i="1"/>
  <c r="AA53" i="1" s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AA129" i="1" s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AA143" i="1" s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AA159" i="1" s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D6" i="4" s="1"/>
  <c r="Y214" i="1"/>
  <c r="E6" i="4" s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AA240" i="1" s="1"/>
  <c r="Y241" i="1"/>
  <c r="Y242" i="1"/>
  <c r="X3" i="1"/>
  <c r="AE3" i="1" s="1"/>
  <c r="X4" i="1"/>
  <c r="X5" i="1"/>
  <c r="X6" i="1"/>
  <c r="X7" i="1"/>
  <c r="X8" i="1"/>
  <c r="X9" i="1"/>
  <c r="X10" i="1"/>
  <c r="X11" i="1"/>
  <c r="AE11" i="1" s="1"/>
  <c r="X12" i="1"/>
  <c r="X13" i="1"/>
  <c r="X14" i="1"/>
  <c r="X15" i="1"/>
  <c r="X16" i="1"/>
  <c r="X17" i="1"/>
  <c r="X18" i="1"/>
  <c r="AE18" i="1" s="1"/>
  <c r="X19" i="1"/>
  <c r="AE19" i="1" s="1"/>
  <c r="X20" i="1"/>
  <c r="AE20" i="1" s="1"/>
  <c r="X21" i="1"/>
  <c r="X22" i="1"/>
  <c r="X23" i="1"/>
  <c r="X24" i="1"/>
  <c r="X25" i="1"/>
  <c r="X26" i="1"/>
  <c r="X27" i="1"/>
  <c r="X28" i="1"/>
  <c r="X29" i="1"/>
  <c r="X30" i="1"/>
  <c r="X31" i="1"/>
  <c r="X32" i="1"/>
  <c r="AE32" i="1" s="1"/>
  <c r="X33" i="1"/>
  <c r="AE33" i="1" s="1"/>
  <c r="X34" i="1"/>
  <c r="AE34" i="1" s="1"/>
  <c r="X35" i="1"/>
  <c r="X36" i="1"/>
  <c r="AE36" i="1" s="1"/>
  <c r="X37" i="1"/>
  <c r="AE37" i="1" s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AE52" i="1" s="1"/>
  <c r="X53" i="1"/>
  <c r="AE53" i="1" s="1"/>
  <c r="X54" i="1"/>
  <c r="X55" i="1"/>
  <c r="X56" i="1"/>
  <c r="AE56" i="1" s="1"/>
  <c r="X57" i="1"/>
  <c r="X58" i="1"/>
  <c r="X59" i="1"/>
  <c r="X60" i="1"/>
  <c r="X61" i="1"/>
  <c r="X62" i="1"/>
  <c r="X63" i="1"/>
  <c r="X64" i="1"/>
  <c r="X65" i="1"/>
  <c r="X66" i="1"/>
  <c r="AE66" i="1" s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AE94" i="1" s="1"/>
  <c r="X95" i="1"/>
  <c r="AE95" i="1" s="1"/>
  <c r="X96" i="1"/>
  <c r="X97" i="1"/>
  <c r="X98" i="1"/>
  <c r="AE98" i="1" s="1"/>
  <c r="X99" i="1"/>
  <c r="X100" i="1"/>
  <c r="X101" i="1"/>
  <c r="X102" i="1"/>
  <c r="X103" i="1"/>
  <c r="X104" i="1"/>
  <c r="AE104" i="1" s="1"/>
  <c r="X105" i="1"/>
  <c r="X106" i="1"/>
  <c r="X107" i="1"/>
  <c r="X108" i="1"/>
  <c r="X109" i="1"/>
  <c r="X110" i="1"/>
  <c r="X111" i="1"/>
  <c r="AE111" i="1" s="1"/>
  <c r="X112" i="1"/>
  <c r="X113" i="1"/>
  <c r="X114" i="1"/>
  <c r="AE114" i="1" s="1"/>
  <c r="X115" i="1"/>
  <c r="AE115" i="1" s="1"/>
  <c r="X116" i="1"/>
  <c r="X117" i="1"/>
  <c r="X118" i="1"/>
  <c r="AE118" i="1" s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AE131" i="1" s="1"/>
  <c r="X132" i="1"/>
  <c r="X133" i="1"/>
  <c r="X134" i="1"/>
  <c r="AE134" i="1" s="1"/>
  <c r="X135" i="1"/>
  <c r="X136" i="1"/>
  <c r="X137" i="1"/>
  <c r="X138" i="1"/>
  <c r="X139" i="1"/>
  <c r="X140" i="1"/>
  <c r="AE140" i="1" s="1"/>
  <c r="X141" i="1"/>
  <c r="X142" i="1"/>
  <c r="AE142" i="1" s="1"/>
  <c r="X143" i="1"/>
  <c r="X144" i="1"/>
  <c r="X145" i="1"/>
  <c r="X146" i="1"/>
  <c r="X147" i="1"/>
  <c r="X148" i="1"/>
  <c r="X149" i="1"/>
  <c r="X150" i="1"/>
  <c r="AE150" i="1" s="1"/>
  <c r="X151" i="1"/>
  <c r="X152" i="1"/>
  <c r="X153" i="1"/>
  <c r="X154" i="1"/>
  <c r="X155" i="1"/>
  <c r="AE155" i="1" s="1"/>
  <c r="X156" i="1"/>
  <c r="X157" i="1"/>
  <c r="X158" i="1"/>
  <c r="X159" i="1"/>
  <c r="X160" i="1"/>
  <c r="X161" i="1"/>
  <c r="X162" i="1"/>
  <c r="AE162" i="1" s="1"/>
  <c r="X163" i="1"/>
  <c r="AE163" i="1" s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AE202" i="1" s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AA113" i="1" l="1"/>
  <c r="AA209" i="1"/>
  <c r="AA173" i="1"/>
  <c r="AA17" i="1"/>
  <c r="AA226" i="1"/>
  <c r="AA210" i="1"/>
  <c r="AA194" i="1"/>
  <c r="AA136" i="1"/>
  <c r="AA120" i="1"/>
  <c r="AA46" i="1"/>
  <c r="AA231" i="1"/>
  <c r="AA179" i="1"/>
  <c r="AA99" i="1"/>
  <c r="AA23" i="1"/>
  <c r="AA196" i="1"/>
  <c r="AA112" i="1"/>
  <c r="AA54" i="1"/>
  <c r="AA38" i="1"/>
  <c r="AA166" i="1"/>
  <c r="AA134" i="1"/>
  <c r="AA60" i="1"/>
  <c r="AA150" i="1"/>
  <c r="AA44" i="1"/>
  <c r="AA10" i="1"/>
  <c r="AA170" i="1"/>
  <c r="AA106" i="1"/>
  <c r="AA30" i="1"/>
  <c r="AA189" i="1"/>
  <c r="AA29" i="1"/>
  <c r="AA219" i="1"/>
  <c r="AA203" i="1"/>
  <c r="AA119" i="1"/>
  <c r="AA233" i="1"/>
  <c r="AA59" i="1"/>
  <c r="AA9" i="1"/>
  <c r="AA180" i="1"/>
  <c r="AA148" i="1"/>
  <c r="AJ6" i="4"/>
  <c r="F3" i="4"/>
  <c r="AB227" i="1"/>
  <c r="AF227" i="1" s="1"/>
  <c r="AA227" i="1" s="1"/>
  <c r="AB209" i="1"/>
  <c r="AF209" i="1" s="1"/>
  <c r="AB193" i="1"/>
  <c r="AF193" i="1" s="1"/>
  <c r="AA193" i="1" s="1"/>
  <c r="AB181" i="1"/>
  <c r="AF181" i="1" s="1"/>
  <c r="AA181" i="1" s="1"/>
  <c r="AB165" i="1"/>
  <c r="AF165" i="1" s="1"/>
  <c r="AA165" i="1" s="1"/>
  <c r="AB141" i="1"/>
  <c r="AF141" i="1" s="1"/>
  <c r="AA141" i="1" s="1"/>
  <c r="AB125" i="1"/>
  <c r="AF125" i="1" s="1"/>
  <c r="AA125" i="1" s="1"/>
  <c r="AB121" i="1"/>
  <c r="AF121" i="1" s="1"/>
  <c r="AA121" i="1" s="1"/>
  <c r="AB105" i="1"/>
  <c r="AF105" i="1" s="1"/>
  <c r="AA105" i="1" s="1"/>
  <c r="AB89" i="1"/>
  <c r="AF89" i="1" s="1"/>
  <c r="AC89" i="1"/>
  <c r="AG89" i="1" s="1"/>
  <c r="AB73" i="1"/>
  <c r="AF73" i="1" s="1"/>
  <c r="AC73" i="1"/>
  <c r="AG73" i="1" s="1"/>
  <c r="AB55" i="1"/>
  <c r="AF55" i="1" s="1"/>
  <c r="AA55" i="1" s="1"/>
  <c r="AB39" i="1"/>
  <c r="AF39" i="1" s="1"/>
  <c r="AB21" i="1"/>
  <c r="AF21" i="1" s="1"/>
  <c r="AA21" i="1" s="1"/>
  <c r="AB5" i="1"/>
  <c r="AF5" i="1" s="1"/>
  <c r="AA5" i="1" s="1"/>
  <c r="AB242" i="1"/>
  <c r="AF242" i="1" s="1"/>
  <c r="AA242" i="1" s="1"/>
  <c r="AB226" i="1"/>
  <c r="AF226" i="1" s="1"/>
  <c r="AB208" i="1"/>
  <c r="AF208" i="1" s="1"/>
  <c r="AA208" i="1" s="1"/>
  <c r="AB192" i="1"/>
  <c r="AF192" i="1" s="1"/>
  <c r="AA192" i="1" s="1"/>
  <c r="AB180" i="1"/>
  <c r="AF180" i="1" s="1"/>
  <c r="AB164" i="1"/>
  <c r="AF164" i="1" s="1"/>
  <c r="AA164" i="1" s="1"/>
  <c r="AB140" i="1"/>
  <c r="AF140" i="1" s="1"/>
  <c r="AA140" i="1" s="1"/>
  <c r="AB124" i="1"/>
  <c r="AF124" i="1" s="1"/>
  <c r="AB120" i="1"/>
  <c r="AF120" i="1" s="1"/>
  <c r="AB104" i="1"/>
  <c r="AF104" i="1" s="1"/>
  <c r="AA104" i="1" s="1"/>
  <c r="AB88" i="1"/>
  <c r="AF88" i="1" s="1"/>
  <c r="AC88" i="1"/>
  <c r="AG88" i="1" s="1"/>
  <c r="AB72" i="1"/>
  <c r="AF72" i="1" s="1"/>
  <c r="AC72" i="1"/>
  <c r="AG72" i="1" s="1"/>
  <c r="AA72" i="1" s="1"/>
  <c r="AB54" i="1"/>
  <c r="AF54" i="1" s="1"/>
  <c r="AB38" i="1"/>
  <c r="AF38" i="1" s="1"/>
  <c r="AB20" i="1"/>
  <c r="AF20" i="1" s="1"/>
  <c r="AA20" i="1" s="1"/>
  <c r="AB4" i="1"/>
  <c r="AF4" i="1" s="1"/>
  <c r="AB241" i="1"/>
  <c r="AF241" i="1" s="1"/>
  <c r="AA241" i="1" s="1"/>
  <c r="AB225" i="1"/>
  <c r="AF225" i="1" s="1"/>
  <c r="AA225" i="1" s="1"/>
  <c r="AB207" i="1"/>
  <c r="AF207" i="1" s="1"/>
  <c r="AA207" i="1" s="1"/>
  <c r="AB191" i="1"/>
  <c r="AF191" i="1" s="1"/>
  <c r="AA191" i="1" s="1"/>
  <c r="AB179" i="1"/>
  <c r="AF179" i="1" s="1"/>
  <c r="AB163" i="1"/>
  <c r="AF163" i="1" s="1"/>
  <c r="AA163" i="1" s="1"/>
  <c r="AB139" i="1"/>
  <c r="AF139" i="1" s="1"/>
  <c r="AA139" i="1" s="1"/>
  <c r="AB123" i="1"/>
  <c r="AB119" i="1"/>
  <c r="AF119" i="1" s="1"/>
  <c r="AB103" i="1"/>
  <c r="AF103" i="1" s="1"/>
  <c r="AA103" i="1" s="1"/>
  <c r="AB87" i="1"/>
  <c r="AF87" i="1" s="1"/>
  <c r="AC87" i="1"/>
  <c r="AG87" i="1" s="1"/>
  <c r="AB71" i="1"/>
  <c r="AF71" i="1" s="1"/>
  <c r="AC71" i="1"/>
  <c r="AG71" i="1" s="1"/>
  <c r="AB53" i="1"/>
  <c r="AF53" i="1" s="1"/>
  <c r="AB37" i="1"/>
  <c r="AF37" i="1" s="1"/>
  <c r="AA37" i="1" s="1"/>
  <c r="AB19" i="1"/>
  <c r="AF19" i="1" s="1"/>
  <c r="AA19" i="1" s="1"/>
  <c r="AB3" i="1"/>
  <c r="AF3" i="1" s="1"/>
  <c r="AB240" i="1"/>
  <c r="AF240" i="1" s="1"/>
  <c r="AB224" i="1"/>
  <c r="AF224" i="1" s="1"/>
  <c r="AA224" i="1" s="1"/>
  <c r="AB206" i="1"/>
  <c r="AF206" i="1" s="1"/>
  <c r="AA206" i="1" s="1"/>
  <c r="AB190" i="1"/>
  <c r="AF190" i="1" s="1"/>
  <c r="AA190" i="1" s="1"/>
  <c r="AB178" i="1"/>
  <c r="AF178" i="1" s="1"/>
  <c r="AA178" i="1" s="1"/>
  <c r="AB162" i="1"/>
  <c r="AF162" i="1" s="1"/>
  <c r="AA162" i="1" s="1"/>
  <c r="AB138" i="1"/>
  <c r="AF138" i="1" s="1"/>
  <c r="AA138" i="1" s="1"/>
  <c r="AB118" i="1"/>
  <c r="AF118" i="1" s="1"/>
  <c r="AA118" i="1" s="1"/>
  <c r="AB102" i="1"/>
  <c r="AF102" i="1" s="1"/>
  <c r="AA102" i="1" s="1"/>
  <c r="AB86" i="1"/>
  <c r="AF86" i="1" s="1"/>
  <c r="AC86" i="1"/>
  <c r="AG86" i="1" s="1"/>
  <c r="AB70" i="1"/>
  <c r="AF70" i="1" s="1"/>
  <c r="AC70" i="1"/>
  <c r="AB52" i="1"/>
  <c r="AF52" i="1" s="1"/>
  <c r="AA52" i="1" s="1"/>
  <c r="AB36" i="1"/>
  <c r="AF36" i="1" s="1"/>
  <c r="AA36" i="1" s="1"/>
  <c r="AB18" i="1"/>
  <c r="AF18" i="1" s="1"/>
  <c r="AA18" i="1" s="1"/>
  <c r="AB239" i="1"/>
  <c r="AF239" i="1" s="1"/>
  <c r="AA239" i="1" s="1"/>
  <c r="AB223" i="1"/>
  <c r="AF223" i="1" s="1"/>
  <c r="AA223" i="1" s="1"/>
  <c r="AB205" i="1"/>
  <c r="AF205" i="1" s="1"/>
  <c r="AA205" i="1" s="1"/>
  <c r="AB189" i="1"/>
  <c r="AF189" i="1" s="1"/>
  <c r="AB177" i="1"/>
  <c r="AF177" i="1" s="1"/>
  <c r="AA177" i="1" s="1"/>
  <c r="AB161" i="1"/>
  <c r="AF161" i="1" s="1"/>
  <c r="AA161" i="1" s="1"/>
  <c r="AB137" i="1"/>
  <c r="AF137" i="1" s="1"/>
  <c r="AA137" i="1" s="1"/>
  <c r="AB117" i="1"/>
  <c r="AF117" i="1" s="1"/>
  <c r="AA117" i="1" s="1"/>
  <c r="AB101" i="1"/>
  <c r="AF101" i="1" s="1"/>
  <c r="AA101" i="1" s="1"/>
  <c r="AB85" i="1"/>
  <c r="AF85" i="1" s="1"/>
  <c r="AC85" i="1"/>
  <c r="AG85" i="1" s="1"/>
  <c r="AB69" i="1"/>
  <c r="AF69" i="1" s="1"/>
  <c r="AC69" i="1"/>
  <c r="AG69" i="1" s="1"/>
  <c r="AA69" i="1" s="1"/>
  <c r="AB51" i="1"/>
  <c r="AF51" i="1" s="1"/>
  <c r="AA51" i="1" s="1"/>
  <c r="AB35" i="1"/>
  <c r="AF35" i="1" s="1"/>
  <c r="AA35" i="1" s="1"/>
  <c r="AB17" i="1"/>
  <c r="AF17" i="1" s="1"/>
  <c r="AB238" i="1"/>
  <c r="AF238" i="1" s="1"/>
  <c r="AA238" i="1" s="1"/>
  <c r="AB222" i="1"/>
  <c r="AF222" i="1" s="1"/>
  <c r="AA222" i="1" s="1"/>
  <c r="AB204" i="1"/>
  <c r="AF204" i="1" s="1"/>
  <c r="AA204" i="1" s="1"/>
  <c r="AB188" i="1"/>
  <c r="AF188" i="1" s="1"/>
  <c r="AA188" i="1" s="1"/>
  <c r="AB176" i="1"/>
  <c r="AF176" i="1" s="1"/>
  <c r="AA176" i="1" s="1"/>
  <c r="AB160" i="1"/>
  <c r="AF160" i="1" s="1"/>
  <c r="AA160" i="1" s="1"/>
  <c r="AB152" i="1"/>
  <c r="AF152" i="1" s="1"/>
  <c r="AA152" i="1" s="1"/>
  <c r="AB136" i="1"/>
  <c r="AF136" i="1" s="1"/>
  <c r="AB116" i="1"/>
  <c r="AF116" i="1" s="1"/>
  <c r="AA116" i="1" s="1"/>
  <c r="AB100" i="1"/>
  <c r="AF100" i="1" s="1"/>
  <c r="AA100" i="1" s="1"/>
  <c r="AB84" i="1"/>
  <c r="AF84" i="1" s="1"/>
  <c r="AC84" i="1"/>
  <c r="AG84" i="1" s="1"/>
  <c r="AC68" i="1"/>
  <c r="AG68" i="1" s="1"/>
  <c r="AB68" i="1"/>
  <c r="AF68" i="1" s="1"/>
  <c r="AB50" i="1"/>
  <c r="AF50" i="1" s="1"/>
  <c r="AB34" i="1"/>
  <c r="AF34" i="1" s="1"/>
  <c r="AB32" i="1"/>
  <c r="AF32" i="1" s="1"/>
  <c r="AA32" i="1" s="1"/>
  <c r="AB16" i="1"/>
  <c r="AF16" i="1" s="1"/>
  <c r="AB237" i="1"/>
  <c r="AF237" i="1" s="1"/>
  <c r="AA237" i="1" s="1"/>
  <c r="AB221" i="1"/>
  <c r="AF221" i="1" s="1"/>
  <c r="AA221" i="1" s="1"/>
  <c r="AB203" i="1"/>
  <c r="AF203" i="1" s="1"/>
  <c r="AB187" i="1"/>
  <c r="AF187" i="1" s="1"/>
  <c r="AA187" i="1" s="1"/>
  <c r="AB175" i="1"/>
  <c r="AF175" i="1" s="1"/>
  <c r="AA175" i="1" s="1"/>
  <c r="AB159" i="1"/>
  <c r="AF159" i="1" s="1"/>
  <c r="AB151" i="1"/>
  <c r="AF151" i="1" s="1"/>
  <c r="AA151" i="1" s="1"/>
  <c r="AB135" i="1"/>
  <c r="AF135" i="1" s="1"/>
  <c r="AA135" i="1" s="1"/>
  <c r="AB115" i="1"/>
  <c r="AF115" i="1" s="1"/>
  <c r="AA115" i="1" s="1"/>
  <c r="AB99" i="1"/>
  <c r="AF99" i="1" s="1"/>
  <c r="AB83" i="1"/>
  <c r="AF83" i="1" s="1"/>
  <c r="AC83" i="1"/>
  <c r="AG83" i="1" s="1"/>
  <c r="AA83" i="1" s="1"/>
  <c r="AB67" i="1"/>
  <c r="AF67" i="1" s="1"/>
  <c r="AC67" i="1"/>
  <c r="AG67" i="1" s="1"/>
  <c r="AB49" i="1"/>
  <c r="AF49" i="1" s="1"/>
  <c r="AA49" i="1" s="1"/>
  <c r="AB33" i="1"/>
  <c r="AB31" i="1"/>
  <c r="AF31" i="1" s="1"/>
  <c r="AA31" i="1" s="1"/>
  <c r="AB15" i="1"/>
  <c r="AF15" i="1" s="1"/>
  <c r="AA15" i="1" s="1"/>
  <c r="AB236" i="1"/>
  <c r="AF236" i="1" s="1"/>
  <c r="AA236" i="1" s="1"/>
  <c r="AB220" i="1"/>
  <c r="AF220" i="1" s="1"/>
  <c r="AA220" i="1" s="1"/>
  <c r="AB202" i="1"/>
  <c r="AF202" i="1" s="1"/>
  <c r="AA202" i="1" s="1"/>
  <c r="AB186" i="1"/>
  <c r="AF186" i="1" s="1"/>
  <c r="AA186" i="1" s="1"/>
  <c r="AB174" i="1"/>
  <c r="AF174" i="1" s="1"/>
  <c r="AA174" i="1" s="1"/>
  <c r="AB158" i="1"/>
  <c r="AF158" i="1" s="1"/>
  <c r="AA158" i="1" s="1"/>
  <c r="AB150" i="1"/>
  <c r="AF150" i="1" s="1"/>
  <c r="AB134" i="1"/>
  <c r="AF134" i="1" s="1"/>
  <c r="AB114" i="1"/>
  <c r="AF114" i="1" s="1"/>
  <c r="AA114" i="1" s="1"/>
  <c r="AB98" i="1"/>
  <c r="AF98" i="1" s="1"/>
  <c r="AA98" i="1" s="1"/>
  <c r="AB82" i="1"/>
  <c r="AF82" i="1" s="1"/>
  <c r="AC82" i="1"/>
  <c r="AC66" i="1"/>
  <c r="AG66" i="1" s="1"/>
  <c r="AB66" i="1"/>
  <c r="AF66" i="1" s="1"/>
  <c r="AB48" i="1"/>
  <c r="AF48" i="1" s="1"/>
  <c r="AA48" i="1" s="1"/>
  <c r="AB30" i="1"/>
  <c r="AF30" i="1" s="1"/>
  <c r="AB14" i="1"/>
  <c r="AF14" i="1" s="1"/>
  <c r="AA14" i="1" s="1"/>
  <c r="AB235" i="1"/>
  <c r="AF235" i="1" s="1"/>
  <c r="AA235" i="1" s="1"/>
  <c r="AB219" i="1"/>
  <c r="AF219" i="1" s="1"/>
  <c r="AB201" i="1"/>
  <c r="AF201" i="1" s="1"/>
  <c r="AA201" i="1" s="1"/>
  <c r="AB185" i="1"/>
  <c r="AF185" i="1" s="1"/>
  <c r="AA185" i="1" s="1"/>
  <c r="AB173" i="1"/>
  <c r="AF173" i="1" s="1"/>
  <c r="AB157" i="1"/>
  <c r="AF157" i="1" s="1"/>
  <c r="AA157" i="1" s="1"/>
  <c r="AB149" i="1"/>
  <c r="AF149" i="1" s="1"/>
  <c r="AA149" i="1" s="1"/>
  <c r="AB133" i="1"/>
  <c r="AF133" i="1" s="1"/>
  <c r="AA133" i="1" s="1"/>
  <c r="AB113" i="1"/>
  <c r="AF113" i="1" s="1"/>
  <c r="AB97" i="1"/>
  <c r="AF97" i="1" s="1"/>
  <c r="AA97" i="1" s="1"/>
  <c r="AB81" i="1"/>
  <c r="AF81" i="1" s="1"/>
  <c r="AC81" i="1"/>
  <c r="AG81" i="1" s="1"/>
  <c r="AB65" i="1"/>
  <c r="AF65" i="1" s="1"/>
  <c r="AC65" i="1"/>
  <c r="AG65" i="1" s="1"/>
  <c r="AB47" i="1"/>
  <c r="AF47" i="1" s="1"/>
  <c r="AA47" i="1" s="1"/>
  <c r="AB29" i="1"/>
  <c r="AF29" i="1" s="1"/>
  <c r="AB13" i="1"/>
  <c r="AF13" i="1" s="1"/>
  <c r="AA13" i="1" s="1"/>
  <c r="AB234" i="1"/>
  <c r="AF234" i="1" s="1"/>
  <c r="AA234" i="1" s="1"/>
  <c r="AB218" i="1"/>
  <c r="AF218" i="1" s="1"/>
  <c r="AA218" i="1" s="1"/>
  <c r="AB200" i="1"/>
  <c r="AF200" i="1" s="1"/>
  <c r="AA200" i="1" s="1"/>
  <c r="AB184" i="1"/>
  <c r="AF184" i="1" s="1"/>
  <c r="AB172" i="1"/>
  <c r="AF172" i="1" s="1"/>
  <c r="AA172" i="1" s="1"/>
  <c r="AB156" i="1"/>
  <c r="AF156" i="1" s="1"/>
  <c r="AA156" i="1" s="1"/>
  <c r="AB148" i="1"/>
  <c r="AF148" i="1" s="1"/>
  <c r="AB132" i="1"/>
  <c r="AF132" i="1" s="1"/>
  <c r="AA132" i="1" s="1"/>
  <c r="AB112" i="1"/>
  <c r="AF112" i="1" s="1"/>
  <c r="AB96" i="1"/>
  <c r="AF96" i="1" s="1"/>
  <c r="AA96" i="1" s="1"/>
  <c r="AB80" i="1"/>
  <c r="AF80" i="1" s="1"/>
  <c r="AC80" i="1"/>
  <c r="AG80" i="1" s="1"/>
  <c r="AB64" i="1"/>
  <c r="AF64" i="1" s="1"/>
  <c r="AC64" i="1"/>
  <c r="AG64" i="1" s="1"/>
  <c r="AB62" i="1"/>
  <c r="AF62" i="1" s="1"/>
  <c r="AA62" i="1" s="1"/>
  <c r="AB46" i="1"/>
  <c r="AF46" i="1" s="1"/>
  <c r="AB28" i="1"/>
  <c r="AF28" i="1" s="1"/>
  <c r="AA28" i="1" s="1"/>
  <c r="AB12" i="1"/>
  <c r="AF12" i="1" s="1"/>
  <c r="AA12" i="1" s="1"/>
  <c r="AB233" i="1"/>
  <c r="AF233" i="1" s="1"/>
  <c r="AB217" i="1"/>
  <c r="AF217" i="1" s="1"/>
  <c r="AA217" i="1" s="1"/>
  <c r="AB199" i="1"/>
  <c r="AF199" i="1" s="1"/>
  <c r="AA199" i="1" s="1"/>
  <c r="AB183" i="1"/>
  <c r="AB171" i="1"/>
  <c r="AF171" i="1" s="1"/>
  <c r="AA171" i="1" s="1"/>
  <c r="AB155" i="1"/>
  <c r="AF155" i="1" s="1"/>
  <c r="AA155" i="1" s="1"/>
  <c r="AB147" i="1"/>
  <c r="AF147" i="1" s="1"/>
  <c r="AA147" i="1" s="1"/>
  <c r="AB131" i="1"/>
  <c r="AF131" i="1" s="1"/>
  <c r="AA131" i="1" s="1"/>
  <c r="AB111" i="1"/>
  <c r="AF111" i="1" s="1"/>
  <c r="AA111" i="1" s="1"/>
  <c r="AB95" i="1"/>
  <c r="AF95" i="1" s="1"/>
  <c r="AA95" i="1" s="1"/>
  <c r="AB79" i="1"/>
  <c r="AF79" i="1" s="1"/>
  <c r="AC79" i="1"/>
  <c r="AG79" i="1" s="1"/>
  <c r="AB63" i="1"/>
  <c r="AC63" i="1"/>
  <c r="AG63" i="1" s="1"/>
  <c r="AB61" i="1"/>
  <c r="AF61" i="1" s="1"/>
  <c r="AA61" i="1" s="1"/>
  <c r="AB45" i="1"/>
  <c r="AF45" i="1" s="1"/>
  <c r="AA45" i="1" s="1"/>
  <c r="AB27" i="1"/>
  <c r="AF27" i="1" s="1"/>
  <c r="AA27" i="1" s="1"/>
  <c r="AB11" i="1"/>
  <c r="AF11" i="1" s="1"/>
  <c r="AA11" i="1" s="1"/>
  <c r="AB232" i="1"/>
  <c r="AF232" i="1" s="1"/>
  <c r="AA232" i="1" s="1"/>
  <c r="AB216" i="1"/>
  <c r="AF216" i="1" s="1"/>
  <c r="AA216" i="1" s="1"/>
  <c r="AB198" i="1"/>
  <c r="AF198" i="1" s="1"/>
  <c r="AA198" i="1" s="1"/>
  <c r="AB170" i="1"/>
  <c r="AF170" i="1" s="1"/>
  <c r="AB154" i="1"/>
  <c r="AF154" i="1" s="1"/>
  <c r="AB146" i="1"/>
  <c r="AF146" i="1" s="1"/>
  <c r="AA146" i="1" s="1"/>
  <c r="AB130" i="1"/>
  <c r="AF130" i="1" s="1"/>
  <c r="AA130" i="1" s="1"/>
  <c r="AB110" i="1"/>
  <c r="AF110" i="1" s="1"/>
  <c r="AA110" i="1" s="1"/>
  <c r="AB94" i="1"/>
  <c r="AF94" i="1" s="1"/>
  <c r="AB78" i="1"/>
  <c r="AF78" i="1" s="1"/>
  <c r="AC78" i="1"/>
  <c r="AG78" i="1" s="1"/>
  <c r="AB60" i="1"/>
  <c r="AF60" i="1" s="1"/>
  <c r="AB44" i="1"/>
  <c r="AF44" i="1" s="1"/>
  <c r="AB26" i="1"/>
  <c r="AF26" i="1" s="1"/>
  <c r="AA26" i="1" s="1"/>
  <c r="AB10" i="1"/>
  <c r="AF10" i="1" s="1"/>
  <c r="AB231" i="1"/>
  <c r="AF231" i="1" s="1"/>
  <c r="AB215" i="1"/>
  <c r="AF215" i="1" s="1"/>
  <c r="AA215" i="1" s="1"/>
  <c r="AB197" i="1"/>
  <c r="AF197" i="1" s="1"/>
  <c r="AA197" i="1" s="1"/>
  <c r="AB169" i="1"/>
  <c r="AF169" i="1" s="1"/>
  <c r="AA169" i="1" s="1"/>
  <c r="AB153" i="1"/>
  <c r="AB145" i="1"/>
  <c r="AF145" i="1" s="1"/>
  <c r="AA145" i="1" s="1"/>
  <c r="AB129" i="1"/>
  <c r="AF129" i="1" s="1"/>
  <c r="AB109" i="1"/>
  <c r="AF109" i="1" s="1"/>
  <c r="AA109" i="1" s="1"/>
  <c r="AB93" i="1"/>
  <c r="AB77" i="1"/>
  <c r="AF77" i="1" s="1"/>
  <c r="AC77" i="1"/>
  <c r="AG77" i="1" s="1"/>
  <c r="AB59" i="1"/>
  <c r="AF59" i="1" s="1"/>
  <c r="AB43" i="1"/>
  <c r="AF43" i="1" s="1"/>
  <c r="AA43" i="1" s="1"/>
  <c r="AB25" i="1"/>
  <c r="AF25" i="1" s="1"/>
  <c r="AA25" i="1" s="1"/>
  <c r="AB9" i="1"/>
  <c r="AF9" i="1" s="1"/>
  <c r="AB230" i="1"/>
  <c r="AF230" i="1" s="1"/>
  <c r="AA230" i="1" s="1"/>
  <c r="AB214" i="1"/>
  <c r="AF214" i="1" s="1"/>
  <c r="AB212" i="1"/>
  <c r="AF212" i="1" s="1"/>
  <c r="AA212" i="1" s="1"/>
  <c r="AB196" i="1"/>
  <c r="AF196" i="1" s="1"/>
  <c r="AB168" i="1"/>
  <c r="AF168" i="1" s="1"/>
  <c r="AA168" i="1" s="1"/>
  <c r="AB144" i="1"/>
  <c r="AF144" i="1" s="1"/>
  <c r="AA144" i="1" s="1"/>
  <c r="AB128" i="1"/>
  <c r="AF128" i="1" s="1"/>
  <c r="AA128" i="1" s="1"/>
  <c r="AB108" i="1"/>
  <c r="AF108" i="1" s="1"/>
  <c r="AA108" i="1" s="1"/>
  <c r="AB92" i="1"/>
  <c r="AF92" i="1" s="1"/>
  <c r="AC92" i="1"/>
  <c r="AG92" i="1" s="1"/>
  <c r="AB76" i="1"/>
  <c r="AF76" i="1" s="1"/>
  <c r="AC76" i="1"/>
  <c r="AG76" i="1" s="1"/>
  <c r="AA76" i="1" s="1"/>
  <c r="AB58" i="1"/>
  <c r="AF58" i="1" s="1"/>
  <c r="AA58" i="1" s="1"/>
  <c r="AB42" i="1"/>
  <c r="AF42" i="1" s="1"/>
  <c r="AA42" i="1" s="1"/>
  <c r="AB24" i="1"/>
  <c r="AF24" i="1" s="1"/>
  <c r="AA24" i="1" s="1"/>
  <c r="AB8" i="1"/>
  <c r="AF8" i="1" s="1"/>
  <c r="AA8" i="1" s="1"/>
  <c r="AB229" i="1"/>
  <c r="AF229" i="1" s="1"/>
  <c r="AA229" i="1" s="1"/>
  <c r="AB213" i="1"/>
  <c r="AB211" i="1"/>
  <c r="AF211" i="1" s="1"/>
  <c r="AA211" i="1" s="1"/>
  <c r="AB195" i="1"/>
  <c r="AF195" i="1" s="1"/>
  <c r="AA195" i="1" s="1"/>
  <c r="AB167" i="1"/>
  <c r="AF167" i="1" s="1"/>
  <c r="AA167" i="1" s="1"/>
  <c r="AB143" i="1"/>
  <c r="AF143" i="1" s="1"/>
  <c r="AB127" i="1"/>
  <c r="AF127" i="1" s="1"/>
  <c r="AA127" i="1" s="1"/>
  <c r="AB107" i="1"/>
  <c r="AF107" i="1" s="1"/>
  <c r="AA107" i="1" s="1"/>
  <c r="AB91" i="1"/>
  <c r="AF91" i="1" s="1"/>
  <c r="AC91" i="1"/>
  <c r="AG91" i="1" s="1"/>
  <c r="AB75" i="1"/>
  <c r="AF75" i="1" s="1"/>
  <c r="AC75" i="1"/>
  <c r="AG75" i="1" s="1"/>
  <c r="AB57" i="1"/>
  <c r="AF57" i="1" s="1"/>
  <c r="AA57" i="1" s="1"/>
  <c r="AB41" i="1"/>
  <c r="AF41" i="1" s="1"/>
  <c r="AA41" i="1" s="1"/>
  <c r="AB23" i="1"/>
  <c r="AF23" i="1" s="1"/>
  <c r="AB7" i="1"/>
  <c r="AF7" i="1" s="1"/>
  <c r="AA7" i="1" s="1"/>
  <c r="AB228" i="1"/>
  <c r="AF228" i="1" s="1"/>
  <c r="AA228" i="1" s="1"/>
  <c r="AB210" i="1"/>
  <c r="AF210" i="1" s="1"/>
  <c r="AB194" i="1"/>
  <c r="AF194" i="1" s="1"/>
  <c r="AB182" i="1"/>
  <c r="AF182" i="1" s="1"/>
  <c r="AA182" i="1" s="1"/>
  <c r="AB166" i="1"/>
  <c r="AF166" i="1" s="1"/>
  <c r="AB142" i="1"/>
  <c r="AF142" i="1" s="1"/>
  <c r="AA142" i="1" s="1"/>
  <c r="AB126" i="1"/>
  <c r="AF126" i="1" s="1"/>
  <c r="AA126" i="1" s="1"/>
  <c r="AB122" i="1"/>
  <c r="AF122" i="1" s="1"/>
  <c r="AA122" i="1" s="1"/>
  <c r="AB106" i="1"/>
  <c r="AF106" i="1" s="1"/>
  <c r="AB90" i="1"/>
  <c r="AF90" i="1" s="1"/>
  <c r="AC90" i="1"/>
  <c r="AG90" i="1" s="1"/>
  <c r="AA90" i="1" s="1"/>
  <c r="AB74" i="1"/>
  <c r="AF74" i="1" s="1"/>
  <c r="AC74" i="1"/>
  <c r="AG74" i="1" s="1"/>
  <c r="AB56" i="1"/>
  <c r="AF56" i="1" s="1"/>
  <c r="AA56" i="1" s="1"/>
  <c r="AB40" i="1"/>
  <c r="AF40" i="1" s="1"/>
  <c r="AA40" i="1" s="1"/>
  <c r="AB22" i="1"/>
  <c r="AF22" i="1" s="1"/>
  <c r="AB6" i="1"/>
  <c r="AF6" i="1" s="1"/>
  <c r="AA6" i="1" s="1"/>
  <c r="AD83" i="1"/>
  <c r="AD90" i="1"/>
  <c r="AD76" i="1"/>
  <c r="AD69" i="1"/>
  <c r="AD82" i="1"/>
  <c r="AD66" i="1"/>
  <c r="AD89" i="1"/>
  <c r="AD73" i="1"/>
  <c r="AD81" i="1"/>
  <c r="AD65" i="1"/>
  <c r="AD80" i="1"/>
  <c r="AD64" i="1"/>
  <c r="AD79" i="1"/>
  <c r="AD63" i="1"/>
  <c r="AD78" i="1"/>
  <c r="AD77" i="1"/>
  <c r="AD92" i="1"/>
  <c r="AD91" i="1"/>
  <c r="AD75" i="1"/>
  <c r="AD74" i="1"/>
  <c r="AD88" i="1"/>
  <c r="AD72" i="1"/>
  <c r="AD87" i="1"/>
  <c r="AD71" i="1"/>
  <c r="AD86" i="1"/>
  <c r="AD70" i="1"/>
  <c r="AD85" i="1"/>
  <c r="AD84" i="1"/>
  <c r="AD68" i="1"/>
  <c r="AD67" i="1"/>
  <c r="AE64" i="1"/>
  <c r="AE67" i="1"/>
  <c r="AE63" i="1"/>
  <c r="AE210" i="1"/>
  <c r="AE182" i="1"/>
  <c r="AE126" i="1"/>
  <c r="AE122" i="1"/>
  <c r="AE106" i="1"/>
  <c r="AE90" i="1"/>
  <c r="AE74" i="1"/>
  <c r="AE211" i="1"/>
  <c r="AE209" i="1"/>
  <c r="AE193" i="1"/>
  <c r="AE181" i="1"/>
  <c r="AE165" i="1"/>
  <c r="AE141" i="1"/>
  <c r="AE125" i="1"/>
  <c r="AE121" i="1"/>
  <c r="AE105" i="1"/>
  <c r="AE89" i="1"/>
  <c r="AE73" i="1"/>
  <c r="AE166" i="1"/>
  <c r="AE208" i="1"/>
  <c r="AE192" i="1"/>
  <c r="AE180" i="1"/>
  <c r="AE164" i="1"/>
  <c r="AE143" i="1"/>
  <c r="AE7" i="1"/>
  <c r="AE207" i="1"/>
  <c r="AE191" i="1"/>
  <c r="AE179" i="1"/>
  <c r="AE139" i="1"/>
  <c r="AE123" i="1"/>
  <c r="AE119" i="1"/>
  <c r="AE103" i="1"/>
  <c r="AE87" i="1"/>
  <c r="AE71" i="1"/>
  <c r="AE107" i="1"/>
  <c r="AE194" i="1"/>
  <c r="AE206" i="1"/>
  <c r="AE190" i="1"/>
  <c r="AE178" i="1"/>
  <c r="AE205" i="1"/>
  <c r="AE189" i="1"/>
  <c r="AE177" i="1"/>
  <c r="AE161" i="1"/>
  <c r="AE137" i="1"/>
  <c r="AE117" i="1"/>
  <c r="AE101" i="1"/>
  <c r="AE51" i="1"/>
  <c r="AE35" i="1"/>
  <c r="AE17" i="1"/>
  <c r="AE204" i="1"/>
  <c r="AE188" i="1"/>
  <c r="AE176" i="1"/>
  <c r="AE160" i="1"/>
  <c r="AE152" i="1"/>
  <c r="AE136" i="1"/>
  <c r="AE116" i="1"/>
  <c r="AE100" i="1"/>
  <c r="AE84" i="1"/>
  <c r="AE68" i="1"/>
  <c r="AE203" i="1"/>
  <c r="AE187" i="1"/>
  <c r="AE175" i="1"/>
  <c r="AE159" i="1"/>
  <c r="AE151" i="1"/>
  <c r="AE135" i="1"/>
  <c r="AE186" i="1"/>
  <c r="AE174" i="1"/>
  <c r="AE158" i="1"/>
  <c r="AE127" i="1"/>
  <c r="AE23" i="1"/>
  <c r="AE201" i="1"/>
  <c r="AE185" i="1"/>
  <c r="AE173" i="1"/>
  <c r="AE157" i="1"/>
  <c r="AE149" i="1"/>
  <c r="AE133" i="1"/>
  <c r="AE113" i="1"/>
  <c r="AE97" i="1"/>
  <c r="AE81" i="1"/>
  <c r="AE65" i="1"/>
  <c r="AE57" i="1"/>
  <c r="AE200" i="1"/>
  <c r="AE184" i="1"/>
  <c r="AE172" i="1"/>
  <c r="AE156" i="1"/>
  <c r="AE148" i="1"/>
  <c r="AE132" i="1"/>
  <c r="AE112" i="1"/>
  <c r="AE96" i="1"/>
  <c r="AE80" i="1"/>
  <c r="AE199" i="1"/>
  <c r="AE183" i="1"/>
  <c r="AE195" i="1"/>
  <c r="AE198" i="1"/>
  <c r="AE170" i="1"/>
  <c r="AE154" i="1"/>
  <c r="AE146" i="1"/>
  <c r="AE130" i="1"/>
  <c r="AE110" i="1"/>
  <c r="AE78" i="1"/>
  <c r="AE60" i="1"/>
  <c r="AE44" i="1"/>
  <c r="AE26" i="1"/>
  <c r="AE10" i="1"/>
  <c r="AE167" i="1"/>
  <c r="AE197" i="1"/>
  <c r="AE169" i="1"/>
  <c r="AE153" i="1"/>
  <c r="AE41" i="1"/>
  <c r="AE212" i="1"/>
  <c r="AE196" i="1"/>
  <c r="AE168" i="1"/>
  <c r="AE144" i="1"/>
  <c r="AE128" i="1"/>
  <c r="AE108" i="1"/>
  <c r="AE58" i="1"/>
  <c r="AE42" i="1"/>
  <c r="AE24" i="1"/>
  <c r="AE8" i="1"/>
  <c r="AE145" i="1"/>
  <c r="AE129" i="1"/>
  <c r="AE109" i="1"/>
  <c r="AE93" i="1"/>
  <c r="AE59" i="1"/>
  <c r="AE43" i="1"/>
  <c r="AE25" i="1"/>
  <c r="AE9" i="1"/>
  <c r="AE40" i="1"/>
  <c r="AE22" i="1"/>
  <c r="AE6" i="1"/>
  <c r="AE55" i="1"/>
  <c r="AE39" i="1"/>
  <c r="AE21" i="1"/>
  <c r="AE5" i="1"/>
  <c r="AE124" i="1"/>
  <c r="AE120" i="1"/>
  <c r="AE54" i="1"/>
  <c r="AE38" i="1"/>
  <c r="AE4" i="1"/>
  <c r="AE138" i="1"/>
  <c r="AE102" i="1"/>
  <c r="AE50" i="1"/>
  <c r="AE16" i="1"/>
  <c r="AE99" i="1"/>
  <c r="AE83" i="1"/>
  <c r="AE49" i="1"/>
  <c r="AE31" i="1"/>
  <c r="AE15" i="1"/>
  <c r="AE82" i="1"/>
  <c r="AE48" i="1"/>
  <c r="AE30" i="1"/>
  <c r="AE14" i="1"/>
  <c r="AE47" i="1"/>
  <c r="AE29" i="1"/>
  <c r="AE13" i="1"/>
  <c r="AE62" i="1"/>
  <c r="AE46" i="1"/>
  <c r="AE28" i="1"/>
  <c r="AE12" i="1"/>
  <c r="AE171" i="1"/>
  <c r="AE147" i="1"/>
  <c r="AE79" i="1"/>
  <c r="AE61" i="1"/>
  <c r="AE45" i="1"/>
  <c r="AE27" i="1"/>
  <c r="AE77" i="1"/>
  <c r="AE92" i="1"/>
  <c r="AE76" i="1"/>
  <c r="AE91" i="1"/>
  <c r="AE75" i="1"/>
  <c r="AE88" i="1"/>
  <c r="AE72" i="1"/>
  <c r="AE86" i="1"/>
  <c r="AE70" i="1"/>
  <c r="AE85" i="1"/>
  <c r="AE69" i="1"/>
  <c r="AA84" i="1" l="1"/>
  <c r="AA71" i="1"/>
  <c r="AA91" i="1"/>
  <c r="AA67" i="1"/>
  <c r="AA89" i="1"/>
  <c r="AA75" i="1"/>
  <c r="AA73" i="1"/>
  <c r="AA77" i="1"/>
  <c r="AA81" i="1"/>
  <c r="AA74" i="1"/>
  <c r="AA68" i="1"/>
  <c r="AA87" i="1"/>
  <c r="AA66" i="1"/>
  <c r="AA80" i="1"/>
  <c r="AA86" i="1"/>
  <c r="AA88" i="1"/>
  <c r="AA92" i="1"/>
  <c r="AA78" i="1"/>
  <c r="AA79" i="1"/>
  <c r="AA65" i="1"/>
  <c r="F13" i="4" s="1"/>
  <c r="AA85" i="1"/>
  <c r="AJ9" i="4"/>
  <c r="AF213" i="1"/>
  <c r="AP6" i="4" s="1"/>
  <c r="AK6" i="4"/>
  <c r="AJ8" i="4"/>
  <c r="AF183" i="1"/>
  <c r="AP12" i="4" s="1"/>
  <c r="AK12" i="4"/>
  <c r="AF63" i="1"/>
  <c r="AK13" i="4"/>
  <c r="AK7" i="4"/>
  <c r="AF123" i="1"/>
  <c r="AP7" i="4" s="1"/>
  <c r="AF93" i="1"/>
  <c r="AP10" i="4" s="1"/>
  <c r="AK10" i="4"/>
  <c r="AF33" i="1"/>
  <c r="AP8" i="4" s="1"/>
  <c r="AK8" i="4"/>
  <c r="AP9" i="4"/>
  <c r="AK9" i="4"/>
  <c r="AF153" i="1"/>
  <c r="AP11" i="4" s="1"/>
  <c r="AK11" i="4"/>
  <c r="AJ7" i="4"/>
  <c r="AJ11" i="4"/>
  <c r="AJ13" i="4"/>
  <c r="AJ10" i="4"/>
  <c r="AJ12" i="4"/>
  <c r="G3" i="4"/>
  <c r="F7" i="4"/>
  <c r="F9" i="4"/>
  <c r="D8" i="4"/>
  <c r="D12" i="4"/>
  <c r="D10" i="4"/>
  <c r="E7" i="4"/>
  <c r="F12" i="4"/>
  <c r="E9" i="4"/>
  <c r="E11" i="4"/>
  <c r="D13" i="4"/>
  <c r="F11" i="4"/>
  <c r="E13" i="4"/>
  <c r="F6" i="4"/>
  <c r="F10" i="4"/>
  <c r="D7" i="4"/>
  <c r="E12" i="4"/>
  <c r="F8" i="4"/>
  <c r="D9" i="4"/>
  <c r="E10" i="4"/>
  <c r="E8" i="4"/>
  <c r="D11" i="4" l="1"/>
  <c r="G13" i="4"/>
  <c r="G9" i="4"/>
  <c r="G8" i="4"/>
  <c r="G12" i="4"/>
  <c r="G11" i="4"/>
  <c r="G7" i="4"/>
  <c r="G10" i="4"/>
  <c r="G6" i="4"/>
  <c r="H3" i="4"/>
  <c r="H7" i="4" l="1"/>
  <c r="H10" i="4"/>
  <c r="H9" i="4"/>
  <c r="H13" i="4"/>
  <c r="H12" i="4"/>
  <c r="H8" i="4"/>
  <c r="H6" i="4"/>
  <c r="H11" i="4"/>
  <c r="I3" i="4"/>
  <c r="T3" i="1"/>
  <c r="V3" i="1"/>
  <c r="T4" i="1"/>
  <c r="V4" i="1"/>
  <c r="T5" i="1"/>
  <c r="V5" i="1"/>
  <c r="T6" i="1"/>
  <c r="V6" i="1"/>
  <c r="T7" i="1"/>
  <c r="V7" i="1"/>
  <c r="T8" i="1"/>
  <c r="V8" i="1"/>
  <c r="T9" i="1"/>
  <c r="V9" i="1"/>
  <c r="T10" i="1"/>
  <c r="V10" i="1"/>
  <c r="T11" i="1"/>
  <c r="V11" i="1"/>
  <c r="T12" i="1"/>
  <c r="V12" i="1"/>
  <c r="T13" i="1"/>
  <c r="V13" i="1"/>
  <c r="T14" i="1"/>
  <c r="V14" i="1"/>
  <c r="T15" i="1"/>
  <c r="V15" i="1"/>
  <c r="T16" i="1"/>
  <c r="V16" i="1"/>
  <c r="T17" i="1"/>
  <c r="V17" i="1"/>
  <c r="T18" i="1"/>
  <c r="V18" i="1"/>
  <c r="T19" i="1"/>
  <c r="V19" i="1"/>
  <c r="T20" i="1"/>
  <c r="V20" i="1"/>
  <c r="T21" i="1"/>
  <c r="V21" i="1"/>
  <c r="T22" i="1"/>
  <c r="V22" i="1"/>
  <c r="T23" i="1"/>
  <c r="V23" i="1"/>
  <c r="T24" i="1"/>
  <c r="V24" i="1"/>
  <c r="T25" i="1"/>
  <c r="V25" i="1"/>
  <c r="T26" i="1"/>
  <c r="V26" i="1"/>
  <c r="T27" i="1"/>
  <c r="V27" i="1"/>
  <c r="T28" i="1"/>
  <c r="V28" i="1"/>
  <c r="T29" i="1"/>
  <c r="V29" i="1"/>
  <c r="T30" i="1"/>
  <c r="V30" i="1"/>
  <c r="T31" i="1"/>
  <c r="V31" i="1"/>
  <c r="T32" i="1"/>
  <c r="V32" i="1"/>
  <c r="T33" i="1"/>
  <c r="V33" i="1"/>
  <c r="T34" i="1"/>
  <c r="V34" i="1"/>
  <c r="T35" i="1"/>
  <c r="V35" i="1"/>
  <c r="T36" i="1"/>
  <c r="V36" i="1"/>
  <c r="T37" i="1"/>
  <c r="V37" i="1"/>
  <c r="T38" i="1"/>
  <c r="V38" i="1"/>
  <c r="T39" i="1"/>
  <c r="V39" i="1"/>
  <c r="T40" i="1"/>
  <c r="V40" i="1"/>
  <c r="T41" i="1"/>
  <c r="V41" i="1"/>
  <c r="T42" i="1"/>
  <c r="V42" i="1"/>
  <c r="T43" i="1"/>
  <c r="V43" i="1"/>
  <c r="T44" i="1"/>
  <c r="V44" i="1"/>
  <c r="T45" i="1"/>
  <c r="V45" i="1"/>
  <c r="T46" i="1"/>
  <c r="V46" i="1"/>
  <c r="T47" i="1"/>
  <c r="V47" i="1"/>
  <c r="T48" i="1"/>
  <c r="V48" i="1"/>
  <c r="T49" i="1"/>
  <c r="V49" i="1"/>
  <c r="T50" i="1"/>
  <c r="V50" i="1"/>
  <c r="T51" i="1"/>
  <c r="V51" i="1"/>
  <c r="T52" i="1"/>
  <c r="V52" i="1"/>
  <c r="T53" i="1"/>
  <c r="V53" i="1"/>
  <c r="T54" i="1"/>
  <c r="V54" i="1"/>
  <c r="T55" i="1"/>
  <c r="V55" i="1"/>
  <c r="T56" i="1"/>
  <c r="V56" i="1"/>
  <c r="T57" i="1"/>
  <c r="V57" i="1"/>
  <c r="T58" i="1"/>
  <c r="V58" i="1"/>
  <c r="T59" i="1"/>
  <c r="V59" i="1"/>
  <c r="T60" i="1"/>
  <c r="V60" i="1"/>
  <c r="T61" i="1"/>
  <c r="V61" i="1"/>
  <c r="T62" i="1"/>
  <c r="V62" i="1"/>
  <c r="T63" i="1"/>
  <c r="V63" i="1"/>
  <c r="T64" i="1"/>
  <c r="V64" i="1"/>
  <c r="T65" i="1"/>
  <c r="V65" i="1"/>
  <c r="T66" i="1"/>
  <c r="V66" i="1"/>
  <c r="T67" i="1"/>
  <c r="V67" i="1"/>
  <c r="T68" i="1"/>
  <c r="V68" i="1"/>
  <c r="T69" i="1"/>
  <c r="V69" i="1"/>
  <c r="T70" i="1"/>
  <c r="V70" i="1"/>
  <c r="T71" i="1"/>
  <c r="V71" i="1"/>
  <c r="T72" i="1"/>
  <c r="V72" i="1"/>
  <c r="T73" i="1"/>
  <c r="V73" i="1"/>
  <c r="T74" i="1"/>
  <c r="V74" i="1"/>
  <c r="T75" i="1"/>
  <c r="V75" i="1"/>
  <c r="T76" i="1"/>
  <c r="V76" i="1"/>
  <c r="T77" i="1"/>
  <c r="V77" i="1"/>
  <c r="T78" i="1"/>
  <c r="V78" i="1"/>
  <c r="T79" i="1"/>
  <c r="V79" i="1"/>
  <c r="T80" i="1"/>
  <c r="V80" i="1"/>
  <c r="T81" i="1"/>
  <c r="V81" i="1"/>
  <c r="T82" i="1"/>
  <c r="V82" i="1"/>
  <c r="T83" i="1"/>
  <c r="V83" i="1"/>
  <c r="T84" i="1"/>
  <c r="V84" i="1"/>
  <c r="T85" i="1"/>
  <c r="V85" i="1"/>
  <c r="T86" i="1"/>
  <c r="V86" i="1"/>
  <c r="T87" i="1"/>
  <c r="V87" i="1"/>
  <c r="T88" i="1"/>
  <c r="V88" i="1"/>
  <c r="T89" i="1"/>
  <c r="V89" i="1"/>
  <c r="T90" i="1"/>
  <c r="V90" i="1"/>
  <c r="T91" i="1"/>
  <c r="V91" i="1"/>
  <c r="T92" i="1"/>
  <c r="V92" i="1"/>
  <c r="T93" i="1"/>
  <c r="V93" i="1"/>
  <c r="T94" i="1"/>
  <c r="V94" i="1"/>
  <c r="T95" i="1"/>
  <c r="V95" i="1"/>
  <c r="T96" i="1"/>
  <c r="V96" i="1"/>
  <c r="T97" i="1"/>
  <c r="V97" i="1"/>
  <c r="T98" i="1"/>
  <c r="V98" i="1"/>
  <c r="T99" i="1"/>
  <c r="V99" i="1"/>
  <c r="T100" i="1"/>
  <c r="V100" i="1"/>
  <c r="T101" i="1"/>
  <c r="V101" i="1"/>
  <c r="T102" i="1"/>
  <c r="V102" i="1"/>
  <c r="T103" i="1"/>
  <c r="V103" i="1"/>
  <c r="T104" i="1"/>
  <c r="V104" i="1"/>
  <c r="T105" i="1"/>
  <c r="V105" i="1"/>
  <c r="T106" i="1"/>
  <c r="V106" i="1"/>
  <c r="T107" i="1"/>
  <c r="V107" i="1"/>
  <c r="T108" i="1"/>
  <c r="V108" i="1"/>
  <c r="T109" i="1"/>
  <c r="V109" i="1"/>
  <c r="T110" i="1"/>
  <c r="V110" i="1"/>
  <c r="T111" i="1"/>
  <c r="V111" i="1"/>
  <c r="T112" i="1"/>
  <c r="V112" i="1"/>
  <c r="T113" i="1"/>
  <c r="V113" i="1"/>
  <c r="T114" i="1"/>
  <c r="V114" i="1"/>
  <c r="T115" i="1"/>
  <c r="V115" i="1"/>
  <c r="T116" i="1"/>
  <c r="V116" i="1"/>
  <c r="T117" i="1"/>
  <c r="V117" i="1"/>
  <c r="T118" i="1"/>
  <c r="V118" i="1"/>
  <c r="T119" i="1"/>
  <c r="V119" i="1"/>
  <c r="T120" i="1"/>
  <c r="V120" i="1"/>
  <c r="T121" i="1"/>
  <c r="V121" i="1"/>
  <c r="T122" i="1"/>
  <c r="V122" i="1"/>
  <c r="T123" i="1"/>
  <c r="V123" i="1"/>
  <c r="T124" i="1"/>
  <c r="V124" i="1"/>
  <c r="T125" i="1"/>
  <c r="V125" i="1"/>
  <c r="T126" i="1"/>
  <c r="V126" i="1"/>
  <c r="T127" i="1"/>
  <c r="V127" i="1"/>
  <c r="T128" i="1"/>
  <c r="V128" i="1"/>
  <c r="T129" i="1"/>
  <c r="V129" i="1"/>
  <c r="T130" i="1"/>
  <c r="V130" i="1"/>
  <c r="T131" i="1"/>
  <c r="V131" i="1"/>
  <c r="T132" i="1"/>
  <c r="V132" i="1"/>
  <c r="T133" i="1"/>
  <c r="V133" i="1"/>
  <c r="T134" i="1"/>
  <c r="V134" i="1"/>
  <c r="T135" i="1"/>
  <c r="V135" i="1"/>
  <c r="T136" i="1"/>
  <c r="V136" i="1"/>
  <c r="T137" i="1"/>
  <c r="V137" i="1"/>
  <c r="T138" i="1"/>
  <c r="V138" i="1"/>
  <c r="T139" i="1"/>
  <c r="V139" i="1"/>
  <c r="T140" i="1"/>
  <c r="V140" i="1"/>
  <c r="T141" i="1"/>
  <c r="V141" i="1"/>
  <c r="T142" i="1"/>
  <c r="V142" i="1"/>
  <c r="T143" i="1"/>
  <c r="V143" i="1"/>
  <c r="T144" i="1"/>
  <c r="V144" i="1"/>
  <c r="T145" i="1"/>
  <c r="V145" i="1"/>
  <c r="T146" i="1"/>
  <c r="V146" i="1"/>
  <c r="T147" i="1"/>
  <c r="V147" i="1"/>
  <c r="T148" i="1"/>
  <c r="V148" i="1"/>
  <c r="T149" i="1"/>
  <c r="V149" i="1"/>
  <c r="T150" i="1"/>
  <c r="V150" i="1"/>
  <c r="T151" i="1"/>
  <c r="V151" i="1"/>
  <c r="T152" i="1"/>
  <c r="V152" i="1"/>
  <c r="T153" i="1"/>
  <c r="V153" i="1"/>
  <c r="T154" i="1"/>
  <c r="V154" i="1"/>
  <c r="T155" i="1"/>
  <c r="V155" i="1"/>
  <c r="T156" i="1"/>
  <c r="V156" i="1"/>
  <c r="T157" i="1"/>
  <c r="V157" i="1"/>
  <c r="T158" i="1"/>
  <c r="V158" i="1"/>
  <c r="T159" i="1"/>
  <c r="V159" i="1"/>
  <c r="T160" i="1"/>
  <c r="V160" i="1"/>
  <c r="T161" i="1"/>
  <c r="V161" i="1"/>
  <c r="T162" i="1"/>
  <c r="V162" i="1"/>
  <c r="T163" i="1"/>
  <c r="V163" i="1"/>
  <c r="T164" i="1"/>
  <c r="V164" i="1"/>
  <c r="T165" i="1"/>
  <c r="V165" i="1"/>
  <c r="T166" i="1"/>
  <c r="V166" i="1"/>
  <c r="T167" i="1"/>
  <c r="V167" i="1"/>
  <c r="T168" i="1"/>
  <c r="V168" i="1"/>
  <c r="T169" i="1"/>
  <c r="V169" i="1"/>
  <c r="T170" i="1"/>
  <c r="V170" i="1"/>
  <c r="T171" i="1"/>
  <c r="V171" i="1"/>
  <c r="T172" i="1"/>
  <c r="V172" i="1"/>
  <c r="T173" i="1"/>
  <c r="V173" i="1"/>
  <c r="T174" i="1"/>
  <c r="V174" i="1"/>
  <c r="T175" i="1"/>
  <c r="V175" i="1"/>
  <c r="T176" i="1"/>
  <c r="V176" i="1"/>
  <c r="T177" i="1"/>
  <c r="V177" i="1"/>
  <c r="T178" i="1"/>
  <c r="V178" i="1"/>
  <c r="T179" i="1"/>
  <c r="V179" i="1"/>
  <c r="T180" i="1"/>
  <c r="V180" i="1"/>
  <c r="T181" i="1"/>
  <c r="V181" i="1"/>
  <c r="T182" i="1"/>
  <c r="V182" i="1"/>
  <c r="T183" i="1"/>
  <c r="V183" i="1"/>
  <c r="T184" i="1"/>
  <c r="V184" i="1"/>
  <c r="T185" i="1"/>
  <c r="V185" i="1"/>
  <c r="T186" i="1"/>
  <c r="V186" i="1"/>
  <c r="T187" i="1"/>
  <c r="V187" i="1"/>
  <c r="T188" i="1"/>
  <c r="V188" i="1"/>
  <c r="T189" i="1"/>
  <c r="V189" i="1"/>
  <c r="T190" i="1"/>
  <c r="V190" i="1"/>
  <c r="T191" i="1"/>
  <c r="V191" i="1"/>
  <c r="T192" i="1"/>
  <c r="V192" i="1"/>
  <c r="T193" i="1"/>
  <c r="V193" i="1"/>
  <c r="T194" i="1"/>
  <c r="V194" i="1"/>
  <c r="T195" i="1"/>
  <c r="V195" i="1"/>
  <c r="T196" i="1"/>
  <c r="V196" i="1"/>
  <c r="T197" i="1"/>
  <c r="V197" i="1"/>
  <c r="T198" i="1"/>
  <c r="V198" i="1"/>
  <c r="T199" i="1"/>
  <c r="V199" i="1"/>
  <c r="T200" i="1"/>
  <c r="V200" i="1"/>
  <c r="T201" i="1"/>
  <c r="V201" i="1"/>
  <c r="T202" i="1"/>
  <c r="V202" i="1"/>
  <c r="T203" i="1"/>
  <c r="V203" i="1"/>
  <c r="T204" i="1"/>
  <c r="V204" i="1"/>
  <c r="T205" i="1"/>
  <c r="V205" i="1"/>
  <c r="T206" i="1"/>
  <c r="V206" i="1"/>
  <c r="T207" i="1"/>
  <c r="V207" i="1"/>
  <c r="T208" i="1"/>
  <c r="V208" i="1"/>
  <c r="T209" i="1"/>
  <c r="V209" i="1"/>
  <c r="T210" i="1"/>
  <c r="V210" i="1"/>
  <c r="T211" i="1"/>
  <c r="V211" i="1"/>
  <c r="T212" i="1"/>
  <c r="V212" i="1"/>
  <c r="T213" i="1"/>
  <c r="V213" i="1"/>
  <c r="T214" i="1"/>
  <c r="V214" i="1"/>
  <c r="T215" i="1"/>
  <c r="V215" i="1"/>
  <c r="T216" i="1"/>
  <c r="V216" i="1"/>
  <c r="T217" i="1"/>
  <c r="V217" i="1"/>
  <c r="T218" i="1"/>
  <c r="V218" i="1"/>
  <c r="T219" i="1"/>
  <c r="V219" i="1"/>
  <c r="T220" i="1"/>
  <c r="V220" i="1"/>
  <c r="T221" i="1"/>
  <c r="V221" i="1"/>
  <c r="T222" i="1"/>
  <c r="V222" i="1"/>
  <c r="T223" i="1"/>
  <c r="V223" i="1"/>
  <c r="T224" i="1"/>
  <c r="V224" i="1"/>
  <c r="T225" i="1"/>
  <c r="V225" i="1"/>
  <c r="T226" i="1"/>
  <c r="V226" i="1"/>
  <c r="T227" i="1"/>
  <c r="V227" i="1"/>
  <c r="T228" i="1"/>
  <c r="V228" i="1"/>
  <c r="T229" i="1"/>
  <c r="V229" i="1"/>
  <c r="T230" i="1"/>
  <c r="V230" i="1"/>
  <c r="T231" i="1"/>
  <c r="V231" i="1"/>
  <c r="T232" i="1"/>
  <c r="V232" i="1"/>
  <c r="T233" i="1"/>
  <c r="V233" i="1"/>
  <c r="T234" i="1"/>
  <c r="V234" i="1"/>
  <c r="T235" i="1"/>
  <c r="V235" i="1"/>
  <c r="T236" i="1"/>
  <c r="V236" i="1"/>
  <c r="T237" i="1"/>
  <c r="V237" i="1"/>
  <c r="T238" i="1"/>
  <c r="V238" i="1"/>
  <c r="T239" i="1"/>
  <c r="V239" i="1"/>
  <c r="T240" i="1"/>
  <c r="V240" i="1"/>
  <c r="T241" i="1"/>
  <c r="V241" i="1"/>
  <c r="T242" i="1"/>
  <c r="V24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I8" i="4" l="1"/>
  <c r="I6" i="4"/>
  <c r="I11" i="4"/>
  <c r="I10" i="4"/>
  <c r="I7" i="4"/>
  <c r="I13" i="4"/>
  <c r="I9" i="4"/>
  <c r="I12" i="4"/>
  <c r="J3" i="4"/>
  <c r="AG70" i="1"/>
  <c r="AA70" i="1" s="1"/>
  <c r="AG82" i="1"/>
  <c r="AA82" i="1" s="1"/>
  <c r="AP13" i="4" l="1"/>
  <c r="J9" i="4"/>
  <c r="J12" i="4"/>
  <c r="J11" i="4"/>
  <c r="J6" i="4"/>
  <c r="J10" i="4"/>
  <c r="J8" i="4"/>
  <c r="J7" i="4"/>
  <c r="J13" i="4"/>
  <c r="K3" i="4"/>
  <c r="K10" i="4" l="1"/>
  <c r="K13" i="4"/>
  <c r="K12" i="4"/>
  <c r="K6" i="4"/>
  <c r="K8" i="4"/>
  <c r="K11" i="4"/>
  <c r="K7" i="4"/>
  <c r="K9" i="4"/>
  <c r="L3" i="4"/>
  <c r="L11" i="4" l="1"/>
  <c r="L13" i="4"/>
  <c r="L8" i="4"/>
  <c r="L12" i="4"/>
  <c r="L10" i="4"/>
  <c r="L6" i="4"/>
  <c r="L7" i="4"/>
  <c r="L9" i="4"/>
  <c r="M3" i="4"/>
  <c r="M12" i="4" l="1"/>
  <c r="M6" i="4"/>
  <c r="M8" i="4"/>
  <c r="M7" i="4"/>
  <c r="M10" i="4"/>
  <c r="M11" i="4"/>
  <c r="M13" i="4"/>
  <c r="M9" i="4"/>
  <c r="N3" i="4"/>
  <c r="N13" i="4" l="1"/>
  <c r="N6" i="4"/>
  <c r="N10" i="4"/>
  <c r="N8" i="4"/>
  <c r="N7" i="4"/>
  <c r="N12" i="4"/>
  <c r="N11" i="4"/>
  <c r="N9" i="4"/>
  <c r="O3" i="4"/>
  <c r="O10" i="4" l="1"/>
  <c r="O9" i="4"/>
  <c r="O6" i="4"/>
  <c r="O12" i="4"/>
  <c r="O8" i="4"/>
  <c r="O7" i="4"/>
  <c r="O11" i="4"/>
  <c r="O13" i="4"/>
  <c r="P3" i="4"/>
  <c r="P6" i="4" l="1"/>
  <c r="P12" i="4"/>
  <c r="P10" i="4"/>
  <c r="P9" i="4"/>
  <c r="P7" i="4"/>
  <c r="P11" i="4"/>
  <c r="P8" i="4"/>
  <c r="P13" i="4"/>
  <c r="Q3" i="4"/>
  <c r="Q7" i="4" l="1"/>
  <c r="Q12" i="4"/>
  <c r="Q11" i="4"/>
  <c r="Q6" i="4"/>
  <c r="Q10" i="4"/>
  <c r="Q13" i="4"/>
  <c r="Q9" i="4"/>
  <c r="Q8" i="4"/>
  <c r="R3" i="4"/>
  <c r="R8" i="4" l="1"/>
  <c r="R12" i="4"/>
  <c r="R11" i="4"/>
  <c r="R9" i="4"/>
  <c r="R7" i="4"/>
  <c r="R6" i="4"/>
  <c r="R10" i="4"/>
  <c r="R13" i="4"/>
  <c r="S3" i="4"/>
  <c r="S9" i="4" l="1"/>
  <c r="S6" i="4"/>
  <c r="S13" i="4"/>
  <c r="S7" i="4"/>
  <c r="S12" i="4"/>
  <c r="S8" i="4"/>
  <c r="S11" i="4"/>
  <c r="S10" i="4"/>
  <c r="T3" i="4"/>
  <c r="T10" i="4" l="1"/>
  <c r="T7" i="4"/>
  <c r="T6" i="4"/>
  <c r="T13" i="4"/>
  <c r="T11" i="4"/>
  <c r="T9" i="4"/>
  <c r="T8" i="4"/>
  <c r="T12" i="4"/>
  <c r="U3" i="4"/>
  <c r="U11" i="4" l="1"/>
  <c r="U7" i="4"/>
  <c r="U6" i="4"/>
  <c r="U9" i="4"/>
  <c r="U8" i="4"/>
  <c r="U10" i="4"/>
  <c r="U13" i="4"/>
  <c r="U12" i="4"/>
  <c r="V3" i="4"/>
  <c r="V12" i="4" l="1"/>
  <c r="V8" i="4"/>
  <c r="V7" i="4"/>
  <c r="V9" i="4"/>
  <c r="V13" i="4"/>
  <c r="V11" i="4"/>
  <c r="V6" i="4"/>
  <c r="V10" i="4"/>
  <c r="W3" i="4"/>
  <c r="W13" i="4" l="1"/>
  <c r="W9" i="4"/>
  <c r="W8" i="4"/>
  <c r="W7" i="4"/>
  <c r="W11" i="4"/>
  <c r="W12" i="4"/>
  <c r="W6" i="4"/>
  <c r="W10" i="4"/>
  <c r="X3" i="4"/>
  <c r="X7" i="4" l="1"/>
  <c r="X10" i="4"/>
  <c r="X9" i="4"/>
  <c r="X11" i="4"/>
  <c r="X13" i="4"/>
  <c r="X12" i="4"/>
  <c r="X8" i="4"/>
  <c r="X6" i="4"/>
  <c r="Y3" i="4"/>
  <c r="Y8" i="4" l="1"/>
  <c r="Y6" i="4"/>
  <c r="Y11" i="4"/>
  <c r="Y10" i="4"/>
  <c r="Y9" i="4"/>
  <c r="Y7" i="4"/>
  <c r="Y13" i="4"/>
  <c r="Y12" i="4"/>
  <c r="Z3" i="4"/>
  <c r="Z9" i="4" l="1"/>
  <c r="Z12" i="4"/>
  <c r="Z11" i="4"/>
  <c r="Z13" i="4"/>
  <c r="Z8" i="4"/>
  <c r="Z7" i="4"/>
  <c r="Z10" i="4"/>
  <c r="Z6" i="4"/>
  <c r="AA3" i="4"/>
  <c r="AA10" i="4" l="1"/>
  <c r="AA13" i="4"/>
  <c r="AA12" i="4"/>
  <c r="AA11" i="4"/>
  <c r="AA9" i="4"/>
  <c r="AA8" i="4"/>
  <c r="AA7" i="4"/>
  <c r="AA6" i="4"/>
  <c r="AB3" i="4"/>
  <c r="AB11" i="4" l="1"/>
  <c r="AB13" i="4"/>
  <c r="AB10" i="4"/>
  <c r="AB9" i="4"/>
  <c r="AB8" i="4"/>
  <c r="AB12" i="4"/>
  <c r="AB7" i="4"/>
  <c r="AB6" i="4"/>
  <c r="AC3" i="4"/>
  <c r="AC12" i="4" l="1"/>
  <c r="AC6" i="4"/>
  <c r="AC13" i="4"/>
  <c r="AC11" i="4"/>
  <c r="AC10" i="4"/>
  <c r="AC8" i="4"/>
  <c r="AC9" i="4"/>
  <c r="AC7" i="4"/>
  <c r="AD3" i="4"/>
  <c r="AD13" i="4" l="1"/>
  <c r="AD6" i="4"/>
  <c r="AD12" i="4"/>
  <c r="AD8" i="4"/>
  <c r="AD9" i="4"/>
  <c r="AD11" i="4"/>
  <c r="AD7" i="4"/>
  <c r="AD10" i="4"/>
  <c r="AE3" i="4"/>
  <c r="AE13" i="4" l="1"/>
  <c r="AE12" i="4"/>
  <c r="AE10" i="4"/>
  <c r="AE8" i="4"/>
  <c r="AE9" i="4"/>
  <c r="AE11" i="4"/>
  <c r="AE6" i="4"/>
  <c r="AE7" i="4"/>
  <c r="AF3" i="4"/>
  <c r="AF6" i="4" l="1"/>
  <c r="AF8" i="4"/>
  <c r="AF10" i="4"/>
  <c r="AF13" i="4"/>
  <c r="AF9" i="4"/>
  <c r="AF12" i="4"/>
  <c r="AF11" i="4"/>
  <c r="AF7" i="4"/>
  <c r="AG3" i="4"/>
  <c r="AG7" i="4" l="1"/>
  <c r="AG8" i="4"/>
  <c r="AG6" i="4"/>
  <c r="AG12" i="4"/>
  <c r="AG10" i="4"/>
  <c r="AG9" i="4"/>
  <c r="AG13" i="4"/>
  <c r="AG11" i="4"/>
  <c r="AH3" i="4"/>
  <c r="AH8" i="4" l="1"/>
  <c r="AH10" i="4"/>
  <c r="AH7" i="4"/>
  <c r="AH6" i="4"/>
  <c r="AI6" i="4" s="1" a="1"/>
  <c r="AI6" i="4" s="1"/>
  <c r="AH12" i="4"/>
  <c r="AH13" i="4"/>
  <c r="AH9" i="4"/>
  <c r="AH11" i="4"/>
  <c r="AN11" i="4" l="1" a="1"/>
  <c r="AN11" i="4" s="1"/>
  <c r="AI11" i="4" a="1"/>
  <c r="AI11" i="4" s="1"/>
  <c r="AN9" i="4" a="1"/>
  <c r="AN9" i="4" s="1"/>
  <c r="AI9" i="4" a="1"/>
  <c r="AI9" i="4" s="1"/>
  <c r="AI13" i="4" a="1"/>
  <c r="AI13" i="4" s="1"/>
  <c r="AN13" i="4" a="1"/>
  <c r="AN13" i="4" s="1"/>
  <c r="AN12" i="4" a="1"/>
  <c r="AN12" i="4" s="1"/>
  <c r="AI12" i="4" a="1"/>
  <c r="AI12" i="4" s="1"/>
  <c r="AN10" i="4" a="1"/>
  <c r="AN10" i="4" s="1"/>
  <c r="AI10" i="4" a="1"/>
  <c r="AI10" i="4" s="1"/>
  <c r="AN7" i="4" a="1"/>
  <c r="AN7" i="4" s="1"/>
  <c r="AI7" i="4" a="1"/>
  <c r="AI7" i="4" s="1"/>
  <c r="AN8" i="4" a="1"/>
  <c r="AN8" i="4" s="1"/>
  <c r="AI8" i="4" a="1"/>
  <c r="AI8" i="4" s="1"/>
  <c r="AN6" i="4" a="1"/>
  <c r="AN6" i="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<sst xmlns="http://schemas.openxmlformats.org/spreadsheetml/2006/main" count="4530" uniqueCount="521">
  <si>
    <t>Chi Tiết Chấm Công</t>
  </si>
  <si>
    <t>ID Người</t>
  </si>
  <si>
    <t>Tên</t>
  </si>
  <si>
    <t>Bộ phận</t>
  </si>
  <si>
    <t>Ngày</t>
  </si>
  <si>
    <t>Ca làm việc</t>
  </si>
  <si>
    <t>Thời gian biểu</t>
  </si>
  <si>
    <t>Tình trạng chuyên cần</t>
  </si>
  <si>
    <t>Vào</t>
  </si>
  <si>
    <t>Ra</t>
  </si>
  <si>
    <t>Muộn</t>
  </si>
  <si>
    <t>Đã tham dự</t>
  </si>
  <si>
    <t>Vắng mặt</t>
  </si>
  <si>
    <t>Đã làm việc</t>
  </si>
  <si>
    <t>Thoát</t>
  </si>
  <si>
    <t>Tăng ca 1</t>
  </si>
  <si>
    <t>Tăng ca 2</t>
  </si>
  <si>
    <t>Tăng ca 3</t>
  </si>
  <si>
    <t>1</t>
  </si>
  <si>
    <t>Tổ Chức Mới</t>
  </si>
  <si>
    <t>2025-09-01</t>
  </si>
  <si>
    <t>HC</t>
  </si>
  <si>
    <t>HC(08:00:00-17:00:00)</t>
  </si>
  <si>
    <t>-</t>
  </si>
  <si>
    <t>0 phút</t>
  </si>
  <si>
    <t>540 phút</t>
  </si>
  <si>
    <t>2025-09-02</t>
  </si>
  <si>
    <t>2025-09-03</t>
  </si>
  <si>
    <t>bình thường</t>
  </si>
  <si>
    <t>681 phút</t>
  </si>
  <si>
    <t>120 phút</t>
  </si>
  <si>
    <t>2025-09-04</t>
  </si>
  <si>
    <t>2025-09-05</t>
  </si>
  <si>
    <t>2025-09-06</t>
  </si>
  <si>
    <t>590 phút</t>
  </si>
  <si>
    <t>2025-09-07</t>
  </si>
  <si>
    <t>2025-09-08</t>
  </si>
  <si>
    <t>2025-09-09</t>
  </si>
  <si>
    <t>2025-09-10</t>
  </si>
  <si>
    <t>2025-09-11</t>
  </si>
  <si>
    <t>2025-09-12</t>
  </si>
  <si>
    <t>2025-09-13</t>
  </si>
  <si>
    <t>2025-09-14</t>
  </si>
  <si>
    <t>2025-09-15</t>
  </si>
  <si>
    <t>2025-09-16</t>
  </si>
  <si>
    <t>2025-09-17</t>
  </si>
  <si>
    <t>2025-09-18</t>
  </si>
  <si>
    <t>83 phút</t>
  </si>
  <si>
    <t>2025-09-19</t>
  </si>
  <si>
    <t>07:22:43</t>
  </si>
  <si>
    <t>2025-09-20</t>
  </si>
  <si>
    <t>2025-09-21</t>
  </si>
  <si>
    <t>2025-09-22</t>
  </si>
  <si>
    <t>619 phút</t>
  </si>
  <si>
    <t>2025-09-23</t>
  </si>
  <si>
    <t>2025-09-24</t>
  </si>
  <si>
    <t>2025-09-25</t>
  </si>
  <si>
    <t>2025-09-26</t>
  </si>
  <si>
    <t>2025-09-27</t>
  </si>
  <si>
    <t>2025-09-28</t>
  </si>
  <si>
    <t>2025-09-29</t>
  </si>
  <si>
    <t>2025-09-30</t>
  </si>
  <si>
    <t>10</t>
  </si>
  <si>
    <t>11</t>
  </si>
  <si>
    <t>12</t>
  </si>
  <si>
    <t>6 phút</t>
  </si>
  <si>
    <t>13</t>
  </si>
  <si>
    <t>07:54:46</t>
  </si>
  <si>
    <t>14</t>
  </si>
  <si>
    <t>Luong</t>
  </si>
  <si>
    <t>15</t>
  </si>
  <si>
    <t>Khang</t>
  </si>
  <si>
    <t>16</t>
  </si>
  <si>
    <t>Thinh</t>
  </si>
  <si>
    <t>17</t>
  </si>
  <si>
    <t>Thuy</t>
  </si>
  <si>
    <t>18</t>
  </si>
  <si>
    <t>Phong</t>
  </si>
  <si>
    <t>19</t>
  </si>
  <si>
    <t>Tho</t>
  </si>
  <si>
    <t>07:42:39</t>
  </si>
  <si>
    <t>07:56:47</t>
  </si>
  <si>
    <t>07:46:38</t>
  </si>
  <si>
    <t>07:50:23</t>
  </si>
  <si>
    <t>07:53:20</t>
  </si>
  <si>
    <t>07:47:09</t>
  </si>
  <si>
    <t>07:59:40</t>
  </si>
  <si>
    <t>08:10:51</t>
  </si>
  <si>
    <t>11 phút</t>
  </si>
  <si>
    <t>07:36:48</t>
  </si>
  <si>
    <t>07:56:29</t>
  </si>
  <si>
    <t>07:54:39</t>
  </si>
  <si>
    <t>07:52:32</t>
  </si>
  <si>
    <t>07:53:49</t>
  </si>
  <si>
    <t>08:07:09</t>
  </si>
  <si>
    <t>7 phút</t>
  </si>
  <si>
    <t>07:57:27</t>
  </si>
  <si>
    <t>08:03:40</t>
  </si>
  <si>
    <t>4 phút</t>
  </si>
  <si>
    <t>07:20:53</t>
  </si>
  <si>
    <t>07:56:22</t>
  </si>
  <si>
    <t>07:44:29</t>
  </si>
  <si>
    <t>07:44:09</t>
  </si>
  <si>
    <t>2</t>
  </si>
  <si>
    <t>38 phút</t>
  </si>
  <si>
    <t>07:52:58</t>
  </si>
  <si>
    <t>106 phút</t>
  </si>
  <si>
    <t>Về sớm</t>
  </si>
  <si>
    <t>25 phút</t>
  </si>
  <si>
    <t>2 phút</t>
  </si>
  <si>
    <t>596 phút</t>
  </si>
  <si>
    <t>56 phút</t>
  </si>
  <si>
    <t>20</t>
  </si>
  <si>
    <t>Quang Thanh</t>
  </si>
  <si>
    <t>07:27:25</t>
  </si>
  <si>
    <t>07:57:34</t>
  </si>
  <si>
    <t>07:40:57</t>
  </si>
  <si>
    <t>07:18:29</t>
  </si>
  <si>
    <t>07:51:21</t>
  </si>
  <si>
    <t>07:46:21</t>
  </si>
  <si>
    <t>07:51:06</t>
  </si>
  <si>
    <t>07:44:53</t>
  </si>
  <si>
    <t>07:56:06</t>
  </si>
  <si>
    <t>07:57:11</t>
  </si>
  <si>
    <t>07:55:00</t>
  </si>
  <si>
    <t>08:10:57</t>
  </si>
  <si>
    <t>08:19:18</t>
  </si>
  <si>
    <t>19 phút</t>
  </si>
  <si>
    <t>07:36:07</t>
  </si>
  <si>
    <t>07:34:32</t>
  </si>
  <si>
    <t>07:35:58</t>
  </si>
  <si>
    <t>07:38:22</t>
  </si>
  <si>
    <t>07:46:25</t>
  </si>
  <si>
    <t>07:37:49</t>
  </si>
  <si>
    <t>21</t>
  </si>
  <si>
    <t>1 phút</t>
  </si>
  <si>
    <t>644 phút</t>
  </si>
  <si>
    <t>08:02:25</t>
  </si>
  <si>
    <t>676 phút</t>
  </si>
  <si>
    <t>657 phút</t>
  </si>
  <si>
    <t>13 phút</t>
  </si>
  <si>
    <t>22</t>
  </si>
  <si>
    <t>Yen</t>
  </si>
  <si>
    <t>23</t>
  </si>
  <si>
    <t>100 phút</t>
  </si>
  <si>
    <t>24</t>
  </si>
  <si>
    <t>76 phút</t>
  </si>
  <si>
    <t>579 phút</t>
  </si>
  <si>
    <t>25</t>
  </si>
  <si>
    <t>26</t>
  </si>
  <si>
    <t>Lam</t>
  </si>
  <si>
    <t>27</t>
  </si>
  <si>
    <t>Sam</t>
  </si>
  <si>
    <t>28</t>
  </si>
  <si>
    <t>Hoang</t>
  </si>
  <si>
    <t>29</t>
  </si>
  <si>
    <t>Tai</t>
  </si>
  <si>
    <t>3</t>
  </si>
  <si>
    <t>VIET</t>
  </si>
  <si>
    <t>30</t>
  </si>
  <si>
    <t>Hoa</t>
  </si>
  <si>
    <t>31</t>
  </si>
  <si>
    <t>Thao</t>
  </si>
  <si>
    <t>32</t>
  </si>
  <si>
    <t>31 phút</t>
  </si>
  <si>
    <t>22 phút</t>
  </si>
  <si>
    <t>528 phút</t>
  </si>
  <si>
    <t>12 phút</t>
  </si>
  <si>
    <t>20 phút</t>
  </si>
  <si>
    <t>33</t>
  </si>
  <si>
    <t>Hanh</t>
  </si>
  <si>
    <t>34</t>
  </si>
  <si>
    <t>Khanh</t>
  </si>
  <si>
    <t>35</t>
  </si>
  <si>
    <t>Chanh</t>
  </si>
  <si>
    <t>36</t>
  </si>
  <si>
    <t>Thai</t>
  </si>
  <si>
    <t>37</t>
  </si>
  <si>
    <t>Tram</t>
  </si>
  <si>
    <t>08:05:04</t>
  </si>
  <si>
    <t>19:25:38</t>
  </si>
  <si>
    <t>5 phút</t>
  </si>
  <si>
    <t>51 phút</t>
  </si>
  <si>
    <t>08:25:11</t>
  </si>
  <si>
    <t>17:06:36</t>
  </si>
  <si>
    <t>521 phút</t>
  </si>
  <si>
    <t>08:03:54</t>
  </si>
  <si>
    <t>19:01:07</t>
  </si>
  <si>
    <t>08:03:16</t>
  </si>
  <si>
    <t>17:30:56</t>
  </si>
  <si>
    <t>3 phút</t>
  </si>
  <si>
    <t>568 phút</t>
  </si>
  <si>
    <t>18:56:18</t>
  </si>
  <si>
    <t>08:03:24</t>
  </si>
  <si>
    <t>17:56:21</t>
  </si>
  <si>
    <t>593 phút</t>
  </si>
  <si>
    <t>08:08:18</t>
  </si>
  <si>
    <t>17:46:53</t>
  </si>
  <si>
    <t>8 phút</t>
  </si>
  <si>
    <t>47 phút</t>
  </si>
  <si>
    <t>08:03:28</t>
  </si>
  <si>
    <t>19:25:36</t>
  </si>
  <si>
    <t>682 phút</t>
  </si>
  <si>
    <t>06:51:13</t>
  </si>
  <si>
    <t>18:04:06</t>
  </si>
  <si>
    <t>604 phút</t>
  </si>
  <si>
    <t>64 phút</t>
  </si>
  <si>
    <t>08:00:20</t>
  </si>
  <si>
    <t>17:03:43</t>
  </si>
  <si>
    <t>543 phút</t>
  </si>
  <si>
    <t>08:05:49</t>
  </si>
  <si>
    <t>17:37:55</t>
  </si>
  <si>
    <t>572 phút</t>
  </si>
  <si>
    <t>08:02:04</t>
  </si>
  <si>
    <t>19:33:19</t>
  </si>
  <si>
    <t>691 phút</t>
  </si>
  <si>
    <t>67 phút</t>
  </si>
  <si>
    <t>08:03:09</t>
  </si>
  <si>
    <t>18:15:57</t>
  </si>
  <si>
    <t>613 phút</t>
  </si>
  <si>
    <t>08:04:28</t>
  </si>
  <si>
    <t>18:23:29</t>
  </si>
  <si>
    <t>07:17:05</t>
  </si>
  <si>
    <t>19:15:43</t>
  </si>
  <si>
    <t>17:02:30</t>
  </si>
  <si>
    <t>08:01:45</t>
  </si>
  <si>
    <t>17:24:55</t>
  </si>
  <si>
    <t>563 phút</t>
  </si>
  <si>
    <t>08:00:51</t>
  </si>
  <si>
    <t>17:50:41</t>
  </si>
  <si>
    <t>07:54:43</t>
  </si>
  <si>
    <t>18:44:27</t>
  </si>
  <si>
    <t>104 phút</t>
  </si>
  <si>
    <t>08:00:38</t>
  </si>
  <si>
    <t>18:46:03</t>
  </si>
  <si>
    <t>645 phút</t>
  </si>
  <si>
    <t>08:05:03</t>
  </si>
  <si>
    <t>17:22:29</t>
  </si>
  <si>
    <t>557 phút</t>
  </si>
  <si>
    <t>08:02:36</t>
  </si>
  <si>
    <t>17:58:50</t>
  </si>
  <si>
    <t>59 phút</t>
  </si>
  <si>
    <t>07:53:32</t>
  </si>
  <si>
    <t>18:16:46</t>
  </si>
  <si>
    <t>617 phút</t>
  </si>
  <si>
    <t>77 phút</t>
  </si>
  <si>
    <t>Muộn/Về sớm</t>
  </si>
  <si>
    <t>08:08:21</t>
  </si>
  <si>
    <t>16:56:19</t>
  </si>
  <si>
    <t>38</t>
  </si>
  <si>
    <t>07:56:23</t>
  </si>
  <si>
    <t>07:57:59</t>
  </si>
  <si>
    <t>07:47:36</t>
  </si>
  <si>
    <t>07:41:09</t>
  </si>
  <si>
    <t>08:00:48</t>
  </si>
  <si>
    <t>08:05:14</t>
  </si>
  <si>
    <t>08:02:40</t>
  </si>
  <si>
    <t>07:55:24</t>
  </si>
  <si>
    <t>08:06:12</t>
  </si>
  <si>
    <t>07:49:23</t>
  </si>
  <si>
    <t>08:01:07</t>
  </si>
  <si>
    <t>07:54:18</t>
  </si>
  <si>
    <t>07:54:47</t>
  </si>
  <si>
    <t>07:59:16</t>
  </si>
  <si>
    <t>07:50:04</t>
  </si>
  <si>
    <t>07:50:33</t>
  </si>
  <si>
    <t>07:57:02</t>
  </si>
  <si>
    <t>07:48:03</t>
  </si>
  <si>
    <t>08:04:39</t>
  </si>
  <si>
    <t>08:01:34</t>
  </si>
  <si>
    <t>07:40:20</t>
  </si>
  <si>
    <t>08:04:26</t>
  </si>
  <si>
    <t>39</t>
  </si>
  <si>
    <t>4</t>
  </si>
  <si>
    <t>Hai</t>
  </si>
  <si>
    <t>40</t>
  </si>
  <si>
    <t>Vinh</t>
  </si>
  <si>
    <t>08:02:45</t>
  </si>
  <si>
    <t>07:59:50</t>
  </si>
  <si>
    <t>08:05:27</t>
  </si>
  <si>
    <t>07:58:37</t>
  </si>
  <si>
    <t>07:57:07</t>
  </si>
  <si>
    <t>08:06:03</t>
  </si>
  <si>
    <t>08:05:01</t>
  </si>
  <si>
    <t>08:04:44</t>
  </si>
  <si>
    <t>536 phút</t>
  </si>
  <si>
    <t>08:04:30</t>
  </si>
  <si>
    <t>08:04:40</t>
  </si>
  <si>
    <t>07:51:33</t>
  </si>
  <si>
    <t>08:01:58</t>
  </si>
  <si>
    <t>08:12:23</t>
  </si>
  <si>
    <t>07:57:42</t>
  </si>
  <si>
    <t>08:03:00</t>
  </si>
  <si>
    <t>07:52:24</t>
  </si>
  <si>
    <t>08:04:02</t>
  </si>
  <si>
    <t>08:04:08</t>
  </si>
  <si>
    <t>08:25:02</t>
  </si>
  <si>
    <t>41</t>
  </si>
  <si>
    <t>Tuan</t>
  </si>
  <si>
    <t>42</t>
  </si>
  <si>
    <t>Qui</t>
  </si>
  <si>
    <t>43</t>
  </si>
  <si>
    <t>44</t>
  </si>
  <si>
    <t>Phu</t>
  </si>
  <si>
    <t>45</t>
  </si>
  <si>
    <t>Nhi</t>
  </si>
  <si>
    <t>08:10:34</t>
  </si>
  <si>
    <t>08:02:17</t>
  </si>
  <si>
    <t>07:59:45</t>
  </si>
  <si>
    <t>08:00:47</t>
  </si>
  <si>
    <t>08:04:19</t>
  </si>
  <si>
    <t>08:00:22</t>
  </si>
  <si>
    <t>08:03:11</t>
  </si>
  <si>
    <t>08:04:14</t>
  </si>
  <si>
    <t>07:55:37</t>
  </si>
  <si>
    <t>07:54:42</t>
  </si>
  <si>
    <t>07:59:52</t>
  </si>
  <si>
    <t>07:52:49</t>
  </si>
  <si>
    <t>07:28:42</t>
  </si>
  <si>
    <t>08:03:13</t>
  </si>
  <si>
    <t>07:57:22</t>
  </si>
  <si>
    <t>07:57:57</t>
  </si>
  <si>
    <t>08:02:35</t>
  </si>
  <si>
    <t>08:05:07</t>
  </si>
  <si>
    <t>08:00:30</t>
  </si>
  <si>
    <t>08:05:16</t>
  </si>
  <si>
    <t>46</t>
  </si>
  <si>
    <t>Nghia</t>
  </si>
  <si>
    <t>47</t>
  </si>
  <si>
    <t>Huy</t>
  </si>
  <si>
    <t>48</t>
  </si>
  <si>
    <t>Quang</t>
  </si>
  <si>
    <t>49</t>
  </si>
  <si>
    <t>Quoc</t>
  </si>
  <si>
    <t>5</t>
  </si>
  <si>
    <t>07:56:55</t>
  </si>
  <si>
    <t>17 phút</t>
  </si>
  <si>
    <t>50</t>
  </si>
  <si>
    <t>51</t>
  </si>
  <si>
    <t>Hong</t>
  </si>
  <si>
    <t>08:00:09</t>
  </si>
  <si>
    <t>08:01:18</t>
  </si>
  <si>
    <t>07:56:37</t>
  </si>
  <si>
    <t>08:01:04</t>
  </si>
  <si>
    <t>08:05:20</t>
  </si>
  <si>
    <t>08:32:16</t>
  </si>
  <si>
    <t>32 phút</t>
  </si>
  <si>
    <t>08:55:31</t>
  </si>
  <si>
    <t>08:06:17</t>
  </si>
  <si>
    <t>08:12:58</t>
  </si>
  <si>
    <t>08:05:12</t>
  </si>
  <si>
    <t>07:20:35</t>
  </si>
  <si>
    <t>08:19:17</t>
  </si>
  <si>
    <t>08:02:57</t>
  </si>
  <si>
    <t>07:54:06</t>
  </si>
  <si>
    <t>07:59:41</t>
  </si>
  <si>
    <t>07:41:59</t>
  </si>
  <si>
    <t>07:57:32</t>
  </si>
  <si>
    <t>08:03:49</t>
  </si>
  <si>
    <t>09:40:11</t>
  </si>
  <si>
    <t>52</t>
  </si>
  <si>
    <t>Xuyen</t>
  </si>
  <si>
    <t>53</t>
  </si>
  <si>
    <t>Dung</t>
  </si>
  <si>
    <t>07:58:43</t>
  </si>
  <si>
    <t>08:00:28</t>
  </si>
  <si>
    <t>08:19:41</t>
  </si>
  <si>
    <t>07:57:04</t>
  </si>
  <si>
    <t>07:56:54</t>
  </si>
  <si>
    <t>08:03:05</t>
  </si>
  <si>
    <t>07:56:58</t>
  </si>
  <si>
    <t>07:57:30</t>
  </si>
  <si>
    <t>08:08:06</t>
  </si>
  <si>
    <t>08:08:16</t>
  </si>
  <si>
    <t>07:59:04</t>
  </si>
  <si>
    <t>07:57:26</t>
  </si>
  <si>
    <t>08:17:00</t>
  </si>
  <si>
    <t>08:06:29</t>
  </si>
  <si>
    <t>08:00:25</t>
  </si>
  <si>
    <t>07:54:52</t>
  </si>
  <si>
    <t>07:57:35</t>
  </si>
  <si>
    <t>07:56:31</t>
  </si>
  <si>
    <t>54</t>
  </si>
  <si>
    <t>Nhan</t>
  </si>
  <si>
    <t>55</t>
  </si>
  <si>
    <t>Hoc</t>
  </si>
  <si>
    <t>56</t>
  </si>
  <si>
    <t>57</t>
  </si>
  <si>
    <t>Bao</t>
  </si>
  <si>
    <t>58</t>
  </si>
  <si>
    <t>59</t>
  </si>
  <si>
    <t>6</t>
  </si>
  <si>
    <t>Diem</t>
  </si>
  <si>
    <t>60</t>
  </si>
  <si>
    <t>61</t>
  </si>
  <si>
    <t>Thong</t>
  </si>
  <si>
    <t>62</t>
  </si>
  <si>
    <t>63</t>
  </si>
  <si>
    <t>64</t>
  </si>
  <si>
    <t>65</t>
  </si>
  <si>
    <t>7</t>
  </si>
  <si>
    <t>Thanh</t>
  </si>
  <si>
    <t>8</t>
  </si>
  <si>
    <t>9</t>
  </si>
  <si>
    <t>STT</t>
  </si>
  <si>
    <t xml:space="preserve">Họ và Tên </t>
  </si>
  <si>
    <t>ID</t>
  </si>
  <si>
    <t>Kinh doanh</t>
  </si>
  <si>
    <t>Bùi Thị Kim Dung</t>
  </si>
  <si>
    <t>Nguyễn Văn Vinh</t>
  </si>
  <si>
    <t xml:space="preserve">Trương Quang Thanh    </t>
  </si>
  <si>
    <t xml:space="preserve"> Hứa Thị Ngọc Thơ  </t>
  </si>
  <si>
    <t>Nguyễn Quốc Thái</t>
  </si>
  <si>
    <t>Trần Hạo Nhị</t>
  </si>
  <si>
    <t>Dương Thị Kim Hồng</t>
  </si>
  <si>
    <t>Trần Bảo Trâm</t>
  </si>
  <si>
    <t xml:space="preserve"> Nguyễn Bảo Thạch    </t>
  </si>
  <si>
    <t xml:space="preserve"> Hoàng Đức Thanh    </t>
  </si>
  <si>
    <t xml:space="preserve"> Nguyễn Quốc Minh   </t>
  </si>
  <si>
    <t xml:space="preserve"> Nguyễn Hoàng Thực    </t>
  </si>
  <si>
    <t xml:space="preserve"> Trần Cao Hoàng Tâm    </t>
  </si>
  <si>
    <t xml:space="preserve"> Lê Kim Đãng   </t>
  </si>
  <si>
    <t xml:space="preserve"> Nguyễn Thiên Trang    </t>
  </si>
  <si>
    <t xml:space="preserve"> Nguyễn Thiên Thanh    </t>
  </si>
  <si>
    <t xml:space="preserve"> Huỳnh Thanh Phong  </t>
  </si>
  <si>
    <t>Nguyễn Hữu Phước</t>
  </si>
  <si>
    <t>Nguyễn Thanh Phương</t>
  </si>
  <si>
    <t xml:space="preserve">Trần Kỳ Tâm    </t>
  </si>
  <si>
    <t>Kế toán - Văn phòng</t>
  </si>
  <si>
    <t>Huỳnh Văn Hùng</t>
  </si>
  <si>
    <t>Nguyễn Thị Út Hương</t>
  </si>
  <si>
    <t>Đoàn Thị Thanh Hương</t>
  </si>
  <si>
    <t>Hoàng Thị Hoài Nhi</t>
  </si>
  <si>
    <t>Phạm Anh Vũ</t>
  </si>
  <si>
    <t xml:space="preserve"> Hàng Minh Thư   </t>
  </si>
  <si>
    <t>Nguyễn Thị Lan Sy</t>
  </si>
  <si>
    <t>Lê Thị Mỹ Duyên</t>
  </si>
  <si>
    <t>Huỳnh Thị Mạnh Thường</t>
  </si>
  <si>
    <t>Tên nhân viên</t>
  </si>
  <si>
    <t>Lý Kim Hồ</t>
  </si>
  <si>
    <t>Nghĩ việc</t>
  </si>
  <si>
    <t>Đang làm việc</t>
  </si>
  <si>
    <t>Vận Hành</t>
  </si>
  <si>
    <t>Trạng thái</t>
  </si>
  <si>
    <t>Bộ phận2</t>
  </si>
  <si>
    <t>Tăng ca</t>
  </si>
  <si>
    <t>Không</t>
  </si>
  <si>
    <t>Có</t>
  </si>
  <si>
    <t>Chấm vân tay giờ về</t>
  </si>
  <si>
    <t>Ngày công</t>
  </si>
  <si>
    <t>Muộn (Phút)</t>
  </si>
  <si>
    <t>Giờ vào HC</t>
  </si>
  <si>
    <t>Giờ ra HC</t>
  </si>
  <si>
    <t>Giờ Về</t>
  </si>
  <si>
    <t>Giờ vao TT</t>
  </si>
  <si>
    <t>Giờ ra TT</t>
  </si>
  <si>
    <t>Tăng ca (phút)</t>
  </si>
  <si>
    <t>Thời Gian làm việc</t>
  </si>
  <si>
    <t>Giờ vào</t>
  </si>
  <si>
    <t>Giờ ra</t>
  </si>
  <si>
    <t>Vận Hành &amp; Kho</t>
  </si>
  <si>
    <t>Đối với vi phạm đi trễ</t>
  </si>
  <si>
    <t>Đi trễ từ 6 --&gt; 15 Phút so với quy định</t>
  </si>
  <si>
    <t>Vi phạm</t>
  </si>
  <si>
    <t>Đi trễ từ 15 --&gt; 60 Phút so với quy định</t>
  </si>
  <si>
    <t>Đi trễ từ 60 Phút so với quy định</t>
  </si>
  <si>
    <t>Trừ nữa ngày lượng</t>
  </si>
  <si>
    <t>Vi phạm các quy định trên quá 3 lần/tháng</t>
  </si>
  <si>
    <t>Trừ toàn bộ chuyên cần tháng</t>
  </si>
  <si>
    <t>Đối với vi phạm chấm công</t>
  </si>
  <si>
    <t>Vi phạm lần 1</t>
  </si>
  <si>
    <t>Vi phạm lần 3 trở lên</t>
  </si>
  <si>
    <t>Vi phạm lần 2</t>
  </si>
  <si>
    <t>Trường hợp vi phạm quá 3 lần/tháng</t>
  </si>
  <si>
    <t>Không chấm công ngày đó</t>
  </si>
  <si>
    <t>Phạt nữa ngày lương</t>
  </si>
  <si>
    <t>Đối với Trường hợp nghĩ phép cần báo trước 3 ngày cho Quản lý, nếu nghĩ không xin phép thì:</t>
  </si>
  <si>
    <t>Vi phạm lần đầu</t>
  </si>
  <si>
    <t>Nhắc nhở</t>
  </si>
  <si>
    <t>Trừ 3 ngày lương</t>
  </si>
  <si>
    <t>Vi phạm lần 3</t>
  </si>
  <si>
    <t>Hạ bậc lương hoặc xét cho thôi việc</t>
  </si>
  <si>
    <t>Châm công</t>
  </si>
  <si>
    <t>Trừ lương do vi phạm</t>
  </si>
  <si>
    <t>Ghi Chú</t>
  </si>
  <si>
    <t>Trừ ngày lương</t>
  </si>
  <si>
    <t>Phạt muộn</t>
  </si>
  <si>
    <t>Phạt Quên chấm công</t>
  </si>
  <si>
    <t>BẢNG CHẤM CÔNG</t>
  </si>
  <si>
    <t>Tháng</t>
  </si>
  <si>
    <t>năm</t>
  </si>
  <si>
    <t>Tăng ca (Phút)</t>
  </si>
  <si>
    <t>Muộn (lần)</t>
  </si>
  <si>
    <t xml:space="preserve">Sinh nhật </t>
  </si>
  <si>
    <t>Phép năm tháng trước</t>
  </si>
  <si>
    <t>Phép năm</t>
  </si>
  <si>
    <t>Lịch công tác</t>
  </si>
  <si>
    <t>Phạt đi muộn</t>
  </si>
  <si>
    <t>Đi công tác</t>
  </si>
  <si>
    <t>Ghi chú:</t>
  </si>
  <si>
    <t>x</t>
  </si>
  <si>
    <t>Có mặt</t>
  </si>
  <si>
    <t>2x</t>
  </si>
  <si>
    <t>Làm ngày lễ, công tác chủ nhật</t>
  </si>
  <si>
    <t>V</t>
  </si>
  <si>
    <t xml:space="preserve">Vắng </t>
  </si>
  <si>
    <t>P</t>
  </si>
  <si>
    <t xml:space="preserve">Phép </t>
  </si>
  <si>
    <t>L</t>
  </si>
  <si>
    <t>Nghỉ lễ</t>
  </si>
  <si>
    <t>CN</t>
  </si>
  <si>
    <t xml:space="preserve">Nghỉ tuần </t>
  </si>
  <si>
    <t>1/2</t>
  </si>
  <si>
    <t>Nửa công</t>
  </si>
  <si>
    <t>1/2P</t>
  </si>
  <si>
    <t>Nửa phép</t>
  </si>
  <si>
    <t>Người lập biểu</t>
  </si>
  <si>
    <t>Giám đốc</t>
  </si>
  <si>
    <t xml:space="preserve">Đặng Xuân Ngọc </t>
  </si>
  <si>
    <t>Ngày chấm công</t>
  </si>
  <si>
    <t>Mã Do công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</si>
</sst>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 * #,##0_)_ ;_ * \(#,##0\)_ ;_ * &quot;-&quot;_)_ ;_ @_ "/>
    <numFmt numFmtId="43" formatCode="_ * #,##0.00_)_ ;_ * \(#,##0.00\)_ ;_ * &quot;-&quot;??_)_ ;_ @_ "/>
    <numFmt numFmtId="164" formatCode="[$-F400]h:mm:ss\ AM/PM"/>
    <numFmt numFmtId="165" formatCode="#,##0_)&quot;đồng/lần&quot;;[Red]\(#,##0\)"/>
    <numFmt numFmtId="166" formatCode="&quot;Tháng &quot;mm&quot; năm &quot;yyyy"/>
    <numFmt numFmtId="167" formatCode="_-* #,##0.00_-;\-* #,##0.00_-;_-* &quot;-&quot;??_-;_-@_-"/>
    <numFmt numFmtId="168" formatCode="_-* #,##0_-;\-* #,##0_-;_-* &quot;-&quot;??_-;_-@_-"/>
    <numFmt numFmtId="169" formatCode="00"/>
    <numFmt numFmtId="170" formatCode="[$-101042A]dd"/>
    <numFmt numFmtId="171" formatCode="[$-101042A]dddd"/>
    <numFmt numFmtId="172" formatCode="_(* #,##0_);_(* \(#,##0\);_(* &quot;-&quot;??_);_(@_)"/>
  </numFmts>
  <fonts count="43" x14ac:knownFonts="1">
    <font>
      <sz val="11"/>
      <color theme="1"/>
      <name val="Aptos Narrow"/>
      <family val="2"/>
      <charset val="163"/>
      <scheme val="minor"/>
    </font>
    <font>
      <sz val="11"/>
      <color theme="1"/>
      <name val="Aptos Narrow"/>
      <family val="2"/>
      <charset val="163"/>
      <scheme val="minor"/>
    </font>
    <font>
      <sz val="18"/>
      <color theme="3"/>
      <name val="Aptos Display"/>
      <family val="2"/>
      <charset val="163"/>
      <scheme val="major"/>
    </font>
    <font>
      <b/>
      <sz val="15"/>
      <color theme="3"/>
      <name val="Aptos Narrow"/>
      <family val="2"/>
      <charset val="163"/>
      <scheme val="minor"/>
    </font>
    <font>
      <b/>
      <sz val="13"/>
      <color theme="3"/>
      <name val="Aptos Narrow"/>
      <family val="2"/>
      <charset val="163"/>
      <scheme val="minor"/>
    </font>
    <font>
      <b/>
      <sz val="11"/>
      <color theme="3"/>
      <name val="Aptos Narrow"/>
      <family val="2"/>
      <charset val="163"/>
      <scheme val="minor"/>
    </font>
    <font>
      <sz val="11"/>
      <color rgb="FF006100"/>
      <name val="Aptos Narrow"/>
      <family val="2"/>
      <charset val="163"/>
      <scheme val="minor"/>
    </font>
    <font>
      <sz val="11"/>
      <color rgb="FF9C0006"/>
      <name val="Aptos Narrow"/>
      <family val="2"/>
      <charset val="163"/>
      <scheme val="minor"/>
    </font>
    <font>
      <sz val="11"/>
      <color rgb="FF9C5700"/>
      <name val="Aptos Narrow"/>
      <family val="2"/>
      <charset val="163"/>
      <scheme val="minor"/>
    </font>
    <font>
      <sz val="11"/>
      <color rgb="FF3F3F76"/>
      <name val="Aptos Narrow"/>
      <family val="2"/>
      <charset val="163"/>
      <scheme val="minor"/>
    </font>
    <font>
      <b/>
      <sz val="11"/>
      <color rgb="FF3F3F3F"/>
      <name val="Aptos Narrow"/>
      <family val="2"/>
      <charset val="163"/>
      <scheme val="minor"/>
    </font>
    <font>
      <b/>
      <sz val="11"/>
      <color rgb="FFFA7D00"/>
      <name val="Aptos Narrow"/>
      <family val="2"/>
      <charset val="163"/>
      <scheme val="minor"/>
    </font>
    <font>
      <sz val="11"/>
      <color rgb="FFFA7D00"/>
      <name val="Aptos Narrow"/>
      <family val="2"/>
      <charset val="163"/>
      <scheme val="minor"/>
    </font>
    <font>
      <b/>
      <sz val="11"/>
      <color theme="0"/>
      <name val="Aptos Narrow"/>
      <family val="2"/>
      <charset val="163"/>
      <scheme val="minor"/>
    </font>
    <font>
      <sz val="11"/>
      <color rgb="FFFF0000"/>
      <name val="Aptos Narrow"/>
      <family val="2"/>
      <charset val="163"/>
      <scheme val="minor"/>
    </font>
    <font>
      <i/>
      <sz val="11"/>
      <color rgb="FF7F7F7F"/>
      <name val="Aptos Narrow"/>
      <family val="2"/>
      <charset val="163"/>
      <scheme val="minor"/>
    </font>
    <font>
      <b/>
      <sz val="11"/>
      <color theme="1"/>
      <name val="Aptos Narrow"/>
      <family val="2"/>
      <charset val="163"/>
      <scheme val="minor"/>
    </font>
    <font>
      <sz val="11"/>
      <color theme="0"/>
      <name val="Aptos Narrow"/>
      <family val="2"/>
      <charset val="163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0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2"/>
      <color rgb="FF000000"/>
      <name val="Times New Roman"/>
      <family val="1"/>
    </font>
    <font>
      <sz val="1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Times New Roman"/>
      <family val="1"/>
    </font>
    <font>
      <sz val="12"/>
      <name val=".VnTime"/>
      <family val="2"/>
    </font>
    <font>
      <b/>
      <sz val="16"/>
      <name val="Times New Roman"/>
      <family val="1"/>
    </font>
    <font>
      <b/>
      <i/>
      <sz val="10"/>
      <color indexed="10"/>
      <name val="Times New Roman"/>
      <family val="1"/>
    </font>
    <font>
      <b/>
      <sz val="8"/>
      <name val="Times New Roman"/>
      <family val="1"/>
    </font>
    <font>
      <sz val="12"/>
      <name val="Times New Roman"/>
      <family val="1"/>
    </font>
    <font>
      <b/>
      <sz val="12"/>
      <color indexed="12"/>
      <name val="Times New Roman"/>
      <family val="1"/>
    </font>
    <font>
      <b/>
      <sz val="11"/>
      <color theme="6" tint="-0.499984740745262"/>
      <name val="Times New Roman"/>
      <family val="1"/>
    </font>
    <font>
      <b/>
      <sz val="11"/>
      <color rgb="FFC00000"/>
      <name val="Times New Roman"/>
      <family val="1"/>
    </font>
    <font>
      <b/>
      <i/>
      <sz val="12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0"/>
      <color rgb="FFFF0000"/>
      <name val="Times New Roman"/>
      <family val="1"/>
    </font>
    <font>
      <i/>
      <sz val="11"/>
      <name val="Times New Roman"/>
      <family val="1"/>
    </font>
    <font>
      <sz val="12"/>
      <color rgb="FFFF0000"/>
      <name val="Times New Roman"/>
      <family val="1"/>
    </font>
    <font>
      <sz val="8"/>
      <name val="Aptos Narrow"/>
      <family val="2"/>
      <charset val="163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41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7" fillId="0" borderId="0"/>
    <xf numFmtId="167" fontId="1" fillId="0" borderId="0" applyFont="0" applyFill="0" applyBorder="0" applyAlignment="0" applyProtection="0"/>
  </cellStyleXfs>
  <cellXfs count="90">
    <xf numFmtId="0" fontId="0" fillId="0" borderId="0" xfId="0"/>
    <xf numFmtId="49" fontId="18" fillId="0" borderId="10" xfId="0" applyNumberFormat="1" applyFont="1" applyBorder="1" applyAlignment="1">
      <alignment horizontal="center" wrapText="1"/>
    </xf>
    <xf numFmtId="0" fontId="23" fillId="35" borderId="0" xfId="43" applyFont="1" applyFill="1" applyAlignment="1">
      <alignment vertical="center"/>
    </xf>
    <xf numFmtId="0" fontId="22" fillId="34" borderId="0" xfId="43" applyFont="1" applyFill="1" applyAlignment="1">
      <alignment horizontal="center" vertical="center"/>
    </xf>
    <xf numFmtId="49" fontId="18" fillId="0" borderId="13" xfId="0" applyNumberFormat="1" applyFont="1" applyBorder="1" applyAlignment="1">
      <alignment horizontal="center" wrapText="1"/>
    </xf>
    <xf numFmtId="0" fontId="20" fillId="33" borderId="16" xfId="43" applyFont="1" applyFill="1" applyBorder="1" applyAlignment="1">
      <alignment horizontal="center" vertical="center"/>
    </xf>
    <xf numFmtId="0" fontId="20" fillId="33" borderId="17" xfId="43" applyFont="1" applyFill="1" applyBorder="1" applyAlignment="1">
      <alignment horizontal="center" vertical="center"/>
    </xf>
    <xf numFmtId="0" fontId="21" fillId="33" borderId="17" xfId="43" applyFont="1" applyFill="1" applyBorder="1" applyAlignment="1">
      <alignment horizontal="center" vertical="center"/>
    </xf>
    <xf numFmtId="0" fontId="21" fillId="33" borderId="15" xfId="43" applyFont="1" applyFill="1" applyBorder="1" applyAlignment="1">
      <alignment horizontal="center" vertical="center"/>
    </xf>
    <xf numFmtId="0" fontId="21" fillId="33" borderId="15" xfId="43" applyFont="1" applyFill="1" applyBorder="1" applyAlignment="1">
      <alignment horizontal="center" vertical="center" wrapText="1"/>
    </xf>
    <xf numFmtId="0" fontId="24" fillId="36" borderId="0" xfId="0" applyFont="1" applyFill="1" applyAlignment="1">
      <alignment horizontal="center"/>
    </xf>
    <xf numFmtId="164" fontId="0" fillId="0" borderId="0" xfId="0" applyNumberFormat="1"/>
    <xf numFmtId="164" fontId="18" fillId="0" borderId="10" xfId="0" applyNumberFormat="1" applyFont="1" applyBorder="1" applyAlignment="1">
      <alignment horizontal="center" wrapText="1"/>
    </xf>
    <xf numFmtId="164" fontId="21" fillId="33" borderId="15" xfId="43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19" fillId="0" borderId="13" xfId="0" applyNumberFormat="1" applyFont="1" applyBorder="1" applyAlignment="1">
      <alignment horizontal="center" vertical="center" wrapText="1"/>
    </xf>
    <xf numFmtId="49" fontId="19" fillId="0" borderId="10" xfId="0" applyNumberFormat="1" applyFont="1" applyBorder="1" applyAlignment="1">
      <alignment horizontal="center" vertical="center" wrapText="1"/>
    </xf>
    <xf numFmtId="164" fontId="19" fillId="0" borderId="10" xfId="0" applyNumberFormat="1" applyFont="1" applyBorder="1" applyAlignment="1">
      <alignment horizontal="center" vertical="center" wrapText="1"/>
    </xf>
    <xf numFmtId="49" fontId="19" fillId="0" borderId="14" xfId="0" applyNumberFormat="1" applyFont="1" applyBorder="1" applyAlignment="1">
      <alignment horizontal="center" vertical="center" wrapText="1"/>
    </xf>
    <xf numFmtId="164" fontId="19" fillId="0" borderId="0" xfId="0" applyNumberFormat="1" applyFont="1" applyAlignment="1">
      <alignment horizontal="center" vertical="center" wrapText="1"/>
    </xf>
    <xf numFmtId="0" fontId="0" fillId="0" borderId="0" xfId="0" applyAlignment="1">
      <alignment vertical="center"/>
    </xf>
    <xf numFmtId="0" fontId="25" fillId="37" borderId="0" xfId="0" applyFont="1" applyFill="1" applyAlignment="1">
      <alignment horizontal="center" vertical="center"/>
    </xf>
    <xf numFmtId="165" fontId="0" fillId="0" borderId="0" xfId="0" applyNumberFormat="1"/>
    <xf numFmtId="165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25" fillId="37" borderId="0" xfId="0" applyFont="1" applyFill="1"/>
    <xf numFmtId="41" fontId="0" fillId="0" borderId="0" xfId="1" applyFont="1"/>
    <xf numFmtId="41" fontId="0" fillId="0" borderId="0" xfId="1" applyFont="1" applyAlignment="1">
      <alignment horizontal="center" vertical="center" wrapText="1"/>
    </xf>
    <xf numFmtId="41" fontId="0" fillId="0" borderId="0" xfId="1" applyFont="1" applyAlignment="1">
      <alignment horizontal="center" vertical="center"/>
    </xf>
    <xf numFmtId="41" fontId="0" fillId="0" borderId="0" xfId="1" applyFont="1" applyAlignment="1">
      <alignment horizontal="left" vertical="center"/>
    </xf>
    <xf numFmtId="0" fontId="26" fillId="0" borderId="0" xfId="43" applyFont="1" applyProtection="1">
      <protection locked="0"/>
    </xf>
    <xf numFmtId="0" fontId="28" fillId="0" borderId="0" xfId="45" applyFont="1" applyAlignment="1">
      <alignment vertical="center"/>
    </xf>
    <xf numFmtId="0" fontId="28" fillId="0" borderId="0" xfId="45" applyFont="1" applyAlignment="1">
      <alignment horizontal="center" vertical="center"/>
    </xf>
    <xf numFmtId="168" fontId="26" fillId="0" borderId="0" xfId="46" applyNumberFormat="1" applyFont="1" applyProtection="1">
      <protection locked="0"/>
    </xf>
    <xf numFmtId="0" fontId="30" fillId="0" borderId="0" xfId="45" applyFont="1" applyAlignment="1">
      <alignment horizontal="center" vertical="center" wrapText="1"/>
    </xf>
    <xf numFmtId="0" fontId="31" fillId="0" borderId="0" xfId="45" applyFont="1" applyAlignment="1">
      <alignment horizontal="center" vertical="center"/>
    </xf>
    <xf numFmtId="166" fontId="32" fillId="0" borderId="0" xfId="45" applyNumberFormat="1" applyFont="1" applyAlignment="1">
      <alignment horizontal="center" vertical="center"/>
    </xf>
    <xf numFmtId="166" fontId="33" fillId="0" borderId="0" xfId="45" applyNumberFormat="1" applyFont="1" applyAlignment="1">
      <alignment horizontal="center" vertical="center"/>
    </xf>
    <xf numFmtId="166" fontId="35" fillId="0" borderId="0" xfId="45" applyNumberFormat="1" applyFont="1" applyAlignment="1">
      <alignment horizontal="center" vertical="center"/>
    </xf>
    <xf numFmtId="0" fontId="36" fillId="0" borderId="0" xfId="45" applyFont="1" applyAlignment="1">
      <alignment horizontal="center" vertical="center"/>
    </xf>
    <xf numFmtId="170" fontId="20" fillId="39" borderId="19" xfId="45" applyNumberFormat="1" applyFont="1" applyFill="1" applyBorder="1" applyAlignment="1">
      <alignment horizontal="center" vertical="center"/>
    </xf>
    <xf numFmtId="171" fontId="30" fillId="33" borderId="19" xfId="45" applyNumberFormat="1" applyFont="1" applyFill="1" applyBorder="1" applyAlignment="1">
      <alignment horizontal="center" vertical="center" textRotation="90"/>
    </xf>
    <xf numFmtId="171" fontId="30" fillId="33" borderId="19" xfId="45" applyNumberFormat="1" applyFont="1" applyFill="1" applyBorder="1" applyAlignment="1">
      <alignment horizontal="center" vertical="center" textRotation="90" wrapText="1"/>
    </xf>
    <xf numFmtId="0" fontId="21" fillId="39" borderId="21" xfId="43" applyFont="1" applyFill="1" applyBorder="1" applyAlignment="1">
      <alignment vertical="center"/>
    </xf>
    <xf numFmtId="171" fontId="20" fillId="39" borderId="21" xfId="45" applyNumberFormat="1" applyFont="1" applyFill="1" applyBorder="1" applyAlignment="1">
      <alignment vertical="center" textRotation="90"/>
    </xf>
    <xf numFmtId="171" fontId="20" fillId="39" borderId="22" xfId="45" applyNumberFormat="1" applyFont="1" applyFill="1" applyBorder="1" applyAlignment="1">
      <alignment vertical="center" textRotation="90"/>
    </xf>
    <xf numFmtId="171" fontId="20" fillId="39" borderId="23" xfId="45" applyNumberFormat="1" applyFont="1" applyFill="1" applyBorder="1" applyAlignment="1">
      <alignment vertical="center" textRotation="90"/>
    </xf>
    <xf numFmtId="0" fontId="26" fillId="39" borderId="19" xfId="43" applyFont="1" applyFill="1" applyBorder="1" applyProtection="1">
      <protection locked="0"/>
    </xf>
    <xf numFmtId="168" fontId="26" fillId="39" borderId="19" xfId="46" applyNumberFormat="1" applyFont="1" applyFill="1" applyBorder="1" applyProtection="1">
      <protection locked="0"/>
    </xf>
    <xf numFmtId="0" fontId="22" fillId="34" borderId="19" xfId="43" applyFont="1" applyFill="1" applyBorder="1" applyAlignment="1">
      <alignment horizontal="center" vertical="center"/>
    </xf>
    <xf numFmtId="0" fontId="23" fillId="35" borderId="19" xfId="43" applyFont="1" applyFill="1" applyBorder="1" applyAlignment="1">
      <alignment vertical="center"/>
    </xf>
    <xf numFmtId="0" fontId="37" fillId="0" borderId="19" xfId="43" applyFont="1" applyBorder="1" applyAlignment="1">
      <alignment horizontal="center" vertical="center"/>
    </xf>
    <xf numFmtId="0" fontId="38" fillId="34" borderId="19" xfId="43" applyFont="1" applyFill="1" applyBorder="1" applyAlignment="1">
      <alignment horizontal="center" vertical="center"/>
    </xf>
    <xf numFmtId="172" fontId="26" fillId="34" borderId="19" xfId="44" applyNumberFormat="1" applyFont="1" applyFill="1" applyBorder="1" applyProtection="1">
      <protection locked="0"/>
    </xf>
    <xf numFmtId="0" fontId="26" fillId="0" borderId="19" xfId="43" applyFont="1" applyBorder="1" applyProtection="1">
      <protection locked="0"/>
    </xf>
    <xf numFmtId="0" fontId="26" fillId="34" borderId="19" xfId="43" applyFont="1" applyFill="1" applyBorder="1" applyProtection="1">
      <protection locked="0"/>
    </xf>
    <xf numFmtId="168" fontId="38" fillId="34" borderId="19" xfId="46" applyNumberFormat="1" applyFont="1" applyFill="1" applyBorder="1" applyAlignment="1">
      <alignment horizontal="center" vertical="center"/>
    </xf>
    <xf numFmtId="0" fontId="26" fillId="34" borderId="19" xfId="43" applyFont="1" applyFill="1" applyBorder="1" applyAlignment="1" applyProtection="1">
      <alignment horizontal="center"/>
      <protection locked="0"/>
    </xf>
    <xf numFmtId="0" fontId="37" fillId="0" borderId="19" xfId="43" applyFont="1" applyBorder="1"/>
    <xf numFmtId="0" fontId="22" fillId="0" borderId="0" xfId="43" applyFont="1" applyAlignment="1">
      <alignment horizontal="center" vertical="center"/>
    </xf>
    <xf numFmtId="0" fontId="31" fillId="0" borderId="0" xfId="43" applyFont="1" applyAlignment="1">
      <alignment horizontal="center" vertical="center"/>
    </xf>
    <xf numFmtId="0" fontId="31" fillId="0" borderId="0" xfId="43" applyFont="1" applyAlignment="1">
      <alignment horizontal="left" vertical="center"/>
    </xf>
    <xf numFmtId="0" fontId="39" fillId="0" borderId="0" xfId="43" applyFont="1" applyAlignment="1">
      <alignment horizontal="center" vertical="center"/>
    </xf>
    <xf numFmtId="0" fontId="31" fillId="37" borderId="0" xfId="43" applyFont="1" applyFill="1" applyAlignment="1">
      <alignment horizontal="center" vertical="center"/>
    </xf>
    <xf numFmtId="0" fontId="31" fillId="40" borderId="0" xfId="43" applyFont="1" applyFill="1" applyAlignment="1">
      <alignment horizontal="center" vertical="center"/>
    </xf>
    <xf numFmtId="0" fontId="40" fillId="0" borderId="0" xfId="43" applyFont="1" applyAlignment="1">
      <alignment horizontal="center" vertical="center"/>
    </xf>
    <xf numFmtId="0" fontId="41" fillId="0" borderId="0" xfId="43" applyFont="1" applyAlignment="1">
      <alignment horizontal="center" vertical="center"/>
    </xf>
    <xf numFmtId="0" fontId="31" fillId="41" borderId="0" xfId="43" applyFont="1" applyFill="1" applyAlignment="1">
      <alignment horizontal="center" vertical="center"/>
    </xf>
    <xf numFmtId="0" fontId="21" fillId="0" borderId="0" xfId="43" applyFont="1" applyAlignment="1">
      <alignment horizontal="center" vertical="center"/>
    </xf>
    <xf numFmtId="0" fontId="31" fillId="42" borderId="0" xfId="43" applyFont="1" applyFill="1" applyAlignment="1">
      <alignment horizontal="center" vertical="center"/>
    </xf>
    <xf numFmtId="0" fontId="22" fillId="0" borderId="0" xfId="43" applyFont="1" applyAlignment="1">
      <alignment vertical="center"/>
    </xf>
    <xf numFmtId="14" fontId="0" fillId="0" borderId="0" xfId="0" applyNumberFormat="1"/>
    <xf numFmtId="14" fontId="19" fillId="0" borderId="14" xfId="0" applyNumberFormat="1" applyFont="1" applyBorder="1" applyAlignment="1">
      <alignment horizontal="center" vertical="center" wrapText="1"/>
    </xf>
    <xf numFmtId="49" fontId="19" fillId="0" borderId="0" xfId="0" applyNumberFormat="1" applyFont="1" applyAlignment="1">
      <alignment horizontal="center" wrapText="1"/>
    </xf>
    <xf numFmtId="0" fontId="18" fillId="0" borderId="0" xfId="0" applyFont="1" applyAlignment="1">
      <alignment horizontal="center" wrapText="1"/>
    </xf>
    <xf numFmtId="49" fontId="19" fillId="0" borderId="11" xfId="0" applyNumberFormat="1" applyFont="1" applyBorder="1" applyAlignment="1">
      <alignment horizontal="centerContinuous" wrapText="1"/>
    </xf>
    <xf numFmtId="49" fontId="19" fillId="0" borderId="12" xfId="0" applyNumberFormat="1" applyFont="1" applyBorder="1" applyAlignment="1">
      <alignment horizontal="centerContinuous" wrapText="1"/>
    </xf>
    <xf numFmtId="49" fontId="19" fillId="0" borderId="13" xfId="0" applyNumberFormat="1" applyFont="1" applyBorder="1" applyAlignment="1">
      <alignment horizontal="centerContinuous" wrapText="1"/>
    </xf>
    <xf numFmtId="0" fontId="21" fillId="0" borderId="0" xfId="43" applyFont="1" applyAlignment="1">
      <alignment horizontal="center" vertical="center"/>
    </xf>
    <xf numFmtId="0" fontId="20" fillId="33" borderId="20" xfId="45" applyFont="1" applyFill="1" applyBorder="1" applyAlignment="1">
      <alignment horizontal="center" vertical="center" wrapText="1"/>
    </xf>
    <xf numFmtId="0" fontId="20" fillId="33" borderId="15" xfId="45" applyFont="1" applyFill="1" applyBorder="1" applyAlignment="1">
      <alignment horizontal="center" vertical="center" wrapText="1"/>
    </xf>
    <xf numFmtId="0" fontId="20" fillId="33" borderId="19" xfId="45" applyFont="1" applyFill="1" applyBorder="1" applyAlignment="1">
      <alignment horizontal="center" vertical="center" wrapText="1"/>
    </xf>
    <xf numFmtId="168" fontId="20" fillId="33" borderId="19" xfId="46" applyNumberFormat="1" applyFont="1" applyFill="1" applyBorder="1" applyAlignment="1">
      <alignment horizontal="center" vertical="center" wrapText="1"/>
    </xf>
    <xf numFmtId="0" fontId="28" fillId="0" borderId="0" xfId="45" applyFont="1" applyAlignment="1">
      <alignment horizontal="center" vertical="center"/>
    </xf>
    <xf numFmtId="166" fontId="29" fillId="0" borderId="0" xfId="45" applyNumberFormat="1" applyFont="1" applyAlignment="1" applyProtection="1">
      <alignment horizontal="center" vertical="center"/>
      <protection locked="0"/>
    </xf>
    <xf numFmtId="169" fontId="34" fillId="38" borderId="18" xfId="45" applyNumberFormat="1" applyFont="1" applyFill="1" applyBorder="1" applyAlignment="1">
      <alignment horizontal="center" vertical="center"/>
    </xf>
    <xf numFmtId="0" fontId="34" fillId="38" borderId="18" xfId="45" applyFont="1" applyFill="1" applyBorder="1" applyAlignment="1">
      <alignment horizontal="center" vertical="center"/>
    </xf>
    <xf numFmtId="0" fontId="20" fillId="33" borderId="19" xfId="43" applyFont="1" applyFill="1" applyBorder="1" applyAlignment="1">
      <alignment horizontal="center" vertical="center"/>
    </xf>
    <xf numFmtId="0" fontId="21" fillId="33" borderId="19" xfId="43" applyFont="1" applyFill="1" applyBorder="1" applyAlignment="1">
      <alignment horizontal="center" vertical="center"/>
    </xf>
  </cellXfs>
  <cellStyles count="47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omma" xfId="44" builtinId="3"/>
    <cellStyle name="Comma [0]" xfId="1" builtinId="6"/>
    <cellStyle name="Comma 2" xfId="46" xr:uid="{F4903D79-8FEF-4B64-B795-FB367CEC1492}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552D2B0E-6E92-4F9B-B04C-B4F7E087AD95}"/>
    <cellStyle name="Normal_Bang cham cong tu dong" xfId="45" xr:uid="{092D5859-F51C-4368-A877-2CA01CD2A76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57">
    <dxf>
      <numFmt numFmtId="0" formatCode="General"/>
      <alignment horizontal="center" vertical="center" textRotation="0" wrapText="0" indent="0" justifyLastLine="0" shrinkToFit="0" readingOrder="0"/>
    </dxf>
    <dxf>
      <font>
        <condense val="0"/>
        <extend val="0"/>
        <color indexed="13"/>
      </font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theme="3" tint="0.499984740745262"/>
        </patternFill>
      </fill>
    </dxf>
    <dxf>
      <fill>
        <patternFill>
          <bgColor theme="9" tint="0.39994506668294322"/>
        </patternFill>
      </fill>
    </dxf>
    <dxf>
      <numFmt numFmtId="164" formatCode="[$-F400]h:mm:ss\ AM/PM"/>
    </dxf>
    <dxf>
      <numFmt numFmtId="164" formatCode="[$-F400]h:mm:ss\ AM/PM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fill>
        <patternFill patternType="solid">
          <fgColor indexed="64"/>
          <bgColor rgb="FFFFFFFF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fill>
        <patternFill patternType="solid">
          <fgColor indexed="64"/>
          <bgColor rgb="FFFFFFFF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left style="thin">
          <color indexed="64"/>
        </left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33" formatCode="_ * #,##0_)_ ;_ * \(#,##0\)_ ;_ * &quot;-&quot;_)_ ;_ @_ "/>
      <alignment horizontal="left" vertical="center" textRotation="0" wrapText="0" indent="0" justifyLastLine="0" shrinkToFit="0" readingOrder="0"/>
    </dxf>
    <dxf>
      <numFmt numFmtId="33" formatCode="_ * #,##0_)_ ;_ * \(#,##0\)_ ;_ * &quot;-&quot;_)_ ;_ @_ "/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</dxf>
    <dxf>
      <numFmt numFmtId="164" formatCode="[$-F400]h:mm:ss\ AM/PM"/>
    </dxf>
    <dxf>
      <numFmt numFmtId="164" formatCode="[$-F400]h:mm:ss\ AM/PM"/>
    </dxf>
    <dxf>
      <numFmt numFmtId="164" formatCode="[$-F400]h:mm:ss\ AM/PM"/>
    </dxf>
    <dxf>
      <numFmt numFmtId="164" formatCode="[$-F400]h:mm:ss\ AM/PM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0" formatCode="General"/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164" formatCode="[$-F400]h:mm:ss\ AM/PM"/>
      <alignment horizontal="center" vertical="bottom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</border>
    </dxf>
    <dxf>
      <alignment vertical="center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161925</xdr:colOff>
      <xdr:row>2</xdr:row>
      <xdr:rowOff>0</xdr:rowOff>
    </xdr:from>
    <xdr:to>
      <xdr:col>11</xdr:col>
      <xdr:colOff>161925</xdr:colOff>
      <xdr:row>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1D98348-1C63-48CA-9728-EAA26687B635}"/>
            </a:ext>
          </a:extLst>
        </xdr:cNvPr>
        <xdr:cNvSpPr>
          <a:spLocks noChangeShapeType="1"/>
        </xdr:cNvSpPr>
      </xdr:nvSpPr>
      <xdr:spPr bwMode="auto">
        <a:xfrm>
          <a:off x="6276975" y="44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247650</xdr:colOff>
          <xdr:row>0</xdr:row>
          <xdr:rowOff>0</xdr:rowOff>
        </xdr:from>
        <xdr:to>
          <xdr:col>15</xdr:col>
          <xdr:colOff>161925</xdr:colOff>
          <xdr:row>35</xdr:row>
          <xdr:rowOff>114300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3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9A43026-D252-46B6-9151-EA5C431A7DB4}" name="Table2" displayName="Table2" ref="A2:AJ242" totalsRowShown="0" headerRowDxfId="56" tableBorderDxfId="55">
  <autoFilter ref="A2:AJ242" xr:uid="{69A43026-D252-46B6-9151-EA5C431A7DB4}"/>
  <tableColumns count="36">
    <tableColumn id="1" xr3:uid="{BB862E94-C28F-4202-A621-40CFD1070CFA}" name="ID Người" dataDxfId="54"/>
    <tableColumn id="2" xr3:uid="{0BD185FF-77E1-4FFD-90C2-2CAD54BCCEF6}" name="Tên" dataDxfId="53"/>
    <tableColumn id="3" xr3:uid="{7713A2DA-4EF2-4F49-B49C-F7F9116AB2A8}" name="Bộ phận" dataDxfId="52"/>
    <tableColumn id="4" xr3:uid="{AB804768-7FB4-4892-8F40-F878885FC882}" name="Ngày" dataDxfId="51"/>
    <tableColumn id="5" xr3:uid="{2A23F28F-099B-4404-BE8C-5104EBF9DF0C}" name="Ca làm việc" dataDxfId="50"/>
    <tableColumn id="6" xr3:uid="{F43AB9EB-BC5B-4285-9C21-EFF01B60A422}" name="Thời gian biểu" dataDxfId="49"/>
    <tableColumn id="7" xr3:uid="{C0B8F5DB-8B7E-4F09-8592-4B463E0E518F}" name="Tình trạng chuyên cần" dataDxfId="48"/>
    <tableColumn id="8" xr3:uid="{6DA7A686-5E43-40A2-BE72-2932A61E0FE1}" name="Vào" dataDxfId="47"/>
    <tableColumn id="9" xr3:uid="{17274890-B857-4B21-9267-1EF4A26C3EA5}" name="Ra" dataDxfId="46"/>
    <tableColumn id="10" xr3:uid="{47401314-554B-4DFE-B561-D087A47DE836}" name="Muộn" dataDxfId="45"/>
    <tableColumn id="11" xr3:uid="{419444D8-FC33-4147-B971-94EF7048353C}" name="Đã tham dự" dataDxfId="44"/>
    <tableColumn id="12" xr3:uid="{11A31409-40B6-4D08-8E97-E4C8C9F7A68B}" name="Vắng mặt" dataDxfId="43"/>
    <tableColumn id="13" xr3:uid="{2006D5F9-2030-43E9-91E4-C95812D11967}" name="Đã làm việc" dataDxfId="42"/>
    <tableColumn id="14" xr3:uid="{E847D8B6-718A-44E7-AB94-04F489448C8F}" name="Thoát" dataDxfId="41"/>
    <tableColumn id="15" xr3:uid="{93A23DDC-0254-4173-8DD2-AFACD9554760}" name="Tăng ca 1" dataDxfId="40"/>
    <tableColumn id="16" xr3:uid="{5CABDF8B-C4BF-47DA-A98E-CB8493E06BF2}" name="Tăng ca 2" dataDxfId="39"/>
    <tableColumn id="17" xr3:uid="{60F7EDAD-4124-402C-ABAA-BF050EE0728F}" name="Tăng ca 3" dataDxfId="38"/>
    <tableColumn id="37" xr3:uid="{ABDFDDF8-D8FE-4E6D-BAC7-5E93C5C66A83}" name="Mã Do công" dataDxfId="37">
      <calculatedColumnFormula>A3&amp;U3</calculatedColumnFormula>
    </tableColumn>
    <tableColumn id="18" xr3:uid="{5F88F8DA-884B-4E1B-8CEE-3491F9CEA8AC}" name="Tên nhân viên">
      <calculatedColumnFormula>VLOOKUP(A3,Data_NV!$A:$C,3,0)</calculatedColumnFormula>
    </tableColumn>
    <tableColumn id="19" xr3:uid="{463115AE-AA69-45E0-A35E-9A45BB7EA09A}" name="Bộ phận2">
      <calculatedColumnFormula>VLOOKUP(A3,Data_NV!$A:$E,4,0)</calculatedColumnFormula>
    </tableColumn>
    <tableColumn id="35" xr3:uid="{4012BD37-1D14-4FEA-8F32-F32DE1DEAFC5}" name="Ngày chấm công" dataDxfId="36">
      <calculatedColumnFormula>DATEVALUE(Table2[[#This Row],[Ngày]])</calculatedColumnFormula>
    </tableColumn>
    <tableColumn id="20" xr3:uid="{379046A5-F4B1-45EE-9D42-C0A2F1531BCD}" name="Trạng thái">
      <calculatedColumnFormula>VLOOKUP(A3,Data_NV!$A:$E,5,0)</calculatedColumnFormula>
    </tableColumn>
    <tableColumn id="23" xr3:uid="{E11D05B9-0EBF-40D2-8789-8D2A1D146AE1}" name="Giờ vào HC" dataDxfId="35">
      <calculatedColumnFormula>VLOOKUP(A3,Data_NV!$A:$I,8,0)</calculatedColumnFormula>
    </tableColumn>
    <tableColumn id="24" xr3:uid="{627170BD-CC2C-48AF-A3B9-00FA26225659}" name="Giờ ra HC" dataDxfId="34">
      <calculatedColumnFormula>VLOOKUP(A3,Data_NV!$A:$I,9,0)</calculatedColumnFormula>
    </tableColumn>
    <tableColumn id="26" xr3:uid="{6E17ECA6-D272-46EA-8FAB-08A65E856033}" name="Giờ vao TT" dataDxfId="33">
      <calculatedColumnFormula>IFERROR(TIMEVALUE(Table2[[#This Row],[Vào]]),0)</calculatedColumnFormula>
    </tableColumn>
    <tableColumn id="25" xr3:uid="{DEDA3888-B791-4991-A8F4-D1FC97E08C92}" name="Giờ ra TT" dataDxfId="32">
      <calculatedColumnFormula>IFERROR(TIMEVALUE(Table2[[#This Row],[Ra]]),0)</calculatedColumnFormula>
    </tableColumn>
    <tableColumn id="21" xr3:uid="{8E55B1CA-63B8-4C1A-AE21-23A9610978AA}" name="Ngày công" dataDxfId="31">
      <calculatedColumnFormula>IF(OR(AND(Y3=0,Z3=0),AG3="Không chấm công do vi phạm quá 3 lần"),"",IF(OR(AG3="Trừ 1/2 ngày lương",AF3="Trừ 1/2 ngày lương",AB3&gt;=60),"1/2","x"))</calculatedColumnFormula>
    </tableColumn>
    <tableColumn id="22" xr3:uid="{47ED9F82-8B86-43A9-B0EE-B7D8C8499D70}" name="Muộn (Phút)" dataDxfId="30">
      <calculatedColumnFormula>IF(Y3&lt;=W3,0,ROUNDDOWN((Y3-W3)*24*60,0))</calculatedColumnFormula>
    </tableColumn>
    <tableColumn id="29" xr3:uid="{8A5F5DF0-E736-47CA-92D0-F490B81162C6}" name="Châm công" dataDxfId="29">
      <calculatedColumnFormula>IF(VLOOKUP(A3,Data_NV!$A:$I,7,0)="Không","",IF(OR(AND(Y3=0,Z3=0),AND(Y3&lt;&gt;0,Z3&lt;&gt;0)),"","Quên chấm công"))</calculatedColumnFormula>
    </tableColumn>
    <tableColumn id="28" xr3:uid="{6DB0A2FA-0148-4DB3-B7B2-A28D7B6BA95C}" name="Về sớm" dataDxfId="28">
      <calculatedColumnFormula>IF(VLOOKUP(A3,Data_NV!$A:$I,7,0)="Không",0,IF(AND(Y3=0,Z3=0),0,IF(X3&lt;=Z3,0,ROUNDDOWN((X3-Z3)*24*60,0))))</calculatedColumnFormula>
    </tableColumn>
    <tableColumn id="27" xr3:uid="{1DB9F942-A299-48AA-816A-C32C193E24C8}" name="Tăng ca (phút)" dataDxfId="27">
      <calculatedColumnFormula>IF(VLOOKUP(A3,Data_NV!$A:$I,6,0)="Không",0,IF(Z3&lt;=X3,0,ROUNDDOWN((Z3-X3)*24*60,0)))</calculatedColumnFormula>
    </tableColumn>
    <tableColumn id="30" xr3:uid="{BAB95E75-338D-4971-B92C-A9C2D39ACDD9}" name="Phạt muộn" dataDxfId="26" dataCellStyle="Comma [0]">
      <calculatedColumnFormula>IF(AB3&gt;60,"Trừ 1/2 ngày lương",IF(AB3&gt;15,50000,IF(AB3&gt;6,30000,0)))</calculatedColumnFormula>
    </tableColumn>
    <tableColumn id="34" xr3:uid="{E3CD53FE-A9FD-4C0E-BF1A-5B86AFE89C3B}" name="Phạt Quên chấm công" dataDxfId="25" dataCellStyle="Comma [0]">
      <calculatedColumnFormula>IF(AC3="","",IF(COUNTIFS($AC$3:AC3,"Quên chấm công",$S$3:S3,S3)&gt;3,"Không chấm công do vi phạm quá 3 lần",IF(COUNTIFS($AC$3:AC3,"Quên chấm công",$S$3:S3,S3)&gt;2,"Trừ toàn bộ chuyên cần tháng do vi phạm lần 3",IF(COUNTIFS($AC$3:AC3,"Quên chấm công",$S$3:S3,S3)&gt;1,"Trừ 1/2 ngày lương",50000))))</calculatedColumnFormula>
    </tableColumn>
    <tableColumn id="31" xr3:uid="{79978BF7-3689-4002-A635-9BD7FA4E9260}" name="Trừ lương do vi phạm" dataDxfId="0">
      <calculatedColumnFormula>IF(AF3=0,"",IF(COUNTIFS($AF$3:AF3,"&gt;0",$S$3:S3,S3)&gt;3,"Trừ toàn bộ chuyên cần tháng",""))</calculatedColumnFormula>
    </tableColumn>
    <tableColumn id="32" xr3:uid="{5F69CE8B-BE54-468A-8330-7BCD118B7209}" name="Ghi Chú" dataDxfId="24"/>
    <tableColumn id="33" xr3:uid="{28006EE6-7B82-4856-91F4-A46BFF68A4C0}" name="Trừ ngày lương" dataDxfId="23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DEEB7B5-F328-4E59-B2FC-7BFE65B9EB89}" name="Table1" displayName="Table1" ref="A1:I66" totalsRowShown="0" headerRowDxfId="22" headerRowBorderDxfId="21" tableBorderDxfId="20" headerRowCellStyle="Normal 2">
  <autoFilter ref="A1:I66" xr:uid="{EDEEB7B5-F328-4E59-B2FC-7BFE65B9EB89}"/>
  <tableColumns count="9">
    <tableColumn id="1" xr3:uid="{28B3DE7C-E72E-4CB6-A6A8-D01064BFA6AF}" name="ID" dataDxfId="19" dataCellStyle="Normal 2"/>
    <tableColumn id="2" xr3:uid="{35312885-B972-46CB-B124-B447B2202ADD}" name="STT" dataDxfId="18" dataCellStyle="Normal 2"/>
    <tableColumn id="3" xr3:uid="{34F4AB2D-0732-4B16-803D-4561E99F702C}" name="Họ và Tên " dataDxfId="17" dataCellStyle="Normal 2"/>
    <tableColumn id="4" xr3:uid="{7F2C4F1C-06DA-4D26-B37E-36F2A4BC6626}" name="Bộ phận" dataDxfId="16" dataCellStyle="Normal 2"/>
    <tableColumn id="5" xr3:uid="{3580CA74-BCBB-4337-9BC4-1B0E3967B478}" name="Trạng thái"/>
    <tableColumn id="6" xr3:uid="{5D38C5F6-AF3D-49A9-BF86-500594C48108}" name="Tăng ca"/>
    <tableColumn id="7" xr3:uid="{E1272746-23FE-40AD-B1E2-8007B373B8F0}" name="Chấm vân tay giờ về"/>
    <tableColumn id="8" xr3:uid="{56A759CA-040F-4DC4-9A11-B6ACD506FEE9}" name="Giờ vào HC" dataDxfId="15"/>
    <tableColumn id="9" xr3:uid="{3916B849-A234-487E-8060-FCED5E70F5BC}" name="Giờ Về" dataDxfId="1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A4E23-A01B-4367-9EC2-FB41B0BE8399}">
  <dimension ref="A1:AJ242"/>
  <sheetViews>
    <sheetView tabSelected="1" topLeftCell="S209" workbookViewId="0">
      <selection activeCell="AD218" sqref="AD218"/>
    </sheetView>
  </sheetViews>
  <sheetFormatPr defaultRowHeight="15" x14ac:dyDescent="0.25"/>
  <cols>
    <col min="1" max="1" width="12.140625" bestFit="1" customWidth="1"/>
    <col min="2" max="2" width="11" bestFit="1" customWidth="1"/>
    <col min="3" max="3" width="23" bestFit="1" customWidth="1"/>
    <col min="4" max="4" width="10.140625" bestFit="1" customWidth="1"/>
    <col min="5" max="5" width="11.7109375" customWidth="1"/>
    <col min="6" max="6" width="20.85546875" bestFit="1" customWidth="1"/>
    <col min="7" max="7" width="19.5703125" customWidth="1"/>
    <col min="8" max="8" width="11.42578125" style="11" bestFit="1" customWidth="1"/>
    <col min="9" max="10" width="7.85546875" bestFit="1" customWidth="1"/>
    <col min="11" max="11" width="11.7109375" customWidth="1"/>
    <col min="12" max="12" width="10" customWidth="1"/>
    <col min="13" max="13" width="11.7109375" customWidth="1"/>
    <col min="14" max="14" width="7.42578125" customWidth="1"/>
    <col min="15" max="17" width="10" customWidth="1"/>
    <col min="18" max="18" width="8" customWidth="1"/>
    <col min="19" max="19" width="19.7109375" bestFit="1" customWidth="1"/>
    <col min="20" max="20" width="12.140625" customWidth="1"/>
    <col min="21" max="21" width="12.140625" style="72" customWidth="1"/>
    <col min="22" max="22" width="13.42578125" bestFit="1" customWidth="1"/>
    <col min="23" max="23" width="13.7109375" style="11" bestFit="1" customWidth="1"/>
    <col min="24" max="24" width="13.42578125" style="11" customWidth="1"/>
    <col min="25" max="25" width="13.140625" style="11" bestFit="1" customWidth="1"/>
    <col min="26" max="26" width="11.85546875" style="11" bestFit="1" customWidth="1"/>
    <col min="28" max="28" width="9.140625" style="14"/>
    <col min="29" max="29" width="16" style="14" bestFit="1" customWidth="1"/>
    <col min="30" max="30" width="9.140625" style="14"/>
    <col min="32" max="32" width="18.140625" style="27" bestFit="1" customWidth="1"/>
    <col min="33" max="33" width="43.7109375" style="27" bestFit="1" customWidth="1"/>
    <col min="34" max="34" width="27.42578125" bestFit="1" customWidth="1"/>
  </cols>
  <sheetData>
    <row r="1" spans="1:36" ht="13.5" customHeight="1" x14ac:dyDescent="0.25">
      <c r="A1" s="76" t="s">
        <v>0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8"/>
      <c r="R1" s="74" t="s">
        <v>18</v>
      </c>
      <c r="S1" s="74" t="s">
        <v>103</v>
      </c>
      <c r="T1" s="74" t="s">
        <v>157</v>
      </c>
      <c r="U1" s="74" t="s">
        <v>273</v>
      </c>
      <c r="V1" s="74" t="s">
        <v>334</v>
      </c>
      <c r="W1" s="74" t="s">
        <v>391</v>
      </c>
      <c r="X1" s="74" t="s">
        <v>400</v>
      </c>
      <c r="Y1" s="74" t="s">
        <v>402</v>
      </c>
      <c r="Z1" s="74" t="s">
        <v>403</v>
      </c>
      <c r="AA1" s="74" t="s">
        <v>62</v>
      </c>
      <c r="AB1" s="74" t="s">
        <v>63</v>
      </c>
      <c r="AC1" s="74" t="s">
        <v>64</v>
      </c>
      <c r="AD1" s="74" t="s">
        <v>66</v>
      </c>
      <c r="AE1" s="74" t="s">
        <v>68</v>
      </c>
      <c r="AF1" s="74" t="s">
        <v>70</v>
      </c>
      <c r="AG1" s="74" t="s">
        <v>72</v>
      </c>
      <c r="AH1" s="74" t="s">
        <v>74</v>
      </c>
      <c r="AI1" s="74" t="s">
        <v>76</v>
      </c>
      <c r="AJ1" s="74" t="s">
        <v>78</v>
      </c>
    </row>
    <row r="2" spans="1:36" s="21" customFormat="1" ht="30" x14ac:dyDescent="0.25">
      <c r="A2" s="16" t="s">
        <v>1</v>
      </c>
      <c r="B2" s="17" t="s">
        <v>2</v>
      </c>
      <c r="C2" s="17" t="s">
        <v>3</v>
      </c>
      <c r="D2" s="17" t="s">
        <v>4</v>
      </c>
      <c r="E2" s="17" t="s">
        <v>5</v>
      </c>
      <c r="F2" s="17" t="s">
        <v>6</v>
      </c>
      <c r="G2" s="17" t="s">
        <v>7</v>
      </c>
      <c r="H2" s="18" t="s">
        <v>8</v>
      </c>
      <c r="I2" s="17" t="s">
        <v>9</v>
      </c>
      <c r="J2" s="17" t="s">
        <v>10</v>
      </c>
      <c r="K2" s="17" t="s">
        <v>11</v>
      </c>
      <c r="L2" s="17" t="s">
        <v>12</v>
      </c>
      <c r="M2" s="17" t="s">
        <v>13</v>
      </c>
      <c r="N2" s="17" t="s">
        <v>14</v>
      </c>
      <c r="O2" s="17" t="s">
        <v>15</v>
      </c>
      <c r="P2" s="17" t="s">
        <v>16</v>
      </c>
      <c r="Q2" s="17" t="s">
        <v>17</v>
      </c>
      <c r="R2" s="19" t="s">
        <v>520</v>
      </c>
      <c r="S2" s="19" t="s">
        <v>438</v>
      </c>
      <c r="T2" s="19" t="s">
        <v>444</v>
      </c>
      <c r="U2" s="73" t="s">
        <v>519</v>
      </c>
      <c r="V2" s="19" t="s">
        <v>443</v>
      </c>
      <c r="W2" s="20" t="s">
        <v>451</v>
      </c>
      <c r="X2" s="20" t="s">
        <v>452</v>
      </c>
      <c r="Y2" s="20" t="s">
        <v>454</v>
      </c>
      <c r="Z2" s="20" t="s">
        <v>455</v>
      </c>
      <c r="AA2" s="21" t="s">
        <v>449</v>
      </c>
      <c r="AB2" s="15" t="s">
        <v>450</v>
      </c>
      <c r="AC2" s="15" t="s">
        <v>482</v>
      </c>
      <c r="AD2" s="15" t="s">
        <v>107</v>
      </c>
      <c r="AE2" s="15" t="s">
        <v>456</v>
      </c>
      <c r="AF2" s="28" t="s">
        <v>486</v>
      </c>
      <c r="AG2" s="28" t="s">
        <v>487</v>
      </c>
      <c r="AH2" s="15" t="s">
        <v>483</v>
      </c>
      <c r="AI2" s="15" t="s">
        <v>484</v>
      </c>
      <c r="AJ2" s="15" t="s">
        <v>485</v>
      </c>
    </row>
    <row r="3" spans="1:36" x14ac:dyDescent="0.25">
      <c r="A3" s="4" t="s">
        <v>78</v>
      </c>
      <c r="B3" s="1" t="s">
        <v>79</v>
      </c>
      <c r="C3" s="1" t="s">
        <v>19</v>
      </c>
      <c r="D3" s="1" t="s">
        <v>20</v>
      </c>
      <c r="E3" s="1" t="s">
        <v>21</v>
      </c>
      <c r="F3" s="1" t="s">
        <v>22</v>
      </c>
      <c r="G3" s="1" t="s">
        <v>12</v>
      </c>
      <c r="H3" s="12" t="s">
        <v>23</v>
      </c>
      <c r="I3" s="1" t="s">
        <v>23</v>
      </c>
      <c r="J3" s="1" t="s">
        <v>24</v>
      </c>
      <c r="K3" s="1" t="s">
        <v>24</v>
      </c>
      <c r="L3" s="1" t="s">
        <v>25</v>
      </c>
      <c r="M3" s="1" t="s">
        <v>24</v>
      </c>
      <c r="N3" s="1" t="s">
        <v>24</v>
      </c>
      <c r="O3" s="1" t="s">
        <v>24</v>
      </c>
      <c r="P3" s="1" t="s">
        <v>24</v>
      </c>
      <c r="Q3" s="1" t="s">
        <v>24</v>
      </c>
      <c r="R3" s="75" t="str">
        <f t="shared" ref="R3:R32" si="0">A3&amp;U3</f>
        <v>1945901</v>
      </c>
      <c r="S3" t="str">
        <f>VLOOKUP(A3,Data_NV!$A:$C,3,0)</f>
        <v xml:space="preserve"> Hứa Thị Ngọc Thơ  </v>
      </c>
      <c r="T3" t="str">
        <f>VLOOKUP(A3,Data_NV!$A:$E,4,0)</f>
        <v>Kinh doanh</v>
      </c>
      <c r="U3" s="72">
        <f>DATEVALUE(Table2[[#This Row],[Ngày]])</f>
        <v>45901</v>
      </c>
      <c r="V3" t="str">
        <f>VLOOKUP(A3,Data_NV!$A:$E,5,0)</f>
        <v>Đang làm việc</v>
      </c>
      <c r="W3" s="11">
        <f>VLOOKUP(A3,Data_NV!$A:$I,8,0)</f>
        <v>0.33333333333333331</v>
      </c>
      <c r="X3" s="11">
        <f>VLOOKUP(A3,Data_NV!$A:$I,9,0)</f>
        <v>0.70833333333333337</v>
      </c>
      <c r="Y3" s="11">
        <f>IFERROR(TIMEVALUE(Table2[[#This Row],[Vào]]),0)</f>
        <v>0</v>
      </c>
      <c r="Z3" s="11">
        <f>IFERROR(TIMEVALUE(Table2[[#This Row],[Ra]]),0)</f>
        <v>0</v>
      </c>
      <c r="AA3" s="10" t="s">
        <v>508</v>
      </c>
      <c r="AB3" s="14">
        <f t="shared" ref="AB3:AB22" si="1">IF(Y3&lt;=W3,0,ROUNDDOWN((Y3-W3)*24*60,0))</f>
        <v>0</v>
      </c>
      <c r="AC3" s="14" t="str">
        <f>IF(VLOOKUP(A3,Data_NV!$A:$I,7,0)="Không","",IF(OR(AND(Y3=0,Z3=0),AND(Y3&lt;&gt;0,Z3&lt;&gt;0)),"","Quên chấm công"))</f>
        <v/>
      </c>
      <c r="AD3" s="14">
        <f>IF(VLOOKUP(A3,Data_NV!$A:$I,7,0)="Không",0,IF(AND(Y3=0,Z3=0),0,IF(X3&lt;=Z3,0,ROUNDDOWN((X3-Z3)*24*60,0))))</f>
        <v>0</v>
      </c>
      <c r="AE3" s="14">
        <f>IF(VLOOKUP(A3,Data_NV!$A:$I,6,0)="Không",0,IF(Z3&lt;=X3,0,ROUNDDOWN((Z3-X3)*24*60,0)))</f>
        <v>0</v>
      </c>
      <c r="AF3" s="29">
        <f t="shared" ref="AF3:AF32" si="2">IF(AB3&gt;60,"Trừ 1/2 ngày lương",IF(AB3&gt;15,50000,IF(AB3&gt;6,30000,0)))</f>
        <v>0</v>
      </c>
      <c r="AG3" s="30" t="str">
        <f>IF(AC3="","",IF(COUNTIFS($AC$3:AC3,"Quên chấm công",$S$3:S3,S3)&gt;3,"Không chấm công do vi phạm quá 3 lần",IF(COUNTIFS($AC$3:AC3,"Quên chấm công",$S$3:S3,S3)&gt;2,"Trừ toàn bộ chuyên cần tháng do vi phạm lần 3",IF(COUNTIFS($AC$3:AC3,"Quên chấm công",$S$3:S3,S3)&gt;1,"Trừ 1/2 ngày lương",50000))))</f>
        <v/>
      </c>
      <c r="AH3" s="14" t="str">
        <f>IF(AF3=0,"",IF(COUNTIFS($AF$3:AF3,"&gt;0",$S$3:S3,S3)&gt;3,"Trừ toàn bộ chuyên cần tháng",""))</f>
        <v/>
      </c>
      <c r="AI3" s="14"/>
      <c r="AJ3" s="14"/>
    </row>
    <row r="4" spans="1:36" x14ac:dyDescent="0.25">
      <c r="A4" s="4" t="s">
        <v>78</v>
      </c>
      <c r="B4" s="1" t="s">
        <v>79</v>
      </c>
      <c r="C4" s="1" t="s">
        <v>19</v>
      </c>
      <c r="D4" s="1" t="s">
        <v>26</v>
      </c>
      <c r="E4" s="1" t="s">
        <v>21</v>
      </c>
      <c r="F4" s="1" t="s">
        <v>22</v>
      </c>
      <c r="G4" s="1" t="s">
        <v>12</v>
      </c>
      <c r="H4" s="12" t="s">
        <v>23</v>
      </c>
      <c r="I4" s="1" t="s">
        <v>23</v>
      </c>
      <c r="J4" s="1" t="s">
        <v>24</v>
      </c>
      <c r="K4" s="1" t="s">
        <v>24</v>
      </c>
      <c r="L4" s="1" t="s">
        <v>25</v>
      </c>
      <c r="M4" s="1" t="s">
        <v>24</v>
      </c>
      <c r="N4" s="1" t="s">
        <v>24</v>
      </c>
      <c r="O4" s="1" t="s">
        <v>24</v>
      </c>
      <c r="P4" s="1" t="s">
        <v>24</v>
      </c>
      <c r="Q4" s="1" t="s">
        <v>24</v>
      </c>
      <c r="R4" s="75" t="str">
        <f t="shared" si="0"/>
        <v>1945902</v>
      </c>
      <c r="S4" t="str">
        <f>VLOOKUP(A4,Data_NV!$A:$C,3,0)</f>
        <v xml:space="preserve"> Hứa Thị Ngọc Thơ  </v>
      </c>
      <c r="T4" t="str">
        <f>VLOOKUP(A4,Data_NV!$A:$E,4,0)</f>
        <v>Kinh doanh</v>
      </c>
      <c r="U4" s="72">
        <f>DATEVALUE(Table2[[#This Row],[Ngày]])</f>
        <v>45902</v>
      </c>
      <c r="V4" t="str">
        <f>VLOOKUP(A4,Data_NV!$A:$E,5,0)</f>
        <v>Đang làm việc</v>
      </c>
      <c r="W4" s="11">
        <f>VLOOKUP(A4,Data_NV!$A:$I,8,0)</f>
        <v>0.33333333333333331</v>
      </c>
      <c r="X4" s="11">
        <f>VLOOKUP(A4,Data_NV!$A:$I,9,0)</f>
        <v>0.70833333333333337</v>
      </c>
      <c r="Y4" s="11">
        <f>IFERROR(TIMEVALUE(Table2[[#This Row],[Vào]]),0)</f>
        <v>0</v>
      </c>
      <c r="Z4" s="11">
        <f>IFERROR(TIMEVALUE(Table2[[#This Row],[Ra]]),0)</f>
        <v>0</v>
      </c>
      <c r="AA4" s="10" t="s">
        <v>508</v>
      </c>
      <c r="AB4" s="14">
        <f t="shared" si="1"/>
        <v>0</v>
      </c>
      <c r="AC4" s="14" t="str">
        <f>IF(VLOOKUP(A4,Data_NV!$A:$I,7,0)="Không","",IF(OR(AND(Y4=0,Z4=0),AND(Y4&lt;&gt;0,Z4&lt;&gt;0)),"","Quên chấm công"))</f>
        <v/>
      </c>
      <c r="AD4" s="14">
        <f>IF(VLOOKUP(A4,Data_NV!$A:$I,7,0)="Không",0,IF(AND(Y4=0,Z4=0),0,IF(X4&lt;=Z4,0,ROUNDDOWN((X4-Z4)*24*60,0))))</f>
        <v>0</v>
      </c>
      <c r="AE4" s="14">
        <f>IF(VLOOKUP(A4,Data_NV!$A:$I,6,0)="Không",0,IF(Z4&lt;=X4,0,ROUNDDOWN((Z4-X4)*24*60,0)))</f>
        <v>0</v>
      </c>
      <c r="AF4" s="29">
        <f t="shared" si="2"/>
        <v>0</v>
      </c>
      <c r="AG4" s="30" t="str">
        <f>IF(AC4="","",IF(COUNTIFS($AC$3:AC4,"Quên chấm công",$S$3:S4,S4)&gt;3,"Không chấm công do vi phạm quá 3 lần",IF(COUNTIFS($AC$3:AC4,"Quên chấm công",$S$3:S4,S4)&gt;2,"Trừ toàn bộ chuyên cần tháng do vi phạm lần 3",IF(COUNTIFS($AC$3:AC4,"Quên chấm công",$S$3:S4,S4)&gt;1,"Trừ 1/2 ngày lương",50000))))</f>
        <v/>
      </c>
      <c r="AH4" s="14" t="str">
        <f>IF(AF4=0,"",IF(COUNTIFS($AF$3:AF4,"&gt;0",$S$3:S4,S4)&gt;3,"Trừ toàn bộ chuyên cần tháng",""))</f>
        <v/>
      </c>
      <c r="AI4" s="14"/>
      <c r="AJ4" s="14"/>
    </row>
    <row r="5" spans="1:36" x14ac:dyDescent="0.25">
      <c r="A5" s="4" t="s">
        <v>78</v>
      </c>
      <c r="B5" s="1" t="s">
        <v>79</v>
      </c>
      <c r="C5" s="1" t="s">
        <v>19</v>
      </c>
      <c r="D5" s="1" t="s">
        <v>27</v>
      </c>
      <c r="E5" s="1" t="s">
        <v>21</v>
      </c>
      <c r="F5" s="1" t="s">
        <v>22</v>
      </c>
      <c r="G5" s="1" t="s">
        <v>12</v>
      </c>
      <c r="H5" s="12" t="s">
        <v>80</v>
      </c>
      <c r="I5" s="1" t="s">
        <v>23</v>
      </c>
      <c r="J5" s="1" t="s">
        <v>24</v>
      </c>
      <c r="K5" s="1" t="s">
        <v>24</v>
      </c>
      <c r="L5" s="1" t="s">
        <v>25</v>
      </c>
      <c r="M5" s="1" t="s">
        <v>24</v>
      </c>
      <c r="N5" s="1" t="s">
        <v>24</v>
      </c>
      <c r="O5" s="1" t="s">
        <v>24</v>
      </c>
      <c r="P5" s="1" t="s">
        <v>24</v>
      </c>
      <c r="Q5" s="1" t="s">
        <v>24</v>
      </c>
      <c r="R5" s="75" t="str">
        <f t="shared" si="0"/>
        <v>1945903</v>
      </c>
      <c r="S5" t="str">
        <f>VLOOKUP(A5,Data_NV!$A:$C,3,0)</f>
        <v xml:space="preserve"> Hứa Thị Ngọc Thơ  </v>
      </c>
      <c r="T5" t="str">
        <f>VLOOKUP(A5,Data_NV!$A:$E,4,0)</f>
        <v>Kinh doanh</v>
      </c>
      <c r="U5" s="72">
        <f>DATEVALUE(Table2[[#This Row],[Ngày]])</f>
        <v>45903</v>
      </c>
      <c r="V5" t="str">
        <f>VLOOKUP(A5,Data_NV!$A:$E,5,0)</f>
        <v>Đang làm việc</v>
      </c>
      <c r="W5" s="11">
        <f>VLOOKUP(A5,Data_NV!$A:$I,8,0)</f>
        <v>0.33333333333333331</v>
      </c>
      <c r="X5" s="11">
        <f>VLOOKUP(A5,Data_NV!$A:$I,9,0)</f>
        <v>0.70833333333333337</v>
      </c>
      <c r="Y5" s="11">
        <f>IFERROR(TIMEVALUE(Table2[[#This Row],[Vào]]),0)</f>
        <v>0.32128472222222221</v>
      </c>
      <c r="Z5" s="11">
        <f>IFERROR(TIMEVALUE(Table2[[#This Row],[Ra]]),0)</f>
        <v>0</v>
      </c>
      <c r="AA5" t="str">
        <f t="shared" ref="AA5:AA32" si="3">IF(OR(AND(Y5=0,Z5=0),AG5="Không chấm công do vi phạm quá 3 lần"),"",IF(OR(AG5="Trừ 1/2 ngày lương",AF5="Trừ 1/2 ngày lương",AB5&gt;=60),"1/2","x"))</f>
        <v>x</v>
      </c>
      <c r="AB5" s="14">
        <f t="shared" si="1"/>
        <v>0</v>
      </c>
      <c r="AC5" s="14" t="str">
        <f>IF(VLOOKUP(A5,Data_NV!$A:$I,7,0)="Không","",IF(OR(AND(Y5=0,Z5=0),AND(Y5&lt;&gt;0,Z5&lt;&gt;0)),"","Quên chấm công"))</f>
        <v/>
      </c>
      <c r="AD5" s="14">
        <f>IF(VLOOKUP(A5,Data_NV!$A:$I,7,0)="Không",0,IF(AND(Y5=0,Z5=0),0,IF(X5&lt;=Z5,0,ROUNDDOWN((X5-Z5)*24*60,0))))</f>
        <v>0</v>
      </c>
      <c r="AE5" s="14">
        <f>IF(VLOOKUP(A5,Data_NV!$A:$I,6,0)="Không",0,IF(Z5&lt;=X5,0,ROUNDDOWN((Z5-X5)*24*60,0)))</f>
        <v>0</v>
      </c>
      <c r="AF5" s="29">
        <f t="shared" si="2"/>
        <v>0</v>
      </c>
      <c r="AG5" s="30" t="str">
        <f>IF(AC5="","",IF(COUNTIFS($AC$3:AC5,"Quên chấm công",$S$3:S5,S5)&gt;3,"Không chấm công do vi phạm quá 3 lần",IF(COUNTIFS($AC$3:AC5,"Quên chấm công",$S$3:S5,S5)&gt;2,"Trừ toàn bộ chuyên cần tháng do vi phạm lần 3",IF(COUNTIFS($AC$3:AC5,"Quên chấm công",$S$3:S5,S5)&gt;1,"Trừ 1/2 ngày lương",50000))))</f>
        <v/>
      </c>
      <c r="AH5" s="14" t="str">
        <f>IF(AF5=0,"",IF(COUNTIFS($AF$3:AF5,"&gt;0",$S$3:S5,S5)&gt;3,"Trừ toàn bộ chuyên cần tháng",""))</f>
        <v/>
      </c>
      <c r="AI5" s="14"/>
      <c r="AJ5" s="14"/>
    </row>
    <row r="6" spans="1:36" x14ac:dyDescent="0.25">
      <c r="A6" s="4" t="s">
        <v>78</v>
      </c>
      <c r="B6" s="1" t="s">
        <v>79</v>
      </c>
      <c r="C6" s="1" t="s">
        <v>19</v>
      </c>
      <c r="D6" s="1" t="s">
        <v>31</v>
      </c>
      <c r="E6" s="1" t="s">
        <v>21</v>
      </c>
      <c r="F6" s="1" t="s">
        <v>22</v>
      </c>
      <c r="G6" s="1" t="s">
        <v>12</v>
      </c>
      <c r="H6" s="12" t="s">
        <v>81</v>
      </c>
      <c r="I6" s="1" t="s">
        <v>23</v>
      </c>
      <c r="J6" s="1" t="s">
        <v>24</v>
      </c>
      <c r="K6" s="1" t="s">
        <v>24</v>
      </c>
      <c r="L6" s="1" t="s">
        <v>25</v>
      </c>
      <c r="M6" s="1" t="s">
        <v>24</v>
      </c>
      <c r="N6" s="1" t="s">
        <v>24</v>
      </c>
      <c r="O6" s="1" t="s">
        <v>24</v>
      </c>
      <c r="P6" s="1" t="s">
        <v>24</v>
      </c>
      <c r="Q6" s="1" t="s">
        <v>24</v>
      </c>
      <c r="R6" s="75" t="str">
        <f t="shared" si="0"/>
        <v>1945904</v>
      </c>
      <c r="S6" t="str">
        <f>VLOOKUP(A6,Data_NV!$A:$C,3,0)</f>
        <v xml:space="preserve"> Hứa Thị Ngọc Thơ  </v>
      </c>
      <c r="T6" t="str">
        <f>VLOOKUP(A6,Data_NV!$A:$E,4,0)</f>
        <v>Kinh doanh</v>
      </c>
      <c r="U6" s="72">
        <f>DATEVALUE(Table2[[#This Row],[Ngày]])</f>
        <v>45904</v>
      </c>
      <c r="V6" t="str">
        <f>VLOOKUP(A6,Data_NV!$A:$E,5,0)</f>
        <v>Đang làm việc</v>
      </c>
      <c r="W6" s="11">
        <f>VLOOKUP(A6,Data_NV!$A:$I,8,0)</f>
        <v>0.33333333333333331</v>
      </c>
      <c r="X6" s="11">
        <f>VLOOKUP(A6,Data_NV!$A:$I,9,0)</f>
        <v>0.70833333333333337</v>
      </c>
      <c r="Y6" s="11">
        <f>IFERROR(TIMEVALUE(Table2[[#This Row],[Vào]]),0)</f>
        <v>0.33109953703703704</v>
      </c>
      <c r="Z6" s="11">
        <f>IFERROR(TIMEVALUE(Table2[[#This Row],[Ra]]),0)</f>
        <v>0</v>
      </c>
      <c r="AA6" t="str">
        <f t="shared" si="3"/>
        <v>x</v>
      </c>
      <c r="AB6" s="14">
        <f t="shared" si="1"/>
        <v>0</v>
      </c>
      <c r="AC6" s="14" t="str">
        <f>IF(VLOOKUP(A6,Data_NV!$A:$I,7,0)="Không","",IF(OR(AND(Y6=0,Z6=0),AND(Y6&lt;&gt;0,Z6&lt;&gt;0)),"","Quên chấm công"))</f>
        <v/>
      </c>
      <c r="AD6" s="14">
        <f>IF(VLOOKUP(A6,Data_NV!$A:$I,7,0)="Không",0,IF(AND(Y6=0,Z6=0),0,IF(X6&lt;=Z6,0,ROUNDDOWN((X6-Z6)*24*60,0))))</f>
        <v>0</v>
      </c>
      <c r="AE6" s="14">
        <f>IF(VLOOKUP(A6,Data_NV!$A:$I,6,0)="Không",0,IF(Z6&lt;=X6,0,ROUNDDOWN((Z6-X6)*24*60,0)))</f>
        <v>0</v>
      </c>
      <c r="AF6" s="29">
        <f t="shared" si="2"/>
        <v>0</v>
      </c>
      <c r="AG6" s="30" t="str">
        <f>IF(AC6="","",IF(COUNTIFS($AC$3:AC6,"Quên chấm công",$S$3:S6,S6)&gt;3,"Không chấm công do vi phạm quá 3 lần",IF(COUNTIFS($AC$3:AC6,"Quên chấm công",$S$3:S6,S6)&gt;2,"Trừ toàn bộ chuyên cần tháng do vi phạm lần 3",IF(COUNTIFS($AC$3:AC6,"Quên chấm công",$S$3:S6,S6)&gt;1,"Trừ 1/2 ngày lương",50000))))</f>
        <v/>
      </c>
      <c r="AH6" s="14" t="str">
        <f>IF(AF6=0,"",IF(COUNTIFS($AF$3:AF6,"&gt;0",$S$3:S6,S6)&gt;3,"Trừ toàn bộ chuyên cần tháng",""))</f>
        <v/>
      </c>
      <c r="AI6" s="14"/>
      <c r="AJ6" s="14"/>
    </row>
    <row r="7" spans="1:36" x14ac:dyDescent="0.25">
      <c r="A7" s="4" t="s">
        <v>78</v>
      </c>
      <c r="B7" s="1" t="s">
        <v>79</v>
      </c>
      <c r="C7" s="1" t="s">
        <v>19</v>
      </c>
      <c r="D7" s="1" t="s">
        <v>32</v>
      </c>
      <c r="E7" s="1" t="s">
        <v>21</v>
      </c>
      <c r="F7" s="1" t="s">
        <v>22</v>
      </c>
      <c r="G7" s="1" t="s">
        <v>12</v>
      </c>
      <c r="H7" s="12" t="s">
        <v>82</v>
      </c>
      <c r="I7" s="1" t="s">
        <v>23</v>
      </c>
      <c r="J7" s="1" t="s">
        <v>24</v>
      </c>
      <c r="K7" s="1" t="s">
        <v>24</v>
      </c>
      <c r="L7" s="1" t="s">
        <v>25</v>
      </c>
      <c r="M7" s="1" t="s">
        <v>24</v>
      </c>
      <c r="N7" s="1" t="s">
        <v>24</v>
      </c>
      <c r="O7" s="1" t="s">
        <v>24</v>
      </c>
      <c r="P7" s="1" t="s">
        <v>24</v>
      </c>
      <c r="Q7" s="1" t="s">
        <v>24</v>
      </c>
      <c r="R7" s="75" t="str">
        <f t="shared" si="0"/>
        <v>1945905</v>
      </c>
      <c r="S7" t="str">
        <f>VLOOKUP(A7,Data_NV!$A:$C,3,0)</f>
        <v xml:space="preserve"> Hứa Thị Ngọc Thơ  </v>
      </c>
      <c r="T7" t="str">
        <f>VLOOKUP(A7,Data_NV!$A:$E,4,0)</f>
        <v>Kinh doanh</v>
      </c>
      <c r="U7" s="72">
        <f>DATEVALUE(Table2[[#This Row],[Ngày]])</f>
        <v>45905</v>
      </c>
      <c r="V7" t="str">
        <f>VLOOKUP(A7,Data_NV!$A:$E,5,0)</f>
        <v>Đang làm việc</v>
      </c>
      <c r="W7" s="11">
        <f>VLOOKUP(A7,Data_NV!$A:$I,8,0)</f>
        <v>0.33333333333333331</v>
      </c>
      <c r="X7" s="11">
        <f>VLOOKUP(A7,Data_NV!$A:$I,9,0)</f>
        <v>0.70833333333333337</v>
      </c>
      <c r="Y7" s="11">
        <f>IFERROR(TIMEVALUE(Table2[[#This Row],[Vào]]),0)</f>
        <v>0.32405092592592594</v>
      </c>
      <c r="Z7" s="11">
        <f>IFERROR(TIMEVALUE(Table2[[#This Row],[Ra]]),0)</f>
        <v>0</v>
      </c>
      <c r="AA7" t="str">
        <f t="shared" si="3"/>
        <v>x</v>
      </c>
      <c r="AB7" s="14">
        <f t="shared" si="1"/>
        <v>0</v>
      </c>
      <c r="AC7" s="14" t="str">
        <f>IF(VLOOKUP(A7,Data_NV!$A:$I,7,0)="Không","",IF(OR(AND(Y7=0,Z7=0),AND(Y7&lt;&gt;0,Z7&lt;&gt;0)),"","Quên chấm công"))</f>
        <v/>
      </c>
      <c r="AD7" s="14">
        <f>IF(VLOOKUP(A7,Data_NV!$A:$I,7,0)="Không",0,IF(AND(Y7=0,Z7=0),0,IF(X7&lt;=Z7,0,ROUNDDOWN((X7-Z7)*24*60,0))))</f>
        <v>0</v>
      </c>
      <c r="AE7" s="14">
        <f>IF(VLOOKUP(A7,Data_NV!$A:$I,6,0)="Không",0,IF(Z7&lt;=X7,0,ROUNDDOWN((Z7-X7)*24*60,0)))</f>
        <v>0</v>
      </c>
      <c r="AF7" s="29">
        <f t="shared" si="2"/>
        <v>0</v>
      </c>
      <c r="AG7" s="30" t="str">
        <f>IF(AC7="","",IF(COUNTIFS($AC$3:AC7,"Quên chấm công",$S$3:S7,S7)&gt;3,"Không chấm công do vi phạm quá 3 lần",IF(COUNTIFS($AC$3:AC7,"Quên chấm công",$S$3:S7,S7)&gt;2,"Trừ toàn bộ chuyên cần tháng do vi phạm lần 3",IF(COUNTIFS($AC$3:AC7,"Quên chấm công",$S$3:S7,S7)&gt;1,"Trừ 1/2 ngày lương",50000))))</f>
        <v/>
      </c>
      <c r="AH7" s="14" t="str">
        <f>IF(AF7=0,"",IF(COUNTIFS($AF$3:AF7,"&gt;0",$S$3:S7,S7)&gt;3,"Trừ toàn bộ chuyên cần tháng",""))</f>
        <v/>
      </c>
      <c r="AI7" s="14"/>
      <c r="AJ7" s="14"/>
    </row>
    <row r="8" spans="1:36" x14ac:dyDescent="0.25">
      <c r="A8" s="4" t="s">
        <v>78</v>
      </c>
      <c r="B8" s="1" t="s">
        <v>79</v>
      </c>
      <c r="C8" s="1" t="s">
        <v>19</v>
      </c>
      <c r="D8" s="1" t="s">
        <v>33</v>
      </c>
      <c r="E8" s="1" t="s">
        <v>21</v>
      </c>
      <c r="F8" s="1" t="s">
        <v>22</v>
      </c>
      <c r="G8" s="1" t="s">
        <v>12</v>
      </c>
      <c r="H8" s="12" t="s">
        <v>83</v>
      </c>
      <c r="I8" s="1" t="s">
        <v>23</v>
      </c>
      <c r="J8" s="1" t="s">
        <v>24</v>
      </c>
      <c r="K8" s="1" t="s">
        <v>24</v>
      </c>
      <c r="L8" s="1" t="s">
        <v>25</v>
      </c>
      <c r="M8" s="1" t="s">
        <v>24</v>
      </c>
      <c r="N8" s="1" t="s">
        <v>24</v>
      </c>
      <c r="O8" s="1" t="s">
        <v>24</v>
      </c>
      <c r="P8" s="1" t="s">
        <v>24</v>
      </c>
      <c r="Q8" s="1" t="s">
        <v>24</v>
      </c>
      <c r="R8" s="75" t="str">
        <f t="shared" si="0"/>
        <v>1945906</v>
      </c>
      <c r="S8" t="str">
        <f>VLOOKUP(A8,Data_NV!$A:$C,3,0)</f>
        <v xml:space="preserve"> Hứa Thị Ngọc Thơ  </v>
      </c>
      <c r="T8" t="str">
        <f>VLOOKUP(A8,Data_NV!$A:$E,4,0)</f>
        <v>Kinh doanh</v>
      </c>
      <c r="U8" s="72">
        <f>DATEVALUE(Table2[[#This Row],[Ngày]])</f>
        <v>45906</v>
      </c>
      <c r="V8" t="str">
        <f>VLOOKUP(A8,Data_NV!$A:$E,5,0)</f>
        <v>Đang làm việc</v>
      </c>
      <c r="W8" s="11">
        <f>VLOOKUP(A8,Data_NV!$A:$I,8,0)</f>
        <v>0.33333333333333331</v>
      </c>
      <c r="X8" s="11">
        <f>VLOOKUP(A8,Data_NV!$A:$I,9,0)</f>
        <v>0.70833333333333337</v>
      </c>
      <c r="Y8" s="11">
        <f>IFERROR(TIMEVALUE(Table2[[#This Row],[Vào]]),0)</f>
        <v>0.32665509259259257</v>
      </c>
      <c r="Z8" s="11">
        <f>IFERROR(TIMEVALUE(Table2[[#This Row],[Ra]]),0)</f>
        <v>0</v>
      </c>
      <c r="AA8" t="str">
        <f t="shared" si="3"/>
        <v>x</v>
      </c>
      <c r="AB8" s="14">
        <f t="shared" si="1"/>
        <v>0</v>
      </c>
      <c r="AC8" s="14" t="str">
        <f>IF(VLOOKUP(A8,Data_NV!$A:$I,7,0)="Không","",IF(OR(AND(Y8=0,Z8=0),AND(Y8&lt;&gt;0,Z8&lt;&gt;0)),"","Quên chấm công"))</f>
        <v/>
      </c>
      <c r="AD8" s="14">
        <f>IF(VLOOKUP(A8,Data_NV!$A:$I,7,0)="Không",0,IF(AND(Y8=0,Z8=0),0,IF(X8&lt;=Z8,0,ROUNDDOWN((X8-Z8)*24*60,0))))</f>
        <v>0</v>
      </c>
      <c r="AE8" s="14">
        <f>IF(VLOOKUP(A8,Data_NV!$A:$I,6,0)="Không",0,IF(Z8&lt;=X8,0,ROUNDDOWN((Z8-X8)*24*60,0)))</f>
        <v>0</v>
      </c>
      <c r="AF8" s="29">
        <f t="shared" si="2"/>
        <v>0</v>
      </c>
      <c r="AG8" s="30" t="str">
        <f>IF(AC8="","",IF(COUNTIFS($AC$3:AC8,"Quên chấm công",$S$3:S8,S8)&gt;3,"Không chấm công do vi phạm quá 3 lần",IF(COUNTIFS($AC$3:AC8,"Quên chấm công",$S$3:S8,S8)&gt;2,"Trừ toàn bộ chuyên cần tháng do vi phạm lần 3",IF(COUNTIFS($AC$3:AC8,"Quên chấm công",$S$3:S8,S8)&gt;1,"Trừ 1/2 ngày lương",50000))))</f>
        <v/>
      </c>
      <c r="AH8" s="14" t="str">
        <f>IF(AF8=0,"",IF(COUNTIFS($AF$3:AF8,"&gt;0",$S$3:S8,S8)&gt;3,"Trừ toàn bộ chuyên cần tháng",""))</f>
        <v/>
      </c>
      <c r="AI8" s="14"/>
      <c r="AJ8" s="14"/>
    </row>
    <row r="9" spans="1:36" x14ac:dyDescent="0.25">
      <c r="A9" s="4" t="s">
        <v>78</v>
      </c>
      <c r="B9" s="1" t="s">
        <v>79</v>
      </c>
      <c r="C9" s="1" t="s">
        <v>19</v>
      </c>
      <c r="D9" s="1" t="s">
        <v>35</v>
      </c>
      <c r="E9" s="1" t="s">
        <v>21</v>
      </c>
      <c r="F9" s="1" t="s">
        <v>22</v>
      </c>
      <c r="G9" s="1" t="s">
        <v>12</v>
      </c>
      <c r="H9" s="12" t="s">
        <v>23</v>
      </c>
      <c r="I9" s="1" t="s">
        <v>23</v>
      </c>
      <c r="J9" s="1" t="s">
        <v>24</v>
      </c>
      <c r="K9" s="1" t="s">
        <v>24</v>
      </c>
      <c r="L9" s="1" t="s">
        <v>25</v>
      </c>
      <c r="M9" s="1" t="s">
        <v>24</v>
      </c>
      <c r="N9" s="1" t="s">
        <v>24</v>
      </c>
      <c r="O9" s="1" t="s">
        <v>24</v>
      </c>
      <c r="P9" s="1" t="s">
        <v>24</v>
      </c>
      <c r="Q9" s="1" t="s">
        <v>24</v>
      </c>
      <c r="R9" s="75" t="str">
        <f t="shared" si="0"/>
        <v>1945907</v>
      </c>
      <c r="S9" t="str">
        <f>VLOOKUP(A9,Data_NV!$A:$C,3,0)</f>
        <v xml:space="preserve"> Hứa Thị Ngọc Thơ  </v>
      </c>
      <c r="T9" t="str">
        <f>VLOOKUP(A9,Data_NV!$A:$E,4,0)</f>
        <v>Kinh doanh</v>
      </c>
      <c r="U9" s="72">
        <f>DATEVALUE(Table2[[#This Row],[Ngày]])</f>
        <v>45907</v>
      </c>
      <c r="V9" t="str">
        <f>VLOOKUP(A9,Data_NV!$A:$E,5,0)</f>
        <v>Đang làm việc</v>
      </c>
      <c r="W9" s="11">
        <f>VLOOKUP(A9,Data_NV!$A:$I,8,0)</f>
        <v>0.33333333333333331</v>
      </c>
      <c r="X9" s="11">
        <f>VLOOKUP(A9,Data_NV!$A:$I,9,0)</f>
        <v>0.70833333333333337</v>
      </c>
      <c r="Y9" s="11">
        <f>IFERROR(TIMEVALUE(Table2[[#This Row],[Vào]]),0)</f>
        <v>0</v>
      </c>
      <c r="Z9" s="11">
        <f>IFERROR(TIMEVALUE(Table2[[#This Row],[Ra]]),0)</f>
        <v>0</v>
      </c>
      <c r="AA9" t="str">
        <f t="shared" si="3"/>
        <v/>
      </c>
      <c r="AB9" s="14">
        <f t="shared" si="1"/>
        <v>0</v>
      </c>
      <c r="AC9" s="14" t="str">
        <f>IF(VLOOKUP(A9,Data_NV!$A:$I,7,0)="Không","",IF(OR(AND(Y9=0,Z9=0),AND(Y9&lt;&gt;0,Z9&lt;&gt;0)),"","Quên chấm công"))</f>
        <v/>
      </c>
      <c r="AD9" s="14">
        <f>IF(VLOOKUP(A9,Data_NV!$A:$I,7,0)="Không",0,IF(AND(Y9=0,Z9=0),0,IF(X9&lt;=Z9,0,ROUNDDOWN((X9-Z9)*24*60,0))))</f>
        <v>0</v>
      </c>
      <c r="AE9" s="14">
        <f>IF(VLOOKUP(A9,Data_NV!$A:$I,6,0)="Không",0,IF(Z9&lt;=X9,0,ROUNDDOWN((Z9-X9)*24*60,0)))</f>
        <v>0</v>
      </c>
      <c r="AF9" s="29">
        <f t="shared" si="2"/>
        <v>0</v>
      </c>
      <c r="AG9" s="30" t="str">
        <f>IF(AC9="","",IF(COUNTIFS($AC$3:AC9,"Quên chấm công",$S$3:S9,S9)&gt;3,"Không chấm công do vi phạm quá 3 lần",IF(COUNTIFS($AC$3:AC9,"Quên chấm công",$S$3:S9,S9)&gt;2,"Trừ toàn bộ chuyên cần tháng do vi phạm lần 3",IF(COUNTIFS($AC$3:AC9,"Quên chấm công",$S$3:S9,S9)&gt;1,"Trừ 1/2 ngày lương",50000))))</f>
        <v/>
      </c>
      <c r="AH9" s="14" t="str">
        <f>IF(AF9=0,"",IF(COUNTIFS($AF$3:AF9,"&gt;0",$S$3:S9,S9)&gt;3,"Trừ toàn bộ chuyên cần tháng",""))</f>
        <v/>
      </c>
      <c r="AI9" s="14"/>
      <c r="AJ9" s="14"/>
    </row>
    <row r="10" spans="1:36" x14ac:dyDescent="0.25">
      <c r="A10" s="4" t="s">
        <v>78</v>
      </c>
      <c r="B10" s="1" t="s">
        <v>79</v>
      </c>
      <c r="C10" s="1" t="s">
        <v>19</v>
      </c>
      <c r="D10" s="1" t="s">
        <v>36</v>
      </c>
      <c r="E10" s="1" t="s">
        <v>21</v>
      </c>
      <c r="F10" s="1" t="s">
        <v>22</v>
      </c>
      <c r="G10" s="1" t="s">
        <v>12</v>
      </c>
      <c r="H10" s="12" t="s">
        <v>23</v>
      </c>
      <c r="I10" s="1" t="s">
        <v>23</v>
      </c>
      <c r="J10" s="1" t="s">
        <v>24</v>
      </c>
      <c r="K10" s="1" t="s">
        <v>24</v>
      </c>
      <c r="L10" s="1" t="s">
        <v>25</v>
      </c>
      <c r="M10" s="1" t="s">
        <v>24</v>
      </c>
      <c r="N10" s="1" t="s">
        <v>24</v>
      </c>
      <c r="O10" s="1" t="s">
        <v>24</v>
      </c>
      <c r="P10" s="1" t="s">
        <v>24</v>
      </c>
      <c r="Q10" s="1" t="s">
        <v>24</v>
      </c>
      <c r="R10" s="75" t="str">
        <f t="shared" si="0"/>
        <v>1945908</v>
      </c>
      <c r="S10" t="str">
        <f>VLOOKUP(A10,Data_NV!$A:$C,3,0)</f>
        <v xml:space="preserve"> Hứa Thị Ngọc Thơ  </v>
      </c>
      <c r="T10" t="str">
        <f>VLOOKUP(A10,Data_NV!$A:$E,4,0)</f>
        <v>Kinh doanh</v>
      </c>
      <c r="U10" s="72">
        <f>DATEVALUE(Table2[[#This Row],[Ngày]])</f>
        <v>45908</v>
      </c>
      <c r="V10" t="str">
        <f>VLOOKUP(A10,Data_NV!$A:$E,5,0)</f>
        <v>Đang làm việc</v>
      </c>
      <c r="W10" s="11">
        <f>VLOOKUP(A10,Data_NV!$A:$I,8,0)</f>
        <v>0.33333333333333331</v>
      </c>
      <c r="X10" s="11">
        <f>VLOOKUP(A10,Data_NV!$A:$I,9,0)</f>
        <v>0.70833333333333337</v>
      </c>
      <c r="Y10" s="11">
        <f>IFERROR(TIMEVALUE(Table2[[#This Row],[Vào]]),0)</f>
        <v>0</v>
      </c>
      <c r="Z10" s="11">
        <f>IFERROR(TIMEVALUE(Table2[[#This Row],[Ra]]),0)</f>
        <v>0</v>
      </c>
      <c r="AA10" t="str">
        <f t="shared" si="3"/>
        <v/>
      </c>
      <c r="AB10" s="14">
        <f t="shared" si="1"/>
        <v>0</v>
      </c>
      <c r="AC10" s="14" t="str">
        <f>IF(VLOOKUP(A10,Data_NV!$A:$I,7,0)="Không","",IF(OR(AND(Y10=0,Z10=0),AND(Y10&lt;&gt;0,Z10&lt;&gt;0)),"","Quên chấm công"))</f>
        <v/>
      </c>
      <c r="AD10" s="14">
        <f>IF(VLOOKUP(A10,Data_NV!$A:$I,7,0)="Không",0,IF(AND(Y10=0,Z10=0),0,IF(X10&lt;=Z10,0,ROUNDDOWN((X10-Z10)*24*60,0))))</f>
        <v>0</v>
      </c>
      <c r="AE10" s="14">
        <f>IF(VLOOKUP(A10,Data_NV!$A:$I,6,0)="Không",0,IF(Z10&lt;=X10,0,ROUNDDOWN((Z10-X10)*24*60,0)))</f>
        <v>0</v>
      </c>
      <c r="AF10" s="29">
        <f t="shared" si="2"/>
        <v>0</v>
      </c>
      <c r="AG10" s="30" t="str">
        <f>IF(AC10="","",IF(COUNTIFS($AC$3:AC10,"Quên chấm công",$S$3:S10,S10)&gt;3,"Không chấm công do vi phạm quá 3 lần",IF(COUNTIFS($AC$3:AC10,"Quên chấm công",$S$3:S10,S10)&gt;2,"Trừ toàn bộ chuyên cần tháng do vi phạm lần 3",IF(COUNTIFS($AC$3:AC10,"Quên chấm công",$S$3:S10,S10)&gt;1,"Trừ 1/2 ngày lương",50000))))</f>
        <v/>
      </c>
      <c r="AH10" s="14" t="str">
        <f>IF(AF10=0,"",IF(COUNTIFS($AF$3:AF10,"&gt;0",$S$3:S10,S10)&gt;3,"Trừ toàn bộ chuyên cần tháng",""))</f>
        <v/>
      </c>
      <c r="AI10" s="14"/>
      <c r="AJ10" s="14"/>
    </row>
    <row r="11" spans="1:36" x14ac:dyDescent="0.25">
      <c r="A11" s="4" t="s">
        <v>78</v>
      </c>
      <c r="B11" s="1" t="s">
        <v>79</v>
      </c>
      <c r="C11" s="1" t="s">
        <v>19</v>
      </c>
      <c r="D11" s="1" t="s">
        <v>37</v>
      </c>
      <c r="E11" s="1" t="s">
        <v>21</v>
      </c>
      <c r="F11" s="1" t="s">
        <v>22</v>
      </c>
      <c r="G11" s="1" t="s">
        <v>12</v>
      </c>
      <c r="H11" s="12" t="s">
        <v>84</v>
      </c>
      <c r="I11" s="1" t="s">
        <v>23</v>
      </c>
      <c r="J11" s="1" t="s">
        <v>24</v>
      </c>
      <c r="K11" s="1" t="s">
        <v>24</v>
      </c>
      <c r="L11" s="1" t="s">
        <v>25</v>
      </c>
      <c r="M11" s="1" t="s">
        <v>24</v>
      </c>
      <c r="N11" s="1" t="s">
        <v>24</v>
      </c>
      <c r="O11" s="1" t="s">
        <v>24</v>
      </c>
      <c r="P11" s="1" t="s">
        <v>24</v>
      </c>
      <c r="Q11" s="1" t="s">
        <v>24</v>
      </c>
      <c r="R11" s="75" t="str">
        <f t="shared" si="0"/>
        <v>1945909</v>
      </c>
      <c r="S11" t="str">
        <f>VLOOKUP(A11,Data_NV!$A:$C,3,0)</f>
        <v xml:space="preserve"> Hứa Thị Ngọc Thơ  </v>
      </c>
      <c r="T11" t="str">
        <f>VLOOKUP(A11,Data_NV!$A:$E,4,0)</f>
        <v>Kinh doanh</v>
      </c>
      <c r="U11" s="72">
        <f>DATEVALUE(Table2[[#This Row],[Ngày]])</f>
        <v>45909</v>
      </c>
      <c r="V11" t="str">
        <f>VLOOKUP(A11,Data_NV!$A:$E,5,0)</f>
        <v>Đang làm việc</v>
      </c>
      <c r="W11" s="11">
        <f>VLOOKUP(A11,Data_NV!$A:$I,8,0)</f>
        <v>0.33333333333333331</v>
      </c>
      <c r="X11" s="11">
        <f>VLOOKUP(A11,Data_NV!$A:$I,9,0)</f>
        <v>0.70833333333333337</v>
      </c>
      <c r="Y11" s="11">
        <f>IFERROR(TIMEVALUE(Table2[[#This Row],[Vào]]),0)</f>
        <v>0.32870370370370372</v>
      </c>
      <c r="Z11" s="11">
        <f>IFERROR(TIMEVALUE(Table2[[#This Row],[Ra]]),0)</f>
        <v>0</v>
      </c>
      <c r="AA11" t="str">
        <f t="shared" si="3"/>
        <v>x</v>
      </c>
      <c r="AB11" s="14">
        <f t="shared" si="1"/>
        <v>0</v>
      </c>
      <c r="AC11" s="14" t="str">
        <f>IF(VLOOKUP(A11,Data_NV!$A:$I,7,0)="Không","",IF(OR(AND(Y11=0,Z11=0),AND(Y11&lt;&gt;0,Z11&lt;&gt;0)),"","Quên chấm công"))</f>
        <v/>
      </c>
      <c r="AD11" s="14">
        <f>IF(VLOOKUP(A11,Data_NV!$A:$I,7,0)="Không",0,IF(AND(Y11=0,Z11=0),0,IF(X11&lt;=Z11,0,ROUNDDOWN((X11-Z11)*24*60,0))))</f>
        <v>0</v>
      </c>
      <c r="AE11" s="14">
        <f>IF(VLOOKUP(A11,Data_NV!$A:$I,6,0)="Không",0,IF(Z11&lt;=X11,0,ROUNDDOWN((Z11-X11)*24*60,0)))</f>
        <v>0</v>
      </c>
      <c r="AF11" s="29">
        <f t="shared" si="2"/>
        <v>0</v>
      </c>
      <c r="AG11" s="30" t="str">
        <f>IF(AC11="","",IF(COUNTIFS($AC$3:AC11,"Quên chấm công",$S$3:S11,S11)&gt;3,"Không chấm công do vi phạm quá 3 lần",IF(COUNTIFS($AC$3:AC11,"Quên chấm công",$S$3:S11,S11)&gt;2,"Trừ toàn bộ chuyên cần tháng do vi phạm lần 3",IF(COUNTIFS($AC$3:AC11,"Quên chấm công",$S$3:S11,S11)&gt;1,"Trừ 1/2 ngày lương",50000))))</f>
        <v/>
      </c>
      <c r="AH11" s="14" t="str">
        <f>IF(AF11=0,"",IF(COUNTIFS($AF$3:AF11,"&gt;0",$S$3:S11,S11)&gt;3,"Trừ toàn bộ chuyên cần tháng",""))</f>
        <v/>
      </c>
      <c r="AI11" s="14"/>
      <c r="AJ11" s="14"/>
    </row>
    <row r="12" spans="1:36" x14ac:dyDescent="0.25">
      <c r="A12" s="4" t="s">
        <v>78</v>
      </c>
      <c r="B12" s="1" t="s">
        <v>79</v>
      </c>
      <c r="C12" s="1" t="s">
        <v>19</v>
      </c>
      <c r="D12" s="1" t="s">
        <v>38</v>
      </c>
      <c r="E12" s="1" t="s">
        <v>21</v>
      </c>
      <c r="F12" s="1" t="s">
        <v>22</v>
      </c>
      <c r="G12" s="1" t="s">
        <v>12</v>
      </c>
      <c r="H12" s="12" t="s">
        <v>85</v>
      </c>
      <c r="I12" s="1" t="s">
        <v>23</v>
      </c>
      <c r="J12" s="1" t="s">
        <v>24</v>
      </c>
      <c r="K12" s="1" t="s">
        <v>24</v>
      </c>
      <c r="L12" s="1" t="s">
        <v>25</v>
      </c>
      <c r="M12" s="1" t="s">
        <v>24</v>
      </c>
      <c r="N12" s="1" t="s">
        <v>24</v>
      </c>
      <c r="O12" s="1" t="s">
        <v>24</v>
      </c>
      <c r="P12" s="1" t="s">
        <v>24</v>
      </c>
      <c r="Q12" s="1" t="s">
        <v>24</v>
      </c>
      <c r="R12" s="75" t="str">
        <f t="shared" si="0"/>
        <v>1945910</v>
      </c>
      <c r="S12" t="str">
        <f>VLOOKUP(A12,Data_NV!$A:$C,3,0)</f>
        <v xml:space="preserve"> Hứa Thị Ngọc Thơ  </v>
      </c>
      <c r="T12" t="str">
        <f>VLOOKUP(A12,Data_NV!$A:$E,4,0)</f>
        <v>Kinh doanh</v>
      </c>
      <c r="U12" s="72">
        <f>DATEVALUE(Table2[[#This Row],[Ngày]])</f>
        <v>45910</v>
      </c>
      <c r="V12" t="str">
        <f>VLOOKUP(A12,Data_NV!$A:$E,5,0)</f>
        <v>Đang làm việc</v>
      </c>
      <c r="W12" s="11">
        <f>VLOOKUP(A12,Data_NV!$A:$I,8,0)</f>
        <v>0.33333333333333331</v>
      </c>
      <c r="X12" s="11">
        <f>VLOOKUP(A12,Data_NV!$A:$I,9,0)</f>
        <v>0.70833333333333337</v>
      </c>
      <c r="Y12" s="11">
        <f>IFERROR(TIMEVALUE(Table2[[#This Row],[Vào]]),0)</f>
        <v>0.3244097222222222</v>
      </c>
      <c r="Z12" s="11">
        <f>IFERROR(TIMEVALUE(Table2[[#This Row],[Ra]]),0)</f>
        <v>0</v>
      </c>
      <c r="AA12" t="str">
        <f t="shared" si="3"/>
        <v>x</v>
      </c>
      <c r="AB12" s="14">
        <f t="shared" si="1"/>
        <v>0</v>
      </c>
      <c r="AC12" s="14" t="str">
        <f>IF(VLOOKUP(A12,Data_NV!$A:$I,7,0)="Không","",IF(OR(AND(Y12=0,Z12=0),AND(Y12&lt;&gt;0,Z12&lt;&gt;0)),"","Quên chấm công"))</f>
        <v/>
      </c>
      <c r="AD12" s="14">
        <f>IF(VLOOKUP(A12,Data_NV!$A:$I,7,0)="Không",0,IF(AND(Y12=0,Z12=0),0,IF(X12&lt;=Z12,0,ROUNDDOWN((X12-Z12)*24*60,0))))</f>
        <v>0</v>
      </c>
      <c r="AE12" s="14">
        <f>IF(VLOOKUP(A12,Data_NV!$A:$I,6,0)="Không",0,IF(Z12&lt;=X12,0,ROUNDDOWN((Z12-X12)*24*60,0)))</f>
        <v>0</v>
      </c>
      <c r="AF12" s="29">
        <f t="shared" si="2"/>
        <v>0</v>
      </c>
      <c r="AG12" s="30" t="str">
        <f>IF(AC12="","",IF(COUNTIFS($AC$3:AC12,"Quên chấm công",$S$3:S12,S12)&gt;3,"Không chấm công do vi phạm quá 3 lần",IF(COUNTIFS($AC$3:AC12,"Quên chấm công",$S$3:S12,S12)&gt;2,"Trừ toàn bộ chuyên cần tháng do vi phạm lần 3",IF(COUNTIFS($AC$3:AC12,"Quên chấm công",$S$3:S12,S12)&gt;1,"Trừ 1/2 ngày lương",50000))))</f>
        <v/>
      </c>
      <c r="AH12" s="14" t="str">
        <f>IF(AF12=0,"",IF(COUNTIFS($AF$3:AF12,"&gt;0",$S$3:S12,S12)&gt;3,"Trừ toàn bộ chuyên cần tháng",""))</f>
        <v/>
      </c>
      <c r="AI12" s="14"/>
      <c r="AJ12" s="14"/>
    </row>
    <row r="13" spans="1:36" x14ac:dyDescent="0.25">
      <c r="A13" s="4" t="s">
        <v>78</v>
      </c>
      <c r="B13" s="1" t="s">
        <v>79</v>
      </c>
      <c r="C13" s="1" t="s">
        <v>19</v>
      </c>
      <c r="D13" s="1" t="s">
        <v>39</v>
      </c>
      <c r="E13" s="1" t="s">
        <v>21</v>
      </c>
      <c r="F13" s="1" t="s">
        <v>22</v>
      </c>
      <c r="G13" s="1" t="s">
        <v>12</v>
      </c>
      <c r="H13" s="12" t="s">
        <v>86</v>
      </c>
      <c r="I13" s="1" t="s">
        <v>23</v>
      </c>
      <c r="J13" s="1" t="s">
        <v>24</v>
      </c>
      <c r="K13" s="1" t="s">
        <v>24</v>
      </c>
      <c r="L13" s="1" t="s">
        <v>25</v>
      </c>
      <c r="M13" s="1" t="s">
        <v>24</v>
      </c>
      <c r="N13" s="1" t="s">
        <v>24</v>
      </c>
      <c r="O13" s="1" t="s">
        <v>24</v>
      </c>
      <c r="P13" s="1" t="s">
        <v>24</v>
      </c>
      <c r="Q13" s="1" t="s">
        <v>24</v>
      </c>
      <c r="R13" s="75" t="str">
        <f t="shared" si="0"/>
        <v>1945911</v>
      </c>
      <c r="S13" t="str">
        <f>VLOOKUP(A13,Data_NV!$A:$C,3,0)</f>
        <v xml:space="preserve"> Hứa Thị Ngọc Thơ  </v>
      </c>
      <c r="T13" t="str">
        <f>VLOOKUP(A13,Data_NV!$A:$E,4,0)</f>
        <v>Kinh doanh</v>
      </c>
      <c r="U13" s="72">
        <f>DATEVALUE(Table2[[#This Row],[Ngày]])</f>
        <v>45911</v>
      </c>
      <c r="V13" t="str">
        <f>VLOOKUP(A13,Data_NV!$A:$E,5,0)</f>
        <v>Đang làm việc</v>
      </c>
      <c r="W13" s="11">
        <f>VLOOKUP(A13,Data_NV!$A:$I,8,0)</f>
        <v>0.33333333333333331</v>
      </c>
      <c r="X13" s="11">
        <f>VLOOKUP(A13,Data_NV!$A:$I,9,0)</f>
        <v>0.70833333333333337</v>
      </c>
      <c r="Y13" s="11">
        <f>IFERROR(TIMEVALUE(Table2[[#This Row],[Vào]]),0)</f>
        <v>0.33310185185185187</v>
      </c>
      <c r="Z13" s="11">
        <f>IFERROR(TIMEVALUE(Table2[[#This Row],[Ra]]),0)</f>
        <v>0</v>
      </c>
      <c r="AA13" t="str">
        <f t="shared" si="3"/>
        <v>x</v>
      </c>
      <c r="AB13" s="14">
        <f t="shared" si="1"/>
        <v>0</v>
      </c>
      <c r="AC13" s="14" t="str">
        <f>IF(VLOOKUP(A13,Data_NV!$A:$I,7,0)="Không","",IF(OR(AND(Y13=0,Z13=0),AND(Y13&lt;&gt;0,Z13&lt;&gt;0)),"","Quên chấm công"))</f>
        <v/>
      </c>
      <c r="AD13" s="14">
        <f>IF(VLOOKUP(A13,Data_NV!$A:$I,7,0)="Không",0,IF(AND(Y13=0,Z13=0),0,IF(X13&lt;=Z13,0,ROUNDDOWN((X13-Z13)*24*60,0))))</f>
        <v>0</v>
      </c>
      <c r="AE13" s="14">
        <f>IF(VLOOKUP(A13,Data_NV!$A:$I,6,0)="Không",0,IF(Z13&lt;=X13,0,ROUNDDOWN((Z13-X13)*24*60,0)))</f>
        <v>0</v>
      </c>
      <c r="AF13" s="29">
        <f t="shared" si="2"/>
        <v>0</v>
      </c>
      <c r="AG13" s="30" t="str">
        <f>IF(AC13="","",IF(COUNTIFS($AC$3:AC13,"Quên chấm công",$S$3:S13,S13)&gt;3,"Không chấm công do vi phạm quá 3 lần",IF(COUNTIFS($AC$3:AC13,"Quên chấm công",$S$3:S13,S13)&gt;2,"Trừ toàn bộ chuyên cần tháng do vi phạm lần 3",IF(COUNTIFS($AC$3:AC13,"Quên chấm công",$S$3:S13,S13)&gt;1,"Trừ 1/2 ngày lương",50000))))</f>
        <v/>
      </c>
      <c r="AH13" s="14" t="str">
        <f>IF(AF13=0,"",IF(COUNTIFS($AF$3:AF13,"&gt;0",$S$3:S13,S13)&gt;3,"Trừ toàn bộ chuyên cần tháng",""))</f>
        <v/>
      </c>
      <c r="AI13" s="14"/>
      <c r="AJ13" s="14"/>
    </row>
    <row r="14" spans="1:36" x14ac:dyDescent="0.25">
      <c r="A14" s="4" t="s">
        <v>78</v>
      </c>
      <c r="B14" s="1" t="s">
        <v>79</v>
      </c>
      <c r="C14" s="1" t="s">
        <v>19</v>
      </c>
      <c r="D14" s="1" t="s">
        <v>40</v>
      </c>
      <c r="E14" s="1" t="s">
        <v>21</v>
      </c>
      <c r="F14" s="1" t="s">
        <v>22</v>
      </c>
      <c r="G14" s="1" t="s">
        <v>12</v>
      </c>
      <c r="H14" s="12" t="s">
        <v>87</v>
      </c>
      <c r="I14" s="1" t="s">
        <v>23</v>
      </c>
      <c r="J14" s="1" t="s">
        <v>88</v>
      </c>
      <c r="K14" s="1" t="s">
        <v>24</v>
      </c>
      <c r="L14" s="1" t="s">
        <v>25</v>
      </c>
      <c r="M14" s="1" t="s">
        <v>24</v>
      </c>
      <c r="N14" s="1" t="s">
        <v>24</v>
      </c>
      <c r="O14" s="1" t="s">
        <v>24</v>
      </c>
      <c r="P14" s="1" t="s">
        <v>24</v>
      </c>
      <c r="Q14" s="1" t="s">
        <v>24</v>
      </c>
      <c r="R14" s="75" t="str">
        <f t="shared" si="0"/>
        <v>1945912</v>
      </c>
      <c r="S14" t="str">
        <f>VLOOKUP(A14,Data_NV!$A:$C,3,0)</f>
        <v xml:space="preserve"> Hứa Thị Ngọc Thơ  </v>
      </c>
      <c r="T14" t="str">
        <f>VLOOKUP(A14,Data_NV!$A:$E,4,0)</f>
        <v>Kinh doanh</v>
      </c>
      <c r="U14" s="72">
        <f>DATEVALUE(Table2[[#This Row],[Ngày]])</f>
        <v>45912</v>
      </c>
      <c r="V14" t="str">
        <f>VLOOKUP(A14,Data_NV!$A:$E,5,0)</f>
        <v>Đang làm việc</v>
      </c>
      <c r="W14" s="11">
        <f>VLOOKUP(A14,Data_NV!$A:$I,8,0)</f>
        <v>0.33333333333333331</v>
      </c>
      <c r="X14" s="11">
        <f>VLOOKUP(A14,Data_NV!$A:$I,9,0)</f>
        <v>0.70833333333333337</v>
      </c>
      <c r="Y14" s="11">
        <f>IFERROR(TIMEVALUE(Table2[[#This Row],[Vào]]),0)</f>
        <v>0.34086805555555555</v>
      </c>
      <c r="Z14" s="11">
        <f>IFERROR(TIMEVALUE(Table2[[#This Row],[Ra]]),0)</f>
        <v>0</v>
      </c>
      <c r="AA14" t="str">
        <f t="shared" si="3"/>
        <v>x</v>
      </c>
      <c r="AB14" s="14">
        <f t="shared" si="1"/>
        <v>10</v>
      </c>
      <c r="AC14" s="14" t="str">
        <f>IF(VLOOKUP(A14,Data_NV!$A:$I,7,0)="Không","",IF(OR(AND(Y14=0,Z14=0),AND(Y14&lt;&gt;0,Z14&lt;&gt;0)),"","Quên chấm công"))</f>
        <v/>
      </c>
      <c r="AD14" s="14">
        <f>IF(VLOOKUP(A14,Data_NV!$A:$I,7,0)="Không",0,IF(AND(Y14=0,Z14=0),0,IF(X14&lt;=Z14,0,ROUNDDOWN((X14-Z14)*24*60,0))))</f>
        <v>0</v>
      </c>
      <c r="AE14" s="14">
        <f>IF(VLOOKUP(A14,Data_NV!$A:$I,6,0)="Không",0,IF(Z14&lt;=X14,0,ROUNDDOWN((Z14-X14)*24*60,0)))</f>
        <v>0</v>
      </c>
      <c r="AF14" s="29">
        <f t="shared" si="2"/>
        <v>30000</v>
      </c>
      <c r="AG14" s="30" t="str">
        <f>IF(AC14="","",IF(COUNTIFS($AC$3:AC14,"Quên chấm công",$S$3:S14,S14)&gt;3,"Không chấm công do vi phạm quá 3 lần",IF(COUNTIFS($AC$3:AC14,"Quên chấm công",$S$3:S14,S14)&gt;2,"Trừ toàn bộ chuyên cần tháng do vi phạm lần 3",IF(COUNTIFS($AC$3:AC14,"Quên chấm công",$S$3:S14,S14)&gt;1,"Trừ 1/2 ngày lương",50000))))</f>
        <v/>
      </c>
      <c r="AH14" s="14" t="str">
        <f>IF(AF14=0,"",IF(COUNTIFS($AF$3:AF14,"&gt;0",$S$3:S14,S14)&gt;3,"Trừ toàn bộ chuyên cần tháng",""))</f>
        <v/>
      </c>
      <c r="AI14" s="14"/>
      <c r="AJ14" s="14"/>
    </row>
    <row r="15" spans="1:36" x14ac:dyDescent="0.25">
      <c r="A15" s="4" t="s">
        <v>78</v>
      </c>
      <c r="B15" s="1" t="s">
        <v>79</v>
      </c>
      <c r="C15" s="1" t="s">
        <v>19</v>
      </c>
      <c r="D15" s="1" t="s">
        <v>41</v>
      </c>
      <c r="E15" s="1" t="s">
        <v>21</v>
      </c>
      <c r="F15" s="1" t="s">
        <v>22</v>
      </c>
      <c r="G15" s="1" t="s">
        <v>12</v>
      </c>
      <c r="H15" s="12" t="s">
        <v>89</v>
      </c>
      <c r="I15" s="1" t="s">
        <v>23</v>
      </c>
      <c r="J15" s="1" t="s">
        <v>24</v>
      </c>
      <c r="K15" s="1" t="s">
        <v>24</v>
      </c>
      <c r="L15" s="1" t="s">
        <v>25</v>
      </c>
      <c r="M15" s="1" t="s">
        <v>24</v>
      </c>
      <c r="N15" s="1" t="s">
        <v>24</v>
      </c>
      <c r="O15" s="1" t="s">
        <v>24</v>
      </c>
      <c r="P15" s="1" t="s">
        <v>24</v>
      </c>
      <c r="Q15" s="1" t="s">
        <v>24</v>
      </c>
      <c r="R15" s="75" t="str">
        <f t="shared" si="0"/>
        <v>1945913</v>
      </c>
      <c r="S15" t="str">
        <f>VLOOKUP(A15,Data_NV!$A:$C,3,0)</f>
        <v xml:space="preserve"> Hứa Thị Ngọc Thơ  </v>
      </c>
      <c r="T15" t="str">
        <f>VLOOKUP(A15,Data_NV!$A:$E,4,0)</f>
        <v>Kinh doanh</v>
      </c>
      <c r="U15" s="72">
        <f>DATEVALUE(Table2[[#This Row],[Ngày]])</f>
        <v>45913</v>
      </c>
      <c r="V15" t="str">
        <f>VLOOKUP(A15,Data_NV!$A:$E,5,0)</f>
        <v>Đang làm việc</v>
      </c>
      <c r="W15" s="11">
        <f>VLOOKUP(A15,Data_NV!$A:$I,8,0)</f>
        <v>0.33333333333333331</v>
      </c>
      <c r="X15" s="11">
        <f>VLOOKUP(A15,Data_NV!$A:$I,9,0)</f>
        <v>0.70833333333333337</v>
      </c>
      <c r="Y15" s="11">
        <f>IFERROR(TIMEVALUE(Table2[[#This Row],[Vào]]),0)</f>
        <v>0.31722222222222224</v>
      </c>
      <c r="Z15" s="11">
        <f>IFERROR(TIMEVALUE(Table2[[#This Row],[Ra]]),0)</f>
        <v>0</v>
      </c>
      <c r="AA15" t="str">
        <f t="shared" si="3"/>
        <v>x</v>
      </c>
      <c r="AB15" s="14">
        <f t="shared" si="1"/>
        <v>0</v>
      </c>
      <c r="AC15" s="14" t="str">
        <f>IF(VLOOKUP(A15,Data_NV!$A:$I,7,0)="Không","",IF(OR(AND(Y15=0,Z15=0),AND(Y15&lt;&gt;0,Z15&lt;&gt;0)),"","Quên chấm công"))</f>
        <v/>
      </c>
      <c r="AD15" s="14">
        <f>IF(VLOOKUP(A15,Data_NV!$A:$I,7,0)="Không",0,IF(AND(Y15=0,Z15=0),0,IF(X15&lt;=Z15,0,ROUNDDOWN((X15-Z15)*24*60,0))))</f>
        <v>0</v>
      </c>
      <c r="AE15" s="14">
        <f>IF(VLOOKUP(A15,Data_NV!$A:$I,6,0)="Không",0,IF(Z15&lt;=X15,0,ROUNDDOWN((Z15-X15)*24*60,0)))</f>
        <v>0</v>
      </c>
      <c r="AF15" s="29">
        <f t="shared" si="2"/>
        <v>0</v>
      </c>
      <c r="AG15" s="30" t="str">
        <f>IF(AC15="","",IF(COUNTIFS($AC$3:AC15,"Quên chấm công",$S$3:S15,S15)&gt;3,"Không chấm công do vi phạm quá 3 lần",IF(COUNTIFS($AC$3:AC15,"Quên chấm công",$S$3:S15,S15)&gt;2,"Trừ toàn bộ chuyên cần tháng do vi phạm lần 3",IF(COUNTIFS($AC$3:AC15,"Quên chấm công",$S$3:S15,S15)&gt;1,"Trừ 1/2 ngày lương",50000))))</f>
        <v/>
      </c>
      <c r="AH15" s="14" t="str">
        <f>IF(AF15=0,"",IF(COUNTIFS($AF$3:AF15,"&gt;0",$S$3:S15,S15)&gt;3,"Trừ toàn bộ chuyên cần tháng",""))</f>
        <v/>
      </c>
      <c r="AI15" s="14"/>
      <c r="AJ15" s="14"/>
    </row>
    <row r="16" spans="1:36" x14ac:dyDescent="0.25">
      <c r="A16" s="4" t="s">
        <v>78</v>
      </c>
      <c r="B16" s="1" t="s">
        <v>79</v>
      </c>
      <c r="C16" s="1" t="s">
        <v>19</v>
      </c>
      <c r="D16" s="1" t="s">
        <v>42</v>
      </c>
      <c r="E16" s="1" t="s">
        <v>21</v>
      </c>
      <c r="F16" s="1" t="s">
        <v>22</v>
      </c>
      <c r="G16" s="1" t="s">
        <v>12</v>
      </c>
      <c r="H16" s="12" t="s">
        <v>23</v>
      </c>
      <c r="I16" s="1" t="s">
        <v>23</v>
      </c>
      <c r="J16" s="1" t="s">
        <v>24</v>
      </c>
      <c r="K16" s="1" t="s">
        <v>24</v>
      </c>
      <c r="L16" s="1" t="s">
        <v>25</v>
      </c>
      <c r="M16" s="1" t="s">
        <v>24</v>
      </c>
      <c r="N16" s="1" t="s">
        <v>24</v>
      </c>
      <c r="O16" s="1" t="s">
        <v>24</v>
      </c>
      <c r="P16" s="1" t="s">
        <v>24</v>
      </c>
      <c r="Q16" s="1" t="s">
        <v>24</v>
      </c>
      <c r="R16" s="75" t="str">
        <f t="shared" si="0"/>
        <v>1945914</v>
      </c>
      <c r="S16" t="str">
        <f>VLOOKUP(A16,Data_NV!$A:$C,3,0)</f>
        <v xml:space="preserve"> Hứa Thị Ngọc Thơ  </v>
      </c>
      <c r="T16" t="str">
        <f>VLOOKUP(A16,Data_NV!$A:$E,4,0)</f>
        <v>Kinh doanh</v>
      </c>
      <c r="U16" s="72">
        <f>DATEVALUE(Table2[[#This Row],[Ngày]])</f>
        <v>45914</v>
      </c>
      <c r="V16" t="str">
        <f>VLOOKUP(A16,Data_NV!$A:$E,5,0)</f>
        <v>Đang làm việc</v>
      </c>
      <c r="W16" s="11">
        <f>VLOOKUP(A16,Data_NV!$A:$I,8,0)</f>
        <v>0.33333333333333331</v>
      </c>
      <c r="X16" s="11">
        <f>VLOOKUP(A16,Data_NV!$A:$I,9,0)</f>
        <v>0.70833333333333337</v>
      </c>
      <c r="Y16" s="11">
        <f>IFERROR(TIMEVALUE(Table2[[#This Row],[Vào]]),0)</f>
        <v>0</v>
      </c>
      <c r="Z16" s="11">
        <f>IFERROR(TIMEVALUE(Table2[[#This Row],[Ra]]),0)</f>
        <v>0</v>
      </c>
      <c r="AA16" t="str">
        <f t="shared" si="3"/>
        <v/>
      </c>
      <c r="AB16" s="14">
        <f t="shared" si="1"/>
        <v>0</v>
      </c>
      <c r="AC16" s="14" t="str">
        <f>IF(VLOOKUP(A16,Data_NV!$A:$I,7,0)="Không","",IF(OR(AND(Y16=0,Z16=0),AND(Y16&lt;&gt;0,Z16&lt;&gt;0)),"","Quên chấm công"))</f>
        <v/>
      </c>
      <c r="AD16" s="14">
        <f>IF(VLOOKUP(A16,Data_NV!$A:$I,7,0)="Không",0,IF(AND(Y16=0,Z16=0),0,IF(X16&lt;=Z16,0,ROUNDDOWN((X16-Z16)*24*60,0))))</f>
        <v>0</v>
      </c>
      <c r="AE16" s="14">
        <f>IF(VLOOKUP(A16,Data_NV!$A:$I,6,0)="Không",0,IF(Z16&lt;=X16,0,ROUNDDOWN((Z16-X16)*24*60,0)))</f>
        <v>0</v>
      </c>
      <c r="AF16" s="29">
        <f t="shared" si="2"/>
        <v>0</v>
      </c>
      <c r="AG16" s="30" t="str">
        <f>IF(AC16="","",IF(COUNTIFS($AC$3:AC16,"Quên chấm công",$S$3:S16,S16)&gt;3,"Không chấm công do vi phạm quá 3 lần",IF(COUNTIFS($AC$3:AC16,"Quên chấm công",$S$3:S16,S16)&gt;2,"Trừ toàn bộ chuyên cần tháng do vi phạm lần 3",IF(COUNTIFS($AC$3:AC16,"Quên chấm công",$S$3:S16,S16)&gt;1,"Trừ 1/2 ngày lương",50000))))</f>
        <v/>
      </c>
      <c r="AH16" s="14" t="str">
        <f>IF(AF16=0,"",IF(COUNTIFS($AF$3:AF16,"&gt;0",$S$3:S16,S16)&gt;3,"Trừ toàn bộ chuyên cần tháng",""))</f>
        <v/>
      </c>
      <c r="AI16" s="14"/>
      <c r="AJ16" s="14"/>
    </row>
    <row r="17" spans="1:36" x14ac:dyDescent="0.25">
      <c r="A17" s="4" t="s">
        <v>78</v>
      </c>
      <c r="B17" s="1" t="s">
        <v>79</v>
      </c>
      <c r="C17" s="1" t="s">
        <v>19</v>
      </c>
      <c r="D17" s="1" t="s">
        <v>43</v>
      </c>
      <c r="E17" s="1" t="s">
        <v>21</v>
      </c>
      <c r="F17" s="1" t="s">
        <v>22</v>
      </c>
      <c r="G17" s="1" t="s">
        <v>12</v>
      </c>
      <c r="H17" s="12" t="s">
        <v>23</v>
      </c>
      <c r="I17" s="1" t="s">
        <v>23</v>
      </c>
      <c r="J17" s="1" t="s">
        <v>24</v>
      </c>
      <c r="K17" s="1" t="s">
        <v>24</v>
      </c>
      <c r="L17" s="1" t="s">
        <v>25</v>
      </c>
      <c r="M17" s="1" t="s">
        <v>24</v>
      </c>
      <c r="N17" s="1" t="s">
        <v>24</v>
      </c>
      <c r="O17" s="1" t="s">
        <v>24</v>
      </c>
      <c r="P17" s="1" t="s">
        <v>24</v>
      </c>
      <c r="Q17" s="1" t="s">
        <v>24</v>
      </c>
      <c r="R17" s="75" t="str">
        <f t="shared" si="0"/>
        <v>1945915</v>
      </c>
      <c r="S17" t="str">
        <f>VLOOKUP(A17,Data_NV!$A:$C,3,0)</f>
        <v xml:space="preserve"> Hứa Thị Ngọc Thơ  </v>
      </c>
      <c r="T17" t="str">
        <f>VLOOKUP(A17,Data_NV!$A:$E,4,0)</f>
        <v>Kinh doanh</v>
      </c>
      <c r="U17" s="72">
        <f>DATEVALUE(Table2[[#This Row],[Ngày]])</f>
        <v>45915</v>
      </c>
      <c r="V17" t="str">
        <f>VLOOKUP(A17,Data_NV!$A:$E,5,0)</f>
        <v>Đang làm việc</v>
      </c>
      <c r="W17" s="11">
        <f>VLOOKUP(A17,Data_NV!$A:$I,8,0)</f>
        <v>0.33333333333333331</v>
      </c>
      <c r="X17" s="11">
        <f>VLOOKUP(A17,Data_NV!$A:$I,9,0)</f>
        <v>0.70833333333333337</v>
      </c>
      <c r="Y17" s="11">
        <f>IFERROR(TIMEVALUE(Table2[[#This Row],[Vào]]),0)</f>
        <v>0</v>
      </c>
      <c r="Z17" s="11">
        <f>IFERROR(TIMEVALUE(Table2[[#This Row],[Ra]]),0)</f>
        <v>0</v>
      </c>
      <c r="AA17" t="str">
        <f t="shared" si="3"/>
        <v/>
      </c>
      <c r="AB17" s="14">
        <f t="shared" si="1"/>
        <v>0</v>
      </c>
      <c r="AC17" s="14" t="str">
        <f>IF(VLOOKUP(A17,Data_NV!$A:$I,7,0)="Không","",IF(OR(AND(Y17=0,Z17=0),AND(Y17&lt;&gt;0,Z17&lt;&gt;0)),"","Quên chấm công"))</f>
        <v/>
      </c>
      <c r="AD17" s="14">
        <f>IF(VLOOKUP(A17,Data_NV!$A:$I,7,0)="Không",0,IF(AND(Y17=0,Z17=0),0,IF(X17&lt;=Z17,0,ROUNDDOWN((X17-Z17)*24*60,0))))</f>
        <v>0</v>
      </c>
      <c r="AE17" s="14">
        <f>IF(VLOOKUP(A17,Data_NV!$A:$I,6,0)="Không",0,IF(Z17&lt;=X17,0,ROUNDDOWN((Z17-X17)*24*60,0)))</f>
        <v>0</v>
      </c>
      <c r="AF17" s="29">
        <f t="shared" si="2"/>
        <v>0</v>
      </c>
      <c r="AG17" s="30" t="str">
        <f>IF(AC17="","",IF(COUNTIFS($AC$3:AC17,"Quên chấm công",$S$3:S17,S17)&gt;3,"Không chấm công do vi phạm quá 3 lần",IF(COUNTIFS($AC$3:AC17,"Quên chấm công",$S$3:S17,S17)&gt;2,"Trừ toàn bộ chuyên cần tháng do vi phạm lần 3",IF(COUNTIFS($AC$3:AC17,"Quên chấm công",$S$3:S17,S17)&gt;1,"Trừ 1/2 ngày lương",50000))))</f>
        <v/>
      </c>
      <c r="AH17" s="14" t="str">
        <f>IF(AF17=0,"",IF(COUNTIFS($AF$3:AF17,"&gt;0",$S$3:S17,S17)&gt;3,"Trừ toàn bộ chuyên cần tháng",""))</f>
        <v/>
      </c>
      <c r="AI17" s="14"/>
      <c r="AJ17" s="14"/>
    </row>
    <row r="18" spans="1:36" x14ac:dyDescent="0.25">
      <c r="A18" s="4" t="s">
        <v>78</v>
      </c>
      <c r="B18" s="1" t="s">
        <v>79</v>
      </c>
      <c r="C18" s="1" t="s">
        <v>19</v>
      </c>
      <c r="D18" s="1" t="s">
        <v>44</v>
      </c>
      <c r="E18" s="1" t="s">
        <v>21</v>
      </c>
      <c r="F18" s="1" t="s">
        <v>22</v>
      </c>
      <c r="G18" s="1" t="s">
        <v>12</v>
      </c>
      <c r="H18" s="12" t="s">
        <v>90</v>
      </c>
      <c r="I18" s="1" t="s">
        <v>23</v>
      </c>
      <c r="J18" s="1" t="s">
        <v>24</v>
      </c>
      <c r="K18" s="1" t="s">
        <v>24</v>
      </c>
      <c r="L18" s="1" t="s">
        <v>25</v>
      </c>
      <c r="M18" s="1" t="s">
        <v>24</v>
      </c>
      <c r="N18" s="1" t="s">
        <v>24</v>
      </c>
      <c r="O18" s="1" t="s">
        <v>24</v>
      </c>
      <c r="P18" s="1" t="s">
        <v>24</v>
      </c>
      <c r="Q18" s="1" t="s">
        <v>24</v>
      </c>
      <c r="R18" s="75" t="str">
        <f t="shared" si="0"/>
        <v>1945916</v>
      </c>
      <c r="S18" t="str">
        <f>VLOOKUP(A18,Data_NV!$A:$C,3,0)</f>
        <v xml:space="preserve"> Hứa Thị Ngọc Thơ  </v>
      </c>
      <c r="T18" t="str">
        <f>VLOOKUP(A18,Data_NV!$A:$E,4,0)</f>
        <v>Kinh doanh</v>
      </c>
      <c r="U18" s="72">
        <f>DATEVALUE(Table2[[#This Row],[Ngày]])</f>
        <v>45916</v>
      </c>
      <c r="V18" t="str">
        <f>VLOOKUP(A18,Data_NV!$A:$E,5,0)</f>
        <v>Đang làm việc</v>
      </c>
      <c r="W18" s="11">
        <f>VLOOKUP(A18,Data_NV!$A:$I,8,0)</f>
        <v>0.33333333333333331</v>
      </c>
      <c r="X18" s="11">
        <f>VLOOKUP(A18,Data_NV!$A:$I,9,0)</f>
        <v>0.70833333333333337</v>
      </c>
      <c r="Y18" s="11">
        <f>IFERROR(TIMEVALUE(Table2[[#This Row],[Vào]]),0)</f>
        <v>0.33089120370370373</v>
      </c>
      <c r="Z18" s="11">
        <f>IFERROR(TIMEVALUE(Table2[[#This Row],[Ra]]),0)</f>
        <v>0</v>
      </c>
      <c r="AA18" t="str">
        <f t="shared" si="3"/>
        <v>x</v>
      </c>
      <c r="AB18" s="14">
        <f t="shared" si="1"/>
        <v>0</v>
      </c>
      <c r="AC18" s="14" t="str">
        <f>IF(VLOOKUP(A18,Data_NV!$A:$I,7,0)="Không","",IF(OR(AND(Y18=0,Z18=0),AND(Y18&lt;&gt;0,Z18&lt;&gt;0)),"","Quên chấm công"))</f>
        <v/>
      </c>
      <c r="AD18" s="14">
        <f>IF(VLOOKUP(A18,Data_NV!$A:$I,7,0)="Không",0,IF(AND(Y18=0,Z18=0),0,IF(X18&lt;=Z18,0,ROUNDDOWN((X18-Z18)*24*60,0))))</f>
        <v>0</v>
      </c>
      <c r="AE18" s="14">
        <f>IF(VLOOKUP(A18,Data_NV!$A:$I,6,0)="Không",0,IF(Z18&lt;=X18,0,ROUNDDOWN((Z18-X18)*24*60,0)))</f>
        <v>0</v>
      </c>
      <c r="AF18" s="29">
        <f t="shared" si="2"/>
        <v>0</v>
      </c>
      <c r="AG18" s="30" t="str">
        <f>IF(AC18="","",IF(COUNTIFS($AC$3:AC18,"Quên chấm công",$S$3:S18,S18)&gt;3,"Không chấm công do vi phạm quá 3 lần",IF(COUNTIFS($AC$3:AC18,"Quên chấm công",$S$3:S18,S18)&gt;2,"Trừ toàn bộ chuyên cần tháng do vi phạm lần 3",IF(COUNTIFS($AC$3:AC18,"Quên chấm công",$S$3:S18,S18)&gt;1,"Trừ 1/2 ngày lương",50000))))</f>
        <v/>
      </c>
      <c r="AH18" s="14" t="str">
        <f>IF(AF18=0,"",IF(COUNTIFS($AF$3:AF18,"&gt;0",$S$3:S18,S18)&gt;3,"Trừ toàn bộ chuyên cần tháng",""))</f>
        <v/>
      </c>
      <c r="AI18" s="14"/>
      <c r="AJ18" s="14"/>
    </row>
    <row r="19" spans="1:36" x14ac:dyDescent="0.25">
      <c r="A19" s="4" t="s">
        <v>78</v>
      </c>
      <c r="B19" s="1" t="s">
        <v>79</v>
      </c>
      <c r="C19" s="1" t="s">
        <v>19</v>
      </c>
      <c r="D19" s="1" t="s">
        <v>45</v>
      </c>
      <c r="E19" s="1" t="s">
        <v>21</v>
      </c>
      <c r="F19" s="1" t="s">
        <v>22</v>
      </c>
      <c r="G19" s="1" t="s">
        <v>12</v>
      </c>
      <c r="H19" s="12" t="s">
        <v>91</v>
      </c>
      <c r="I19" s="1" t="s">
        <v>23</v>
      </c>
      <c r="J19" s="1" t="s">
        <v>24</v>
      </c>
      <c r="K19" s="1" t="s">
        <v>24</v>
      </c>
      <c r="L19" s="1" t="s">
        <v>25</v>
      </c>
      <c r="M19" s="1" t="s">
        <v>24</v>
      </c>
      <c r="N19" s="1" t="s">
        <v>24</v>
      </c>
      <c r="O19" s="1" t="s">
        <v>24</v>
      </c>
      <c r="P19" s="1" t="s">
        <v>24</v>
      </c>
      <c r="Q19" s="1" t="s">
        <v>24</v>
      </c>
      <c r="R19" s="75" t="str">
        <f t="shared" si="0"/>
        <v>1945917</v>
      </c>
      <c r="S19" t="str">
        <f>VLOOKUP(A19,Data_NV!$A:$C,3,0)</f>
        <v xml:space="preserve"> Hứa Thị Ngọc Thơ  </v>
      </c>
      <c r="T19" t="str">
        <f>VLOOKUP(A19,Data_NV!$A:$E,4,0)</f>
        <v>Kinh doanh</v>
      </c>
      <c r="U19" s="72">
        <f>DATEVALUE(Table2[[#This Row],[Ngày]])</f>
        <v>45917</v>
      </c>
      <c r="V19" t="str">
        <f>VLOOKUP(A19,Data_NV!$A:$E,5,0)</f>
        <v>Đang làm việc</v>
      </c>
      <c r="W19" s="11">
        <f>VLOOKUP(A19,Data_NV!$A:$I,8,0)</f>
        <v>0.33333333333333331</v>
      </c>
      <c r="X19" s="11">
        <f>VLOOKUP(A19,Data_NV!$A:$I,9,0)</f>
        <v>0.70833333333333337</v>
      </c>
      <c r="Y19" s="11">
        <f>IFERROR(TIMEVALUE(Table2[[#This Row],[Vào]]),0)</f>
        <v>0.32961805555555557</v>
      </c>
      <c r="Z19" s="11">
        <f>IFERROR(TIMEVALUE(Table2[[#This Row],[Ra]]),0)</f>
        <v>0</v>
      </c>
      <c r="AA19" t="str">
        <f t="shared" si="3"/>
        <v>x</v>
      </c>
      <c r="AB19" s="14">
        <f t="shared" si="1"/>
        <v>0</v>
      </c>
      <c r="AC19" s="14" t="str">
        <f>IF(VLOOKUP(A19,Data_NV!$A:$I,7,0)="Không","",IF(OR(AND(Y19=0,Z19=0),AND(Y19&lt;&gt;0,Z19&lt;&gt;0)),"","Quên chấm công"))</f>
        <v/>
      </c>
      <c r="AD19" s="14">
        <f>IF(VLOOKUP(A19,Data_NV!$A:$I,7,0)="Không",0,IF(AND(Y19=0,Z19=0),0,IF(X19&lt;=Z19,0,ROUNDDOWN((X19-Z19)*24*60,0))))</f>
        <v>0</v>
      </c>
      <c r="AE19" s="14">
        <f>IF(VLOOKUP(A19,Data_NV!$A:$I,6,0)="Không",0,IF(Z19&lt;=X19,0,ROUNDDOWN((Z19-X19)*24*60,0)))</f>
        <v>0</v>
      </c>
      <c r="AF19" s="29">
        <f t="shared" si="2"/>
        <v>0</v>
      </c>
      <c r="AG19" s="30" t="str">
        <f>IF(AC19="","",IF(COUNTIFS($AC$3:AC19,"Quên chấm công",$S$3:S19,S19)&gt;3,"Không chấm công do vi phạm quá 3 lần",IF(COUNTIFS($AC$3:AC19,"Quên chấm công",$S$3:S19,S19)&gt;2,"Trừ toàn bộ chuyên cần tháng do vi phạm lần 3",IF(COUNTIFS($AC$3:AC19,"Quên chấm công",$S$3:S19,S19)&gt;1,"Trừ 1/2 ngày lương",50000))))</f>
        <v/>
      </c>
      <c r="AH19" s="14" t="str">
        <f>IF(AF19=0,"",IF(COUNTIFS($AF$3:AF19,"&gt;0",$S$3:S19,S19)&gt;3,"Trừ toàn bộ chuyên cần tháng",""))</f>
        <v/>
      </c>
      <c r="AI19" s="14"/>
      <c r="AJ19" s="14"/>
    </row>
    <row r="20" spans="1:36" x14ac:dyDescent="0.25">
      <c r="A20" s="4" t="s">
        <v>78</v>
      </c>
      <c r="B20" s="1" t="s">
        <v>79</v>
      </c>
      <c r="C20" s="1" t="s">
        <v>19</v>
      </c>
      <c r="D20" s="1" t="s">
        <v>46</v>
      </c>
      <c r="E20" s="1" t="s">
        <v>21</v>
      </c>
      <c r="F20" s="1" t="s">
        <v>22</v>
      </c>
      <c r="G20" s="1" t="s">
        <v>12</v>
      </c>
      <c r="H20" s="12" t="s">
        <v>92</v>
      </c>
      <c r="I20" s="1" t="s">
        <v>23</v>
      </c>
      <c r="J20" s="1" t="s">
        <v>24</v>
      </c>
      <c r="K20" s="1" t="s">
        <v>24</v>
      </c>
      <c r="L20" s="1" t="s">
        <v>25</v>
      </c>
      <c r="M20" s="1" t="s">
        <v>24</v>
      </c>
      <c r="N20" s="1" t="s">
        <v>24</v>
      </c>
      <c r="O20" s="1" t="s">
        <v>24</v>
      </c>
      <c r="P20" s="1" t="s">
        <v>24</v>
      </c>
      <c r="Q20" s="1" t="s">
        <v>24</v>
      </c>
      <c r="R20" s="75" t="str">
        <f t="shared" si="0"/>
        <v>1945918</v>
      </c>
      <c r="S20" t="str">
        <f>VLOOKUP(A20,Data_NV!$A:$C,3,0)</f>
        <v xml:space="preserve"> Hứa Thị Ngọc Thơ  </v>
      </c>
      <c r="T20" t="str">
        <f>VLOOKUP(A20,Data_NV!$A:$E,4,0)</f>
        <v>Kinh doanh</v>
      </c>
      <c r="U20" s="72">
        <f>DATEVALUE(Table2[[#This Row],[Ngày]])</f>
        <v>45918</v>
      </c>
      <c r="V20" t="str">
        <f>VLOOKUP(A20,Data_NV!$A:$E,5,0)</f>
        <v>Đang làm việc</v>
      </c>
      <c r="W20" s="11">
        <f>VLOOKUP(A20,Data_NV!$A:$I,8,0)</f>
        <v>0.33333333333333331</v>
      </c>
      <c r="X20" s="11">
        <f>VLOOKUP(A20,Data_NV!$A:$I,9,0)</f>
        <v>0.70833333333333337</v>
      </c>
      <c r="Y20" s="11">
        <f>IFERROR(TIMEVALUE(Table2[[#This Row],[Vào]]),0)</f>
        <v>0.32814814814814813</v>
      </c>
      <c r="Z20" s="11">
        <f>IFERROR(TIMEVALUE(Table2[[#This Row],[Ra]]),0)</f>
        <v>0</v>
      </c>
      <c r="AA20" t="str">
        <f t="shared" si="3"/>
        <v>x</v>
      </c>
      <c r="AB20" s="14">
        <f t="shared" si="1"/>
        <v>0</v>
      </c>
      <c r="AC20" s="14" t="str">
        <f>IF(VLOOKUP(A20,Data_NV!$A:$I,7,0)="Không","",IF(OR(AND(Y20=0,Z20=0),AND(Y20&lt;&gt;0,Z20&lt;&gt;0)),"","Quên chấm công"))</f>
        <v/>
      </c>
      <c r="AD20" s="14">
        <f>IF(VLOOKUP(A20,Data_NV!$A:$I,7,0)="Không",0,IF(AND(Y20=0,Z20=0),0,IF(X20&lt;=Z20,0,ROUNDDOWN((X20-Z20)*24*60,0))))</f>
        <v>0</v>
      </c>
      <c r="AE20" s="14">
        <f>IF(VLOOKUP(A20,Data_NV!$A:$I,6,0)="Không",0,IF(Z20&lt;=X20,0,ROUNDDOWN((Z20-X20)*24*60,0)))</f>
        <v>0</v>
      </c>
      <c r="AF20" s="29">
        <f t="shared" si="2"/>
        <v>0</v>
      </c>
      <c r="AG20" s="30" t="str">
        <f>IF(AC20="","",IF(COUNTIFS($AC$3:AC20,"Quên chấm công",$S$3:S20,S20)&gt;3,"Không chấm công do vi phạm quá 3 lần",IF(COUNTIFS($AC$3:AC20,"Quên chấm công",$S$3:S20,S20)&gt;2,"Trừ toàn bộ chuyên cần tháng do vi phạm lần 3",IF(COUNTIFS($AC$3:AC20,"Quên chấm công",$S$3:S20,S20)&gt;1,"Trừ 1/2 ngày lương",50000))))</f>
        <v/>
      </c>
      <c r="AH20" s="14" t="str">
        <f>IF(AF20=0,"",IF(COUNTIFS($AF$3:AF20,"&gt;0",$S$3:S20,S20)&gt;3,"Trừ toàn bộ chuyên cần tháng",""))</f>
        <v/>
      </c>
      <c r="AI20" s="14"/>
      <c r="AJ20" s="14"/>
    </row>
    <row r="21" spans="1:36" x14ac:dyDescent="0.25">
      <c r="A21" s="4" t="s">
        <v>78</v>
      </c>
      <c r="B21" s="1" t="s">
        <v>79</v>
      </c>
      <c r="C21" s="1" t="s">
        <v>19</v>
      </c>
      <c r="D21" s="1" t="s">
        <v>48</v>
      </c>
      <c r="E21" s="1" t="s">
        <v>21</v>
      </c>
      <c r="F21" s="1" t="s">
        <v>22</v>
      </c>
      <c r="G21" s="1" t="s">
        <v>12</v>
      </c>
      <c r="H21" s="12" t="s">
        <v>93</v>
      </c>
      <c r="I21" s="1" t="s">
        <v>23</v>
      </c>
      <c r="J21" s="1" t="s">
        <v>24</v>
      </c>
      <c r="K21" s="1" t="s">
        <v>24</v>
      </c>
      <c r="L21" s="1" t="s">
        <v>25</v>
      </c>
      <c r="M21" s="1" t="s">
        <v>24</v>
      </c>
      <c r="N21" s="1" t="s">
        <v>24</v>
      </c>
      <c r="O21" s="1" t="s">
        <v>24</v>
      </c>
      <c r="P21" s="1" t="s">
        <v>24</v>
      </c>
      <c r="Q21" s="1" t="s">
        <v>24</v>
      </c>
      <c r="R21" s="75" t="str">
        <f t="shared" si="0"/>
        <v>1945919</v>
      </c>
      <c r="S21" t="str">
        <f>VLOOKUP(A21,Data_NV!$A:$C,3,0)</f>
        <v xml:space="preserve"> Hứa Thị Ngọc Thơ  </v>
      </c>
      <c r="T21" t="str">
        <f>VLOOKUP(A21,Data_NV!$A:$E,4,0)</f>
        <v>Kinh doanh</v>
      </c>
      <c r="U21" s="72">
        <f>DATEVALUE(Table2[[#This Row],[Ngày]])</f>
        <v>45919</v>
      </c>
      <c r="V21" t="str">
        <f>VLOOKUP(A21,Data_NV!$A:$E,5,0)</f>
        <v>Đang làm việc</v>
      </c>
      <c r="W21" s="11">
        <f>VLOOKUP(A21,Data_NV!$A:$I,8,0)</f>
        <v>0.33333333333333331</v>
      </c>
      <c r="X21" s="11">
        <f>VLOOKUP(A21,Data_NV!$A:$I,9,0)</f>
        <v>0.70833333333333337</v>
      </c>
      <c r="Y21" s="11">
        <f>IFERROR(TIMEVALUE(Table2[[#This Row],[Vào]]),0)</f>
        <v>0.32903935185185185</v>
      </c>
      <c r="Z21" s="11">
        <f>IFERROR(TIMEVALUE(Table2[[#This Row],[Ra]]),0)</f>
        <v>0</v>
      </c>
      <c r="AA21" t="str">
        <f t="shared" si="3"/>
        <v>x</v>
      </c>
      <c r="AB21" s="14">
        <f t="shared" si="1"/>
        <v>0</v>
      </c>
      <c r="AC21" s="14" t="str">
        <f>IF(VLOOKUP(A21,Data_NV!$A:$I,7,0)="Không","",IF(OR(AND(Y21=0,Z21=0),AND(Y21&lt;&gt;0,Z21&lt;&gt;0)),"","Quên chấm công"))</f>
        <v/>
      </c>
      <c r="AD21" s="14">
        <f>IF(VLOOKUP(A21,Data_NV!$A:$I,7,0)="Không",0,IF(AND(Y21=0,Z21=0),0,IF(X21&lt;=Z21,0,ROUNDDOWN((X21-Z21)*24*60,0))))</f>
        <v>0</v>
      </c>
      <c r="AE21" s="14">
        <f>IF(VLOOKUP(A21,Data_NV!$A:$I,6,0)="Không",0,IF(Z21&lt;=X21,0,ROUNDDOWN((Z21-X21)*24*60,0)))</f>
        <v>0</v>
      </c>
      <c r="AF21" s="29">
        <f t="shared" si="2"/>
        <v>0</v>
      </c>
      <c r="AG21" s="30" t="str">
        <f>IF(AC21="","",IF(COUNTIFS($AC$3:AC21,"Quên chấm công",$S$3:S21,S21)&gt;3,"Không chấm công do vi phạm quá 3 lần",IF(COUNTIFS($AC$3:AC21,"Quên chấm công",$S$3:S21,S21)&gt;2,"Trừ toàn bộ chuyên cần tháng do vi phạm lần 3",IF(COUNTIFS($AC$3:AC21,"Quên chấm công",$S$3:S21,S21)&gt;1,"Trừ 1/2 ngày lương",50000))))</f>
        <v/>
      </c>
      <c r="AH21" s="14" t="str">
        <f>IF(AF21=0,"",IF(COUNTIFS($AF$3:AF21,"&gt;0",$S$3:S21,S21)&gt;3,"Trừ toàn bộ chuyên cần tháng",""))</f>
        <v/>
      </c>
      <c r="AI21" s="14"/>
      <c r="AJ21" s="14"/>
    </row>
    <row r="22" spans="1:36" x14ac:dyDescent="0.25">
      <c r="A22" s="4" t="s">
        <v>78</v>
      </c>
      <c r="B22" s="1" t="s">
        <v>79</v>
      </c>
      <c r="C22" s="1" t="s">
        <v>19</v>
      </c>
      <c r="D22" s="1" t="s">
        <v>50</v>
      </c>
      <c r="E22" s="1" t="s">
        <v>21</v>
      </c>
      <c r="F22" s="1" t="s">
        <v>22</v>
      </c>
      <c r="G22" s="1" t="s">
        <v>12</v>
      </c>
      <c r="H22" s="12" t="s">
        <v>23</v>
      </c>
      <c r="I22" s="1" t="s">
        <v>23</v>
      </c>
      <c r="J22" s="1" t="s">
        <v>24</v>
      </c>
      <c r="K22" s="1" t="s">
        <v>24</v>
      </c>
      <c r="L22" s="1" t="s">
        <v>25</v>
      </c>
      <c r="M22" s="1" t="s">
        <v>24</v>
      </c>
      <c r="N22" s="1" t="s">
        <v>24</v>
      </c>
      <c r="O22" s="1" t="s">
        <v>24</v>
      </c>
      <c r="P22" s="1" t="s">
        <v>24</v>
      </c>
      <c r="Q22" s="1" t="s">
        <v>24</v>
      </c>
      <c r="R22" s="75" t="str">
        <f t="shared" si="0"/>
        <v>1945920</v>
      </c>
      <c r="S22" t="str">
        <f>VLOOKUP(A22,Data_NV!$A:$C,3,0)</f>
        <v xml:space="preserve"> Hứa Thị Ngọc Thơ  </v>
      </c>
      <c r="T22" t="str">
        <f>VLOOKUP(A22,Data_NV!$A:$E,4,0)</f>
        <v>Kinh doanh</v>
      </c>
      <c r="U22" s="72">
        <f>DATEVALUE(Table2[[#This Row],[Ngày]])</f>
        <v>45920</v>
      </c>
      <c r="V22" t="str">
        <f>VLOOKUP(A22,Data_NV!$A:$E,5,0)</f>
        <v>Đang làm việc</v>
      </c>
      <c r="W22" s="11">
        <f>VLOOKUP(A22,Data_NV!$A:$I,8,0)</f>
        <v>0.33333333333333331</v>
      </c>
      <c r="X22" s="11">
        <f>VLOOKUP(A22,Data_NV!$A:$I,9,0)</f>
        <v>0.70833333333333337</v>
      </c>
      <c r="Y22" s="11">
        <f>IFERROR(TIMEVALUE(Table2[[#This Row],[Vào]]),0)</f>
        <v>0</v>
      </c>
      <c r="Z22" s="11">
        <f>IFERROR(TIMEVALUE(Table2[[#This Row],[Ra]]),0)</f>
        <v>0</v>
      </c>
      <c r="AA22" t="str">
        <f t="shared" si="3"/>
        <v/>
      </c>
      <c r="AB22" s="14">
        <f t="shared" si="1"/>
        <v>0</v>
      </c>
      <c r="AC22" s="14" t="str">
        <f>IF(VLOOKUP(A22,Data_NV!$A:$I,7,0)="Không","",IF(OR(AND(Y22=0,Z22=0),AND(Y22&lt;&gt;0,Z22&lt;&gt;0)),"","Quên chấm công"))</f>
        <v/>
      </c>
      <c r="AD22" s="14">
        <f>IF(VLOOKUP(A22,Data_NV!$A:$I,7,0)="Không",0,IF(AND(Y22=0,Z22=0),0,IF(X22&lt;=Z22,0,ROUNDDOWN((X22-Z22)*24*60,0))))</f>
        <v>0</v>
      </c>
      <c r="AE22" s="14">
        <f>IF(VLOOKUP(A22,Data_NV!$A:$I,6,0)="Không",0,IF(Z22&lt;=X22,0,ROUNDDOWN((Z22-X22)*24*60,0)))</f>
        <v>0</v>
      </c>
      <c r="AF22" s="29">
        <f t="shared" si="2"/>
        <v>0</v>
      </c>
      <c r="AG22" s="30" t="str">
        <f>IF(AC22="","",IF(COUNTIFS($AC$3:AC22,"Quên chấm công",$S$3:S22,S22)&gt;3,"Không chấm công do vi phạm quá 3 lần",IF(COUNTIFS($AC$3:AC22,"Quên chấm công",$S$3:S22,S22)&gt;2,"Trừ toàn bộ chuyên cần tháng do vi phạm lần 3",IF(COUNTIFS($AC$3:AC22,"Quên chấm công",$S$3:S22,S22)&gt;1,"Trừ 1/2 ngày lương",50000))))</f>
        <v/>
      </c>
      <c r="AH22" s="14" t="str">
        <f>IF(AF22=0,"",IF(COUNTIFS($AF$3:AF22,"&gt;0",$S$3:S22,S22)&gt;3,"Trừ toàn bộ chuyên cần tháng",""))</f>
        <v/>
      </c>
      <c r="AI22" s="14"/>
      <c r="AJ22" s="14"/>
    </row>
    <row r="23" spans="1:36" x14ac:dyDescent="0.25">
      <c r="A23" s="4" t="s">
        <v>78</v>
      </c>
      <c r="B23" s="1" t="s">
        <v>79</v>
      </c>
      <c r="C23" s="1" t="s">
        <v>19</v>
      </c>
      <c r="D23" s="1" t="s">
        <v>51</v>
      </c>
      <c r="E23" s="1" t="s">
        <v>21</v>
      </c>
      <c r="F23" s="1" t="s">
        <v>22</v>
      </c>
      <c r="G23" s="1" t="s">
        <v>12</v>
      </c>
      <c r="H23" s="12" t="s">
        <v>23</v>
      </c>
      <c r="I23" s="1" t="s">
        <v>23</v>
      </c>
      <c r="J23" s="1" t="s">
        <v>24</v>
      </c>
      <c r="K23" s="1" t="s">
        <v>24</v>
      </c>
      <c r="L23" s="1" t="s">
        <v>25</v>
      </c>
      <c r="M23" s="1" t="s">
        <v>24</v>
      </c>
      <c r="N23" s="1" t="s">
        <v>24</v>
      </c>
      <c r="O23" s="1" t="s">
        <v>24</v>
      </c>
      <c r="P23" s="1" t="s">
        <v>24</v>
      </c>
      <c r="Q23" s="1" t="s">
        <v>24</v>
      </c>
      <c r="R23" s="75" t="str">
        <f t="shared" si="0"/>
        <v>1945921</v>
      </c>
      <c r="S23" t="str">
        <f>VLOOKUP(A23,Data_NV!$A:$C,3,0)</f>
        <v xml:space="preserve"> Hứa Thị Ngọc Thơ  </v>
      </c>
      <c r="T23" t="str">
        <f>VLOOKUP(A23,Data_NV!$A:$E,4,0)</f>
        <v>Kinh doanh</v>
      </c>
      <c r="U23" s="72">
        <f>DATEVALUE(Table2[[#This Row],[Ngày]])</f>
        <v>45921</v>
      </c>
      <c r="V23" t="str">
        <f>VLOOKUP(A23,Data_NV!$A:$E,5,0)</f>
        <v>Đang làm việc</v>
      </c>
      <c r="W23" s="11">
        <f>VLOOKUP(A23,Data_NV!$A:$I,8,0)</f>
        <v>0.33333333333333331</v>
      </c>
      <c r="X23" s="11">
        <f>VLOOKUP(A23,Data_NV!$A:$I,9,0)</f>
        <v>0.70833333333333337</v>
      </c>
      <c r="Y23" s="11">
        <f>IFERROR(TIMEVALUE(Table2[[#This Row],[Vào]]),0)</f>
        <v>0</v>
      </c>
      <c r="Z23" s="11">
        <f>IFERROR(TIMEVALUE(Table2[[#This Row],[Ra]]),0)</f>
        <v>0</v>
      </c>
      <c r="AA23" t="str">
        <f t="shared" si="3"/>
        <v/>
      </c>
      <c r="AB23" s="14">
        <f t="shared" ref="AB23:AB56" si="4">IF(Y23&lt;=W23,0,ROUNDDOWN((Y23-W23)*24*60,0))</f>
        <v>0</v>
      </c>
      <c r="AC23" s="14" t="str">
        <f>IF(VLOOKUP(A23,Data_NV!$A:$I,7,0)="Không","",IF(OR(AND(Y23=0,Z23=0),AND(Y23&lt;&gt;0,Z23&lt;&gt;0)),"","Quên chấm công"))</f>
        <v/>
      </c>
      <c r="AD23" s="14">
        <f>IF(VLOOKUP(A23,Data_NV!$A:$I,7,0)="Không",0,IF(AND(Y23=0,Z23=0),0,IF(X23&lt;=Z23,0,ROUNDDOWN((X23-Z23)*24*60,0))))</f>
        <v>0</v>
      </c>
      <c r="AE23" s="14">
        <f>IF(VLOOKUP(A23,Data_NV!$A:$I,6,0)="Không",0,IF(Z23&lt;=X23,0,ROUNDDOWN((Z23-X23)*24*60,0)))</f>
        <v>0</v>
      </c>
      <c r="AF23" s="29">
        <f t="shared" si="2"/>
        <v>0</v>
      </c>
      <c r="AG23" s="30" t="str">
        <f>IF(AC23="","",IF(COUNTIFS($AC$3:AC23,"Quên chấm công",$S$3:S23,S23)&gt;3,"Không chấm công do vi phạm quá 3 lần",IF(COUNTIFS($AC$3:AC23,"Quên chấm công",$S$3:S23,S23)&gt;2,"Trừ toàn bộ chuyên cần tháng do vi phạm lần 3",IF(COUNTIFS($AC$3:AC23,"Quên chấm công",$S$3:S23,S23)&gt;1,"Trừ 1/2 ngày lương",50000))))</f>
        <v/>
      </c>
      <c r="AH23" s="14" t="str">
        <f>IF(AF23=0,"",IF(COUNTIFS($AF$3:AF23,"&gt;0",$S$3:S23,S23)&gt;3,"Trừ toàn bộ chuyên cần tháng",""))</f>
        <v/>
      </c>
      <c r="AI23" s="14"/>
      <c r="AJ23" s="14"/>
    </row>
    <row r="24" spans="1:36" x14ac:dyDescent="0.25">
      <c r="A24" s="4" t="s">
        <v>78</v>
      </c>
      <c r="B24" s="1" t="s">
        <v>79</v>
      </c>
      <c r="C24" s="1" t="s">
        <v>19</v>
      </c>
      <c r="D24" s="1" t="s">
        <v>52</v>
      </c>
      <c r="E24" s="1" t="s">
        <v>21</v>
      </c>
      <c r="F24" s="1" t="s">
        <v>22</v>
      </c>
      <c r="G24" s="1" t="s">
        <v>12</v>
      </c>
      <c r="H24" s="12" t="s">
        <v>94</v>
      </c>
      <c r="I24" s="1" t="s">
        <v>23</v>
      </c>
      <c r="J24" s="1" t="s">
        <v>95</v>
      </c>
      <c r="K24" s="1" t="s">
        <v>24</v>
      </c>
      <c r="L24" s="1" t="s">
        <v>25</v>
      </c>
      <c r="M24" s="1" t="s">
        <v>24</v>
      </c>
      <c r="N24" s="1" t="s">
        <v>24</v>
      </c>
      <c r="O24" s="1" t="s">
        <v>24</v>
      </c>
      <c r="P24" s="1" t="s">
        <v>24</v>
      </c>
      <c r="Q24" s="1" t="s">
        <v>24</v>
      </c>
      <c r="R24" s="75" t="str">
        <f t="shared" si="0"/>
        <v>1945922</v>
      </c>
      <c r="S24" t="str">
        <f>VLOOKUP(A24,Data_NV!$A:$C,3,0)</f>
        <v xml:space="preserve"> Hứa Thị Ngọc Thơ  </v>
      </c>
      <c r="T24" t="str">
        <f>VLOOKUP(A24,Data_NV!$A:$E,4,0)</f>
        <v>Kinh doanh</v>
      </c>
      <c r="U24" s="72">
        <f>DATEVALUE(Table2[[#This Row],[Ngày]])</f>
        <v>45922</v>
      </c>
      <c r="V24" t="str">
        <f>VLOOKUP(A24,Data_NV!$A:$E,5,0)</f>
        <v>Đang làm việc</v>
      </c>
      <c r="W24" s="11">
        <f>VLOOKUP(A24,Data_NV!$A:$I,8,0)</f>
        <v>0.33333333333333331</v>
      </c>
      <c r="X24" s="11">
        <f>VLOOKUP(A24,Data_NV!$A:$I,9,0)</f>
        <v>0.70833333333333337</v>
      </c>
      <c r="Y24" s="11">
        <f>IFERROR(TIMEVALUE(Table2[[#This Row],[Vào]]),0)</f>
        <v>0.33829861111111109</v>
      </c>
      <c r="Z24" s="11">
        <f>IFERROR(TIMEVALUE(Table2[[#This Row],[Ra]]),0)</f>
        <v>0</v>
      </c>
      <c r="AA24" t="str">
        <f t="shared" si="3"/>
        <v>x</v>
      </c>
      <c r="AB24" s="14">
        <f t="shared" si="4"/>
        <v>7</v>
      </c>
      <c r="AC24" s="14" t="str">
        <f>IF(VLOOKUP(A24,Data_NV!$A:$I,7,0)="Không","",IF(OR(AND(Y24=0,Z24=0),AND(Y24&lt;&gt;0,Z24&lt;&gt;0)),"","Quên chấm công"))</f>
        <v/>
      </c>
      <c r="AD24" s="14">
        <f>IF(VLOOKUP(A24,Data_NV!$A:$I,7,0)="Không",0,IF(AND(Y24=0,Z24=0),0,IF(X24&lt;=Z24,0,ROUNDDOWN((X24-Z24)*24*60,0))))</f>
        <v>0</v>
      </c>
      <c r="AE24" s="14">
        <f>IF(VLOOKUP(A24,Data_NV!$A:$I,6,0)="Không",0,IF(Z24&lt;=X24,0,ROUNDDOWN((Z24-X24)*24*60,0)))</f>
        <v>0</v>
      </c>
      <c r="AF24" s="29">
        <f t="shared" si="2"/>
        <v>30000</v>
      </c>
      <c r="AG24" s="30" t="str">
        <f>IF(AC24="","",IF(COUNTIFS($AC$3:AC24,"Quên chấm công",$S$3:S24,S24)&gt;3,"Không chấm công do vi phạm quá 3 lần",IF(COUNTIFS($AC$3:AC24,"Quên chấm công",$S$3:S24,S24)&gt;2,"Trừ toàn bộ chuyên cần tháng do vi phạm lần 3",IF(COUNTIFS($AC$3:AC24,"Quên chấm công",$S$3:S24,S24)&gt;1,"Trừ 1/2 ngày lương",50000))))</f>
        <v/>
      </c>
      <c r="AH24" s="14" t="str">
        <f>IF(AF24=0,"",IF(COUNTIFS($AF$3:AF24,"&gt;0",$S$3:S24,S24)&gt;3,"Trừ toàn bộ chuyên cần tháng",""))</f>
        <v/>
      </c>
      <c r="AI24" s="14"/>
      <c r="AJ24" s="14"/>
    </row>
    <row r="25" spans="1:36" x14ac:dyDescent="0.25">
      <c r="A25" s="4" t="s">
        <v>78</v>
      </c>
      <c r="B25" s="1" t="s">
        <v>79</v>
      </c>
      <c r="C25" s="1" t="s">
        <v>19</v>
      </c>
      <c r="D25" s="1" t="s">
        <v>54</v>
      </c>
      <c r="E25" s="1" t="s">
        <v>21</v>
      </c>
      <c r="F25" s="1" t="s">
        <v>22</v>
      </c>
      <c r="G25" s="1" t="s">
        <v>12</v>
      </c>
      <c r="H25" s="12" t="s">
        <v>96</v>
      </c>
      <c r="I25" s="1" t="s">
        <v>23</v>
      </c>
      <c r="J25" s="1" t="s">
        <v>24</v>
      </c>
      <c r="K25" s="1" t="s">
        <v>24</v>
      </c>
      <c r="L25" s="1" t="s">
        <v>25</v>
      </c>
      <c r="M25" s="1" t="s">
        <v>24</v>
      </c>
      <c r="N25" s="1" t="s">
        <v>24</v>
      </c>
      <c r="O25" s="1" t="s">
        <v>24</v>
      </c>
      <c r="P25" s="1" t="s">
        <v>24</v>
      </c>
      <c r="Q25" s="1" t="s">
        <v>24</v>
      </c>
      <c r="R25" s="75" t="str">
        <f t="shared" si="0"/>
        <v>1945923</v>
      </c>
      <c r="S25" t="str">
        <f>VLOOKUP(A25,Data_NV!$A:$C,3,0)</f>
        <v xml:space="preserve"> Hứa Thị Ngọc Thơ  </v>
      </c>
      <c r="T25" t="str">
        <f>VLOOKUP(A25,Data_NV!$A:$E,4,0)</f>
        <v>Kinh doanh</v>
      </c>
      <c r="U25" s="72">
        <f>DATEVALUE(Table2[[#This Row],[Ngày]])</f>
        <v>45923</v>
      </c>
      <c r="V25" t="str">
        <f>VLOOKUP(A25,Data_NV!$A:$E,5,0)</f>
        <v>Đang làm việc</v>
      </c>
      <c r="W25" s="11">
        <f>VLOOKUP(A25,Data_NV!$A:$I,8,0)</f>
        <v>0.33333333333333331</v>
      </c>
      <c r="X25" s="11">
        <f>VLOOKUP(A25,Data_NV!$A:$I,9,0)</f>
        <v>0.70833333333333337</v>
      </c>
      <c r="Y25" s="11">
        <f>IFERROR(TIMEVALUE(Table2[[#This Row],[Vào]]),0)</f>
        <v>0.33156249999999998</v>
      </c>
      <c r="Z25" s="11">
        <f>IFERROR(TIMEVALUE(Table2[[#This Row],[Ra]]),0)</f>
        <v>0</v>
      </c>
      <c r="AA25" t="str">
        <f t="shared" si="3"/>
        <v>x</v>
      </c>
      <c r="AB25" s="14">
        <f t="shared" si="4"/>
        <v>0</v>
      </c>
      <c r="AC25" s="14" t="str">
        <f>IF(VLOOKUP(A25,Data_NV!$A:$I,7,0)="Không","",IF(OR(AND(Y25=0,Z25=0),AND(Y25&lt;&gt;0,Z25&lt;&gt;0)),"","Quên chấm công"))</f>
        <v/>
      </c>
      <c r="AD25" s="14">
        <f>IF(VLOOKUP(A25,Data_NV!$A:$I,7,0)="Không",0,IF(AND(Y25=0,Z25=0),0,IF(X25&lt;=Z25,0,ROUNDDOWN((X25-Z25)*24*60,0))))</f>
        <v>0</v>
      </c>
      <c r="AE25" s="14">
        <f>IF(VLOOKUP(A25,Data_NV!$A:$I,6,0)="Không",0,IF(Z25&lt;=X25,0,ROUNDDOWN((Z25-X25)*24*60,0)))</f>
        <v>0</v>
      </c>
      <c r="AF25" s="29">
        <f t="shared" si="2"/>
        <v>0</v>
      </c>
      <c r="AG25" s="30" t="str">
        <f>IF(AC25="","",IF(COUNTIFS($AC$3:AC25,"Quên chấm công",$S$3:S25,S25)&gt;3,"Không chấm công do vi phạm quá 3 lần",IF(COUNTIFS($AC$3:AC25,"Quên chấm công",$S$3:S25,S25)&gt;2,"Trừ toàn bộ chuyên cần tháng do vi phạm lần 3",IF(COUNTIFS($AC$3:AC25,"Quên chấm công",$S$3:S25,S25)&gt;1,"Trừ 1/2 ngày lương",50000))))</f>
        <v/>
      </c>
      <c r="AH25" s="14" t="str">
        <f>IF(AF25=0,"",IF(COUNTIFS($AF$3:AF25,"&gt;0",$S$3:S25,S25)&gt;3,"Trừ toàn bộ chuyên cần tháng",""))</f>
        <v/>
      </c>
      <c r="AI25" s="14"/>
      <c r="AJ25" s="14"/>
    </row>
    <row r="26" spans="1:36" x14ac:dyDescent="0.25">
      <c r="A26" s="4" t="s">
        <v>78</v>
      </c>
      <c r="B26" s="1" t="s">
        <v>79</v>
      </c>
      <c r="C26" s="1" t="s">
        <v>19</v>
      </c>
      <c r="D26" s="1" t="s">
        <v>55</v>
      </c>
      <c r="E26" s="1" t="s">
        <v>21</v>
      </c>
      <c r="F26" s="1" t="s">
        <v>22</v>
      </c>
      <c r="G26" s="1" t="s">
        <v>12</v>
      </c>
      <c r="H26" s="12" t="s">
        <v>97</v>
      </c>
      <c r="I26" s="1" t="s">
        <v>23</v>
      </c>
      <c r="J26" s="1" t="s">
        <v>98</v>
      </c>
      <c r="K26" s="1" t="s">
        <v>24</v>
      </c>
      <c r="L26" s="1" t="s">
        <v>25</v>
      </c>
      <c r="M26" s="1" t="s">
        <v>24</v>
      </c>
      <c r="N26" s="1" t="s">
        <v>24</v>
      </c>
      <c r="O26" s="1" t="s">
        <v>24</v>
      </c>
      <c r="P26" s="1" t="s">
        <v>24</v>
      </c>
      <c r="Q26" s="1" t="s">
        <v>24</v>
      </c>
      <c r="R26" s="75" t="str">
        <f t="shared" si="0"/>
        <v>1945924</v>
      </c>
      <c r="S26" t="str">
        <f>VLOOKUP(A26,Data_NV!$A:$C,3,0)</f>
        <v xml:space="preserve"> Hứa Thị Ngọc Thơ  </v>
      </c>
      <c r="T26" t="str">
        <f>VLOOKUP(A26,Data_NV!$A:$E,4,0)</f>
        <v>Kinh doanh</v>
      </c>
      <c r="U26" s="72">
        <f>DATEVALUE(Table2[[#This Row],[Ngày]])</f>
        <v>45924</v>
      </c>
      <c r="V26" t="str">
        <f>VLOOKUP(A26,Data_NV!$A:$E,5,0)</f>
        <v>Đang làm việc</v>
      </c>
      <c r="W26" s="11">
        <f>VLOOKUP(A26,Data_NV!$A:$I,8,0)</f>
        <v>0.33333333333333331</v>
      </c>
      <c r="X26" s="11">
        <f>VLOOKUP(A26,Data_NV!$A:$I,9,0)</f>
        <v>0.70833333333333337</v>
      </c>
      <c r="Y26" s="11">
        <f>IFERROR(TIMEVALUE(Table2[[#This Row],[Vào]]),0)</f>
        <v>0.33587962962962964</v>
      </c>
      <c r="Z26" s="11">
        <f>IFERROR(TIMEVALUE(Table2[[#This Row],[Ra]]),0)</f>
        <v>0</v>
      </c>
      <c r="AA26" t="str">
        <f t="shared" si="3"/>
        <v>x</v>
      </c>
      <c r="AB26" s="14">
        <f t="shared" si="4"/>
        <v>3</v>
      </c>
      <c r="AC26" s="14" t="str">
        <f>IF(VLOOKUP(A26,Data_NV!$A:$I,7,0)="Không","",IF(OR(AND(Y26=0,Z26=0),AND(Y26&lt;&gt;0,Z26&lt;&gt;0)),"","Quên chấm công"))</f>
        <v/>
      </c>
      <c r="AD26" s="14">
        <f>IF(VLOOKUP(A26,Data_NV!$A:$I,7,0)="Không",0,IF(AND(Y26=0,Z26=0),0,IF(X26&lt;=Z26,0,ROUNDDOWN((X26-Z26)*24*60,0))))</f>
        <v>0</v>
      </c>
      <c r="AE26" s="14">
        <f>IF(VLOOKUP(A26,Data_NV!$A:$I,6,0)="Không",0,IF(Z26&lt;=X26,0,ROUNDDOWN((Z26-X26)*24*60,0)))</f>
        <v>0</v>
      </c>
      <c r="AF26" s="29">
        <f t="shared" si="2"/>
        <v>0</v>
      </c>
      <c r="AG26" s="30" t="str">
        <f>IF(AC26="","",IF(COUNTIFS($AC$3:AC26,"Quên chấm công",$S$3:S26,S26)&gt;3,"Không chấm công do vi phạm quá 3 lần",IF(COUNTIFS($AC$3:AC26,"Quên chấm công",$S$3:S26,S26)&gt;2,"Trừ toàn bộ chuyên cần tháng do vi phạm lần 3",IF(COUNTIFS($AC$3:AC26,"Quên chấm công",$S$3:S26,S26)&gt;1,"Trừ 1/2 ngày lương",50000))))</f>
        <v/>
      </c>
      <c r="AH26" s="14" t="str">
        <f>IF(AF26=0,"",IF(COUNTIFS($AF$3:AF26,"&gt;0",$S$3:S26,S26)&gt;3,"Trừ toàn bộ chuyên cần tháng",""))</f>
        <v/>
      </c>
      <c r="AI26" s="14"/>
      <c r="AJ26" s="14"/>
    </row>
    <row r="27" spans="1:36" x14ac:dyDescent="0.25">
      <c r="A27" s="4" t="s">
        <v>78</v>
      </c>
      <c r="B27" s="1" t="s">
        <v>79</v>
      </c>
      <c r="C27" s="1" t="s">
        <v>19</v>
      </c>
      <c r="D27" s="1" t="s">
        <v>56</v>
      </c>
      <c r="E27" s="1" t="s">
        <v>21</v>
      </c>
      <c r="F27" s="1" t="s">
        <v>22</v>
      </c>
      <c r="G27" s="1" t="s">
        <v>12</v>
      </c>
      <c r="H27" s="12" t="s">
        <v>99</v>
      </c>
      <c r="I27" s="1" t="s">
        <v>23</v>
      </c>
      <c r="J27" s="1" t="s">
        <v>24</v>
      </c>
      <c r="K27" s="1" t="s">
        <v>24</v>
      </c>
      <c r="L27" s="1" t="s">
        <v>25</v>
      </c>
      <c r="M27" s="1" t="s">
        <v>24</v>
      </c>
      <c r="N27" s="1" t="s">
        <v>24</v>
      </c>
      <c r="O27" s="1" t="s">
        <v>24</v>
      </c>
      <c r="P27" s="1" t="s">
        <v>24</v>
      </c>
      <c r="Q27" s="1" t="s">
        <v>24</v>
      </c>
      <c r="R27" s="75" t="str">
        <f t="shared" si="0"/>
        <v>1945925</v>
      </c>
      <c r="S27" t="str">
        <f>VLOOKUP(A27,Data_NV!$A:$C,3,0)</f>
        <v xml:space="preserve"> Hứa Thị Ngọc Thơ  </v>
      </c>
      <c r="T27" t="str">
        <f>VLOOKUP(A27,Data_NV!$A:$E,4,0)</f>
        <v>Kinh doanh</v>
      </c>
      <c r="U27" s="72">
        <f>DATEVALUE(Table2[[#This Row],[Ngày]])</f>
        <v>45925</v>
      </c>
      <c r="V27" t="str">
        <f>VLOOKUP(A27,Data_NV!$A:$E,5,0)</f>
        <v>Đang làm việc</v>
      </c>
      <c r="W27" s="11">
        <f>VLOOKUP(A27,Data_NV!$A:$I,8,0)</f>
        <v>0.33333333333333331</v>
      </c>
      <c r="X27" s="11">
        <f>VLOOKUP(A27,Data_NV!$A:$I,9,0)</f>
        <v>0.70833333333333337</v>
      </c>
      <c r="Y27" s="11">
        <f>IFERROR(TIMEVALUE(Table2[[#This Row],[Vào]]),0)</f>
        <v>0.30616898148148147</v>
      </c>
      <c r="Z27" s="11">
        <f>IFERROR(TIMEVALUE(Table2[[#This Row],[Ra]]),0)</f>
        <v>0</v>
      </c>
      <c r="AA27" t="str">
        <f t="shared" si="3"/>
        <v>x</v>
      </c>
      <c r="AB27" s="14">
        <f t="shared" si="4"/>
        <v>0</v>
      </c>
      <c r="AC27" s="14" t="str">
        <f>IF(VLOOKUP(A27,Data_NV!$A:$I,7,0)="Không","",IF(OR(AND(Y27=0,Z27=0),AND(Y27&lt;&gt;0,Z27&lt;&gt;0)),"","Quên chấm công"))</f>
        <v/>
      </c>
      <c r="AD27" s="14">
        <f>IF(VLOOKUP(A27,Data_NV!$A:$I,7,0)="Không",0,IF(AND(Y27=0,Z27=0),0,IF(X27&lt;=Z27,0,ROUNDDOWN((X27-Z27)*24*60,0))))</f>
        <v>0</v>
      </c>
      <c r="AE27" s="14">
        <f>IF(VLOOKUP(A27,Data_NV!$A:$I,6,0)="Không",0,IF(Z27&lt;=X27,0,ROUNDDOWN((Z27-X27)*24*60,0)))</f>
        <v>0</v>
      </c>
      <c r="AF27" s="29">
        <f t="shared" si="2"/>
        <v>0</v>
      </c>
      <c r="AG27" s="30" t="str">
        <f>IF(AC27="","",IF(COUNTIFS($AC$3:AC27,"Quên chấm công",$S$3:S27,S27)&gt;3,"Không chấm công do vi phạm quá 3 lần",IF(COUNTIFS($AC$3:AC27,"Quên chấm công",$S$3:S27,S27)&gt;2,"Trừ toàn bộ chuyên cần tháng do vi phạm lần 3",IF(COUNTIFS($AC$3:AC27,"Quên chấm công",$S$3:S27,S27)&gt;1,"Trừ 1/2 ngày lương",50000))))</f>
        <v/>
      </c>
      <c r="AH27" s="14" t="str">
        <f>IF(AF27=0,"",IF(COUNTIFS($AF$3:AF27,"&gt;0",$S$3:S27,S27)&gt;3,"Trừ toàn bộ chuyên cần tháng",""))</f>
        <v/>
      </c>
      <c r="AI27" s="14"/>
      <c r="AJ27" s="14"/>
    </row>
    <row r="28" spans="1:36" x14ac:dyDescent="0.25">
      <c r="A28" s="4" t="s">
        <v>78</v>
      </c>
      <c r="B28" s="1" t="s">
        <v>79</v>
      </c>
      <c r="C28" s="1" t="s">
        <v>19</v>
      </c>
      <c r="D28" s="1" t="s">
        <v>57</v>
      </c>
      <c r="E28" s="1" t="s">
        <v>21</v>
      </c>
      <c r="F28" s="1" t="s">
        <v>22</v>
      </c>
      <c r="G28" s="1" t="s">
        <v>12</v>
      </c>
      <c r="H28" s="12" t="s">
        <v>100</v>
      </c>
      <c r="I28" s="1" t="s">
        <v>23</v>
      </c>
      <c r="J28" s="1" t="s">
        <v>24</v>
      </c>
      <c r="K28" s="1" t="s">
        <v>24</v>
      </c>
      <c r="L28" s="1" t="s">
        <v>25</v>
      </c>
      <c r="M28" s="1" t="s">
        <v>24</v>
      </c>
      <c r="N28" s="1" t="s">
        <v>24</v>
      </c>
      <c r="O28" s="1" t="s">
        <v>24</v>
      </c>
      <c r="P28" s="1" t="s">
        <v>24</v>
      </c>
      <c r="Q28" s="1" t="s">
        <v>24</v>
      </c>
      <c r="R28" s="75" t="str">
        <f t="shared" si="0"/>
        <v>1945926</v>
      </c>
      <c r="S28" t="str">
        <f>VLOOKUP(A28,Data_NV!$A:$C,3,0)</f>
        <v xml:space="preserve"> Hứa Thị Ngọc Thơ  </v>
      </c>
      <c r="T28" t="str">
        <f>VLOOKUP(A28,Data_NV!$A:$E,4,0)</f>
        <v>Kinh doanh</v>
      </c>
      <c r="U28" s="72">
        <f>DATEVALUE(Table2[[#This Row],[Ngày]])</f>
        <v>45926</v>
      </c>
      <c r="V28" t="str">
        <f>VLOOKUP(A28,Data_NV!$A:$E,5,0)</f>
        <v>Đang làm việc</v>
      </c>
      <c r="W28" s="11">
        <f>VLOOKUP(A28,Data_NV!$A:$I,8,0)</f>
        <v>0.33333333333333331</v>
      </c>
      <c r="X28" s="11">
        <f>VLOOKUP(A28,Data_NV!$A:$I,9,0)</f>
        <v>0.70833333333333337</v>
      </c>
      <c r="Y28" s="11">
        <f>IFERROR(TIMEVALUE(Table2[[#This Row],[Vào]]),0)</f>
        <v>0.33081018518518518</v>
      </c>
      <c r="Z28" s="11">
        <f>IFERROR(TIMEVALUE(Table2[[#This Row],[Ra]]),0)</f>
        <v>0</v>
      </c>
      <c r="AA28" t="str">
        <f t="shared" si="3"/>
        <v>x</v>
      </c>
      <c r="AB28" s="14">
        <f t="shared" si="4"/>
        <v>0</v>
      </c>
      <c r="AC28" s="14" t="str">
        <f>IF(VLOOKUP(A28,Data_NV!$A:$I,7,0)="Không","",IF(OR(AND(Y28=0,Z28=0),AND(Y28&lt;&gt;0,Z28&lt;&gt;0)),"","Quên chấm công"))</f>
        <v/>
      </c>
      <c r="AD28" s="14">
        <f>IF(VLOOKUP(A28,Data_NV!$A:$I,7,0)="Không",0,IF(AND(Y28=0,Z28=0),0,IF(X28&lt;=Z28,0,ROUNDDOWN((X28-Z28)*24*60,0))))</f>
        <v>0</v>
      </c>
      <c r="AE28" s="14">
        <f>IF(VLOOKUP(A28,Data_NV!$A:$I,6,0)="Không",0,IF(Z28&lt;=X28,0,ROUNDDOWN((Z28-X28)*24*60,0)))</f>
        <v>0</v>
      </c>
      <c r="AF28" s="29">
        <f t="shared" si="2"/>
        <v>0</v>
      </c>
      <c r="AG28" s="30" t="str">
        <f>IF(AC28="","",IF(COUNTIFS($AC$3:AC28,"Quên chấm công",$S$3:S28,S28)&gt;3,"Không chấm công do vi phạm quá 3 lần",IF(COUNTIFS($AC$3:AC28,"Quên chấm công",$S$3:S28,S28)&gt;2,"Trừ toàn bộ chuyên cần tháng do vi phạm lần 3",IF(COUNTIFS($AC$3:AC28,"Quên chấm công",$S$3:S28,S28)&gt;1,"Trừ 1/2 ngày lương",50000))))</f>
        <v/>
      </c>
      <c r="AH28" s="14" t="str">
        <f>IF(AF28=0,"",IF(COUNTIFS($AF$3:AF28,"&gt;0",$S$3:S28,S28)&gt;3,"Trừ toàn bộ chuyên cần tháng",""))</f>
        <v/>
      </c>
      <c r="AI28" s="14"/>
      <c r="AJ28" s="14"/>
    </row>
    <row r="29" spans="1:36" x14ac:dyDescent="0.25">
      <c r="A29" s="4" t="s">
        <v>78</v>
      </c>
      <c r="B29" s="1" t="s">
        <v>79</v>
      </c>
      <c r="C29" s="1" t="s">
        <v>19</v>
      </c>
      <c r="D29" s="1" t="s">
        <v>58</v>
      </c>
      <c r="E29" s="1" t="s">
        <v>21</v>
      </c>
      <c r="F29" s="1" t="s">
        <v>22</v>
      </c>
      <c r="G29" s="1" t="s">
        <v>12</v>
      </c>
      <c r="H29" s="12" t="s">
        <v>23</v>
      </c>
      <c r="I29" s="1" t="s">
        <v>23</v>
      </c>
      <c r="J29" s="1" t="s">
        <v>24</v>
      </c>
      <c r="K29" s="1" t="s">
        <v>24</v>
      </c>
      <c r="L29" s="1" t="s">
        <v>25</v>
      </c>
      <c r="M29" s="1" t="s">
        <v>24</v>
      </c>
      <c r="N29" s="1" t="s">
        <v>24</v>
      </c>
      <c r="O29" s="1" t="s">
        <v>24</v>
      </c>
      <c r="P29" s="1" t="s">
        <v>24</v>
      </c>
      <c r="Q29" s="1" t="s">
        <v>24</v>
      </c>
      <c r="R29" s="75" t="str">
        <f t="shared" si="0"/>
        <v>1945927</v>
      </c>
      <c r="S29" t="str">
        <f>VLOOKUP(A29,Data_NV!$A:$C,3,0)</f>
        <v xml:space="preserve"> Hứa Thị Ngọc Thơ  </v>
      </c>
      <c r="T29" t="str">
        <f>VLOOKUP(A29,Data_NV!$A:$E,4,0)</f>
        <v>Kinh doanh</v>
      </c>
      <c r="U29" s="72">
        <f>DATEVALUE(Table2[[#This Row],[Ngày]])</f>
        <v>45927</v>
      </c>
      <c r="V29" t="str">
        <f>VLOOKUP(A29,Data_NV!$A:$E,5,0)</f>
        <v>Đang làm việc</v>
      </c>
      <c r="W29" s="11">
        <f>VLOOKUP(A29,Data_NV!$A:$I,8,0)</f>
        <v>0.33333333333333331</v>
      </c>
      <c r="X29" s="11">
        <f>VLOOKUP(A29,Data_NV!$A:$I,9,0)</f>
        <v>0.70833333333333337</v>
      </c>
      <c r="Y29" s="11">
        <f>IFERROR(TIMEVALUE(Table2[[#This Row],[Vào]]),0)</f>
        <v>0</v>
      </c>
      <c r="Z29" s="11">
        <f>IFERROR(TIMEVALUE(Table2[[#This Row],[Ra]]),0)</f>
        <v>0</v>
      </c>
      <c r="AA29" t="str">
        <f t="shared" si="3"/>
        <v/>
      </c>
      <c r="AB29" s="14">
        <f t="shared" si="4"/>
        <v>0</v>
      </c>
      <c r="AC29" s="14" t="str">
        <f>IF(VLOOKUP(A29,Data_NV!$A:$I,7,0)="Không","",IF(OR(AND(Y29=0,Z29=0),AND(Y29&lt;&gt;0,Z29&lt;&gt;0)),"","Quên chấm công"))</f>
        <v/>
      </c>
      <c r="AD29" s="14">
        <f>IF(VLOOKUP(A29,Data_NV!$A:$I,7,0)="Không",0,IF(AND(Y29=0,Z29=0),0,IF(X29&lt;=Z29,0,ROUNDDOWN((X29-Z29)*24*60,0))))</f>
        <v>0</v>
      </c>
      <c r="AE29" s="14">
        <f>IF(VLOOKUP(A29,Data_NV!$A:$I,6,0)="Không",0,IF(Z29&lt;=X29,0,ROUNDDOWN((Z29-X29)*24*60,0)))</f>
        <v>0</v>
      </c>
      <c r="AF29" s="29">
        <f t="shared" si="2"/>
        <v>0</v>
      </c>
      <c r="AG29" s="30" t="str">
        <f>IF(AC29="","",IF(COUNTIFS($AC$3:AC29,"Quên chấm công",$S$3:S29,S29)&gt;3,"Không chấm công do vi phạm quá 3 lần",IF(COUNTIFS($AC$3:AC29,"Quên chấm công",$S$3:S29,S29)&gt;2,"Trừ toàn bộ chuyên cần tháng do vi phạm lần 3",IF(COUNTIFS($AC$3:AC29,"Quên chấm công",$S$3:S29,S29)&gt;1,"Trừ 1/2 ngày lương",50000))))</f>
        <v/>
      </c>
      <c r="AH29" s="14" t="str">
        <f>IF(AF29=0,"",IF(COUNTIFS($AF$3:AF29,"&gt;0",$S$3:S29,S29)&gt;3,"Trừ toàn bộ chuyên cần tháng",""))</f>
        <v/>
      </c>
      <c r="AI29" s="14"/>
      <c r="AJ29" s="14"/>
    </row>
    <row r="30" spans="1:36" x14ac:dyDescent="0.25">
      <c r="A30" s="4" t="s">
        <v>78</v>
      </c>
      <c r="B30" s="1" t="s">
        <v>79</v>
      </c>
      <c r="C30" s="1" t="s">
        <v>19</v>
      </c>
      <c r="D30" s="1" t="s">
        <v>59</v>
      </c>
      <c r="E30" s="1" t="s">
        <v>21</v>
      </c>
      <c r="F30" s="1" t="s">
        <v>22</v>
      </c>
      <c r="G30" s="1" t="s">
        <v>12</v>
      </c>
      <c r="H30" s="12" t="s">
        <v>23</v>
      </c>
      <c r="I30" s="1" t="s">
        <v>23</v>
      </c>
      <c r="J30" s="1" t="s">
        <v>24</v>
      </c>
      <c r="K30" s="1" t="s">
        <v>24</v>
      </c>
      <c r="L30" s="1" t="s">
        <v>25</v>
      </c>
      <c r="M30" s="1" t="s">
        <v>24</v>
      </c>
      <c r="N30" s="1" t="s">
        <v>24</v>
      </c>
      <c r="O30" s="1" t="s">
        <v>24</v>
      </c>
      <c r="P30" s="1" t="s">
        <v>24</v>
      </c>
      <c r="Q30" s="1" t="s">
        <v>24</v>
      </c>
      <c r="R30" s="75" t="str">
        <f t="shared" si="0"/>
        <v>1945928</v>
      </c>
      <c r="S30" t="str">
        <f>VLOOKUP(A30,Data_NV!$A:$C,3,0)</f>
        <v xml:space="preserve"> Hứa Thị Ngọc Thơ  </v>
      </c>
      <c r="T30" t="str">
        <f>VLOOKUP(A30,Data_NV!$A:$E,4,0)</f>
        <v>Kinh doanh</v>
      </c>
      <c r="U30" s="72">
        <f>DATEVALUE(Table2[[#This Row],[Ngày]])</f>
        <v>45928</v>
      </c>
      <c r="V30" t="str">
        <f>VLOOKUP(A30,Data_NV!$A:$E,5,0)</f>
        <v>Đang làm việc</v>
      </c>
      <c r="W30" s="11">
        <f>VLOOKUP(A30,Data_NV!$A:$I,8,0)</f>
        <v>0.33333333333333331</v>
      </c>
      <c r="X30" s="11">
        <f>VLOOKUP(A30,Data_NV!$A:$I,9,0)</f>
        <v>0.70833333333333337</v>
      </c>
      <c r="Y30" s="11">
        <f>IFERROR(TIMEVALUE(Table2[[#This Row],[Vào]]),0)</f>
        <v>0</v>
      </c>
      <c r="Z30" s="11">
        <f>IFERROR(TIMEVALUE(Table2[[#This Row],[Ra]]),0)</f>
        <v>0</v>
      </c>
      <c r="AA30" t="str">
        <f t="shared" si="3"/>
        <v/>
      </c>
      <c r="AB30" s="14">
        <f t="shared" si="4"/>
        <v>0</v>
      </c>
      <c r="AC30" s="14" t="str">
        <f>IF(VLOOKUP(A30,Data_NV!$A:$I,7,0)="Không","",IF(OR(AND(Y30=0,Z30=0),AND(Y30&lt;&gt;0,Z30&lt;&gt;0)),"","Quên chấm công"))</f>
        <v/>
      </c>
      <c r="AD30" s="14">
        <f>IF(VLOOKUP(A30,Data_NV!$A:$I,7,0)="Không",0,IF(AND(Y30=0,Z30=0),0,IF(X30&lt;=Z30,0,ROUNDDOWN((X30-Z30)*24*60,0))))</f>
        <v>0</v>
      </c>
      <c r="AE30" s="14">
        <f>IF(VLOOKUP(A30,Data_NV!$A:$I,6,0)="Không",0,IF(Z30&lt;=X30,0,ROUNDDOWN((Z30-X30)*24*60,0)))</f>
        <v>0</v>
      </c>
      <c r="AF30" s="29">
        <f t="shared" si="2"/>
        <v>0</v>
      </c>
      <c r="AG30" s="30" t="str">
        <f>IF(AC30="","",IF(COUNTIFS($AC$3:AC30,"Quên chấm công",$S$3:S30,S30)&gt;3,"Không chấm công do vi phạm quá 3 lần",IF(COUNTIFS($AC$3:AC30,"Quên chấm công",$S$3:S30,S30)&gt;2,"Trừ toàn bộ chuyên cần tháng do vi phạm lần 3",IF(COUNTIFS($AC$3:AC30,"Quên chấm công",$S$3:S30,S30)&gt;1,"Trừ 1/2 ngày lương",50000))))</f>
        <v/>
      </c>
      <c r="AH30" s="14" t="str">
        <f>IF(AF30=0,"",IF(COUNTIFS($AF$3:AF30,"&gt;0",$S$3:S30,S30)&gt;3,"Trừ toàn bộ chuyên cần tháng",""))</f>
        <v/>
      </c>
      <c r="AI30" s="14"/>
      <c r="AJ30" s="14"/>
    </row>
    <row r="31" spans="1:36" x14ac:dyDescent="0.25">
      <c r="A31" s="4" t="s">
        <v>78</v>
      </c>
      <c r="B31" s="1" t="s">
        <v>79</v>
      </c>
      <c r="C31" s="1" t="s">
        <v>19</v>
      </c>
      <c r="D31" s="1" t="s">
        <v>60</v>
      </c>
      <c r="E31" s="1" t="s">
        <v>21</v>
      </c>
      <c r="F31" s="1" t="s">
        <v>22</v>
      </c>
      <c r="G31" s="1" t="s">
        <v>12</v>
      </c>
      <c r="H31" s="12" t="s">
        <v>101</v>
      </c>
      <c r="I31" s="1" t="s">
        <v>23</v>
      </c>
      <c r="J31" s="1" t="s">
        <v>24</v>
      </c>
      <c r="K31" s="1" t="s">
        <v>24</v>
      </c>
      <c r="L31" s="1" t="s">
        <v>25</v>
      </c>
      <c r="M31" s="1" t="s">
        <v>24</v>
      </c>
      <c r="N31" s="1" t="s">
        <v>24</v>
      </c>
      <c r="O31" s="1" t="s">
        <v>24</v>
      </c>
      <c r="P31" s="1" t="s">
        <v>24</v>
      </c>
      <c r="Q31" s="1" t="s">
        <v>24</v>
      </c>
      <c r="R31" s="75" t="str">
        <f t="shared" si="0"/>
        <v>1945929</v>
      </c>
      <c r="S31" t="str">
        <f>VLOOKUP(A31,Data_NV!$A:$C,3,0)</f>
        <v xml:space="preserve"> Hứa Thị Ngọc Thơ  </v>
      </c>
      <c r="T31" t="str">
        <f>VLOOKUP(A31,Data_NV!$A:$E,4,0)</f>
        <v>Kinh doanh</v>
      </c>
      <c r="U31" s="72">
        <f>DATEVALUE(Table2[[#This Row],[Ngày]])</f>
        <v>45929</v>
      </c>
      <c r="V31" t="str">
        <f>VLOOKUP(A31,Data_NV!$A:$E,5,0)</f>
        <v>Đang làm việc</v>
      </c>
      <c r="W31" s="11">
        <f>VLOOKUP(A31,Data_NV!$A:$I,8,0)</f>
        <v>0.33333333333333331</v>
      </c>
      <c r="X31" s="11">
        <f>VLOOKUP(A31,Data_NV!$A:$I,9,0)</f>
        <v>0.70833333333333337</v>
      </c>
      <c r="Y31" s="11">
        <f>IFERROR(TIMEVALUE(Table2[[#This Row],[Vào]]),0)</f>
        <v>0.32255787037037037</v>
      </c>
      <c r="Z31" s="11">
        <f>IFERROR(TIMEVALUE(Table2[[#This Row],[Ra]]),0)</f>
        <v>0</v>
      </c>
      <c r="AA31" t="str">
        <f t="shared" si="3"/>
        <v>x</v>
      </c>
      <c r="AB31" s="14">
        <f t="shared" si="4"/>
        <v>0</v>
      </c>
      <c r="AC31" s="14" t="str">
        <f>IF(VLOOKUP(A31,Data_NV!$A:$I,7,0)="Không","",IF(OR(AND(Y31=0,Z31=0),AND(Y31&lt;&gt;0,Z31&lt;&gt;0)),"","Quên chấm công"))</f>
        <v/>
      </c>
      <c r="AD31" s="14">
        <f>IF(VLOOKUP(A31,Data_NV!$A:$I,7,0)="Không",0,IF(AND(Y31=0,Z31=0),0,IF(X31&lt;=Z31,0,ROUNDDOWN((X31-Z31)*24*60,0))))</f>
        <v>0</v>
      </c>
      <c r="AE31" s="14">
        <f>IF(VLOOKUP(A31,Data_NV!$A:$I,6,0)="Không",0,IF(Z31&lt;=X31,0,ROUNDDOWN((Z31-X31)*24*60,0)))</f>
        <v>0</v>
      </c>
      <c r="AF31" s="29">
        <f t="shared" si="2"/>
        <v>0</v>
      </c>
      <c r="AG31" s="30" t="str">
        <f>IF(AC31="","",IF(COUNTIFS($AC$3:AC31,"Quên chấm công",$S$3:S31,S31)&gt;3,"Không chấm công do vi phạm quá 3 lần",IF(COUNTIFS($AC$3:AC31,"Quên chấm công",$S$3:S31,S31)&gt;2,"Trừ toàn bộ chuyên cần tháng do vi phạm lần 3",IF(COUNTIFS($AC$3:AC31,"Quên chấm công",$S$3:S31,S31)&gt;1,"Trừ 1/2 ngày lương",50000))))</f>
        <v/>
      </c>
      <c r="AH31" s="14" t="str">
        <f>IF(AF31=0,"",IF(COUNTIFS($AF$3:AF31,"&gt;0",$S$3:S31,S31)&gt;3,"Trừ toàn bộ chuyên cần tháng",""))</f>
        <v/>
      </c>
      <c r="AI31" s="14"/>
      <c r="AJ31" s="14"/>
    </row>
    <row r="32" spans="1:36" x14ac:dyDescent="0.25">
      <c r="A32" s="4" t="s">
        <v>78</v>
      </c>
      <c r="B32" s="1" t="s">
        <v>79</v>
      </c>
      <c r="C32" s="1" t="s">
        <v>19</v>
      </c>
      <c r="D32" s="1" t="s">
        <v>61</v>
      </c>
      <c r="E32" s="1" t="s">
        <v>21</v>
      </c>
      <c r="F32" s="1" t="s">
        <v>22</v>
      </c>
      <c r="G32" s="1" t="s">
        <v>12</v>
      </c>
      <c r="H32" s="12" t="s">
        <v>102</v>
      </c>
      <c r="I32" s="1" t="s">
        <v>23</v>
      </c>
      <c r="J32" s="1" t="s">
        <v>24</v>
      </c>
      <c r="K32" s="1" t="s">
        <v>24</v>
      </c>
      <c r="L32" s="1" t="s">
        <v>25</v>
      </c>
      <c r="M32" s="1" t="s">
        <v>24</v>
      </c>
      <c r="N32" s="1" t="s">
        <v>24</v>
      </c>
      <c r="O32" s="1" t="s">
        <v>24</v>
      </c>
      <c r="P32" s="1" t="s">
        <v>24</v>
      </c>
      <c r="Q32" s="1" t="s">
        <v>24</v>
      </c>
      <c r="R32" s="75" t="str">
        <f t="shared" si="0"/>
        <v>1945930</v>
      </c>
      <c r="S32" t="str">
        <f>VLOOKUP(A32,Data_NV!$A:$C,3,0)</f>
        <v xml:space="preserve"> Hứa Thị Ngọc Thơ  </v>
      </c>
      <c r="T32" t="str">
        <f>VLOOKUP(A32,Data_NV!$A:$E,4,0)</f>
        <v>Kinh doanh</v>
      </c>
      <c r="U32" s="72">
        <f>DATEVALUE(Table2[[#This Row],[Ngày]])</f>
        <v>45930</v>
      </c>
      <c r="V32" t="str">
        <f>VLOOKUP(A32,Data_NV!$A:$E,5,0)</f>
        <v>Đang làm việc</v>
      </c>
      <c r="W32" s="11">
        <f>VLOOKUP(A32,Data_NV!$A:$I,8,0)</f>
        <v>0.33333333333333331</v>
      </c>
      <c r="X32" s="11">
        <f>VLOOKUP(A32,Data_NV!$A:$I,9,0)</f>
        <v>0.70833333333333337</v>
      </c>
      <c r="Y32" s="11">
        <f>IFERROR(TIMEVALUE(Table2[[#This Row],[Vào]]),0)</f>
        <v>0.32232638888888887</v>
      </c>
      <c r="Z32" s="11">
        <f>IFERROR(TIMEVALUE(Table2[[#This Row],[Ra]]),0)</f>
        <v>0</v>
      </c>
      <c r="AA32" t="str">
        <f t="shared" si="3"/>
        <v>x</v>
      </c>
      <c r="AB32" s="14">
        <f t="shared" si="4"/>
        <v>0</v>
      </c>
      <c r="AC32" s="14" t="str">
        <f>IF(VLOOKUP(A32,Data_NV!$A:$I,7,0)="Không","",IF(OR(AND(Y32=0,Z32=0),AND(Y32&lt;&gt;0,Z32&lt;&gt;0)),"","Quên chấm công"))</f>
        <v/>
      </c>
      <c r="AD32" s="14">
        <f>IF(VLOOKUP(A32,Data_NV!$A:$I,7,0)="Không",0,IF(AND(Y32=0,Z32=0),0,IF(X32&lt;=Z32,0,ROUNDDOWN((X32-Z32)*24*60,0))))</f>
        <v>0</v>
      </c>
      <c r="AE32" s="14">
        <f>IF(VLOOKUP(A32,Data_NV!$A:$I,6,0)="Không",0,IF(Z32&lt;=X32,0,ROUNDDOWN((Z32-X32)*24*60,0)))</f>
        <v>0</v>
      </c>
      <c r="AF32" s="29">
        <f t="shared" si="2"/>
        <v>0</v>
      </c>
      <c r="AG32" s="30" t="str">
        <f>IF(AC32="","",IF(COUNTIFS($AC$3:AC32,"Quên chấm công",$S$3:S32,S32)&gt;3,"Không chấm công do vi phạm quá 3 lần",IF(COUNTIFS($AC$3:AC32,"Quên chấm công",$S$3:S32,S32)&gt;2,"Trừ toàn bộ chuyên cần tháng do vi phạm lần 3",IF(COUNTIFS($AC$3:AC32,"Quên chấm công",$S$3:S32,S32)&gt;1,"Trừ 1/2 ngày lương",50000))))</f>
        <v/>
      </c>
      <c r="AH32" s="14" t="str">
        <f>IF(AF32=0,"",IF(COUNTIFS($AF$3:AF32,"&gt;0",$S$3:S32,S32)&gt;3,"Trừ toàn bộ chuyên cần tháng",""))</f>
        <v/>
      </c>
      <c r="AI32" s="14"/>
      <c r="AJ32" s="14"/>
    </row>
    <row r="33" spans="1:36" x14ac:dyDescent="0.25">
      <c r="A33" s="4" t="s">
        <v>112</v>
      </c>
      <c r="B33" s="1" t="s">
        <v>113</v>
      </c>
      <c r="C33" s="1" t="s">
        <v>19</v>
      </c>
      <c r="D33" s="1" t="s">
        <v>20</v>
      </c>
      <c r="E33" s="1" t="s">
        <v>21</v>
      </c>
      <c r="F33" s="1" t="s">
        <v>22</v>
      </c>
      <c r="G33" s="1" t="s">
        <v>12</v>
      </c>
      <c r="H33" s="12" t="s">
        <v>23</v>
      </c>
      <c r="I33" s="1" t="s">
        <v>23</v>
      </c>
      <c r="J33" s="1" t="s">
        <v>24</v>
      </c>
      <c r="K33" s="1" t="s">
        <v>24</v>
      </c>
      <c r="L33" s="1" t="s">
        <v>25</v>
      </c>
      <c r="M33" s="1" t="s">
        <v>24</v>
      </c>
      <c r="N33" s="1" t="s">
        <v>24</v>
      </c>
      <c r="O33" s="1" t="s">
        <v>24</v>
      </c>
      <c r="P33" s="1" t="s">
        <v>24</v>
      </c>
      <c r="Q33" s="1" t="s">
        <v>24</v>
      </c>
      <c r="R33" s="75" t="str">
        <f t="shared" ref="R33:R62" si="5">A33&amp;U33</f>
        <v>2045901</v>
      </c>
      <c r="S33" t="str">
        <f>VLOOKUP(A33,Data_NV!$A:$C,3,0)</f>
        <v xml:space="preserve">Trương Quang Thanh    </v>
      </c>
      <c r="T33" t="str">
        <f>VLOOKUP(A33,Data_NV!$A:$E,4,0)</f>
        <v>Kinh doanh</v>
      </c>
      <c r="U33" s="72">
        <f>DATEVALUE(Table2[[#This Row],[Ngày]])</f>
        <v>45901</v>
      </c>
      <c r="V33" t="str">
        <f>VLOOKUP(A33,Data_NV!$A:$E,5,0)</f>
        <v>Đang làm việc</v>
      </c>
      <c r="W33" s="11">
        <f>VLOOKUP(A33,Data_NV!$A:$I,8,0)</f>
        <v>0.33333333333333331</v>
      </c>
      <c r="X33" s="11">
        <f>VLOOKUP(A33,Data_NV!$A:$I,9,0)</f>
        <v>0.70833333333333337</v>
      </c>
      <c r="Y33" s="11">
        <f>IFERROR(TIMEVALUE(Table2[[#This Row],[Vào]]),0)</f>
        <v>0</v>
      </c>
      <c r="Z33" s="11">
        <f>IFERROR(TIMEVALUE(Table2[[#This Row],[Ra]]),0)</f>
        <v>0</v>
      </c>
      <c r="AA33" s="10" t="s">
        <v>508</v>
      </c>
      <c r="AB33" s="14">
        <f t="shared" si="4"/>
        <v>0</v>
      </c>
      <c r="AC33" s="14" t="str">
        <f>IF(VLOOKUP(A33,Data_NV!$A:$I,7,0)="Không","",IF(OR(AND(Y33=0,Z33=0),AND(Y33&lt;&gt;0,Z33&lt;&gt;0)),"","Quên chấm công"))</f>
        <v/>
      </c>
      <c r="AD33" s="14">
        <f>IF(VLOOKUP(A33,Data_NV!$A:$I,7,0)="Không",0,IF(AND(Y33=0,Z33=0),0,IF(X33&lt;=Z33,0,ROUNDDOWN((X33-Z33)*24*60,0))))</f>
        <v>0</v>
      </c>
      <c r="AE33" s="14">
        <f>IF(VLOOKUP(A33,Data_NV!$A:$I,6,0)="Không",0,IF(Z33&lt;=X33,0,ROUNDDOWN((Z33-X33)*24*60,0)))</f>
        <v>0</v>
      </c>
      <c r="AF33" s="29">
        <f t="shared" ref="AF33:AF62" si="6">IF(AB33&gt;60,"Trừ 1/2 ngày lương",IF(AB33&gt;15,50000,IF(AB33&gt;6,30000,0)))</f>
        <v>0</v>
      </c>
      <c r="AG33" s="30" t="str">
        <f>IF(AC33="","",IF(COUNTIFS($AC$3:AC33,"Quên chấm công",$S$3:S33,S33)&gt;3,"Không chấm công do vi phạm quá 3 lần",IF(COUNTIFS($AC$3:AC33,"Quên chấm công",$S$3:S33,S33)&gt;2,"Trừ toàn bộ chuyên cần tháng do vi phạm lần 3",IF(COUNTIFS($AC$3:AC33,"Quên chấm công",$S$3:S33,S33)&gt;1,"Trừ 1/2 ngày lương",50000))))</f>
        <v/>
      </c>
      <c r="AH33" s="14" t="str">
        <f>IF(AF33=0,"",IF(COUNTIFS($AF$3:AF33,"&gt;0",$S$3:S33,S33)&gt;3,"Trừ toàn bộ chuyên cần tháng",""))</f>
        <v/>
      </c>
      <c r="AI33" s="14"/>
      <c r="AJ33" s="14"/>
    </row>
    <row r="34" spans="1:36" x14ac:dyDescent="0.25">
      <c r="A34" s="4" t="s">
        <v>112</v>
      </c>
      <c r="B34" s="1" t="s">
        <v>113</v>
      </c>
      <c r="C34" s="1" t="s">
        <v>19</v>
      </c>
      <c r="D34" s="1" t="s">
        <v>26</v>
      </c>
      <c r="E34" s="1" t="s">
        <v>21</v>
      </c>
      <c r="F34" s="1" t="s">
        <v>22</v>
      </c>
      <c r="G34" s="1" t="s">
        <v>12</v>
      </c>
      <c r="H34" s="12" t="s">
        <v>23</v>
      </c>
      <c r="I34" s="1" t="s">
        <v>23</v>
      </c>
      <c r="J34" s="1" t="s">
        <v>24</v>
      </c>
      <c r="K34" s="1" t="s">
        <v>24</v>
      </c>
      <c r="L34" s="1" t="s">
        <v>25</v>
      </c>
      <c r="M34" s="1" t="s">
        <v>24</v>
      </c>
      <c r="N34" s="1" t="s">
        <v>24</v>
      </c>
      <c r="O34" s="1" t="s">
        <v>24</v>
      </c>
      <c r="P34" s="1" t="s">
        <v>24</v>
      </c>
      <c r="Q34" s="1" t="s">
        <v>24</v>
      </c>
      <c r="R34" s="75" t="str">
        <f t="shared" si="5"/>
        <v>2045902</v>
      </c>
      <c r="S34" t="str">
        <f>VLOOKUP(A34,Data_NV!$A:$C,3,0)</f>
        <v xml:space="preserve">Trương Quang Thanh    </v>
      </c>
      <c r="T34" t="str">
        <f>VLOOKUP(A34,Data_NV!$A:$E,4,0)</f>
        <v>Kinh doanh</v>
      </c>
      <c r="U34" s="72">
        <f>DATEVALUE(Table2[[#This Row],[Ngày]])</f>
        <v>45902</v>
      </c>
      <c r="V34" t="str">
        <f>VLOOKUP(A34,Data_NV!$A:$E,5,0)</f>
        <v>Đang làm việc</v>
      </c>
      <c r="W34" s="11">
        <f>VLOOKUP(A34,Data_NV!$A:$I,8,0)</f>
        <v>0.33333333333333331</v>
      </c>
      <c r="X34" s="11">
        <f>VLOOKUP(A34,Data_NV!$A:$I,9,0)</f>
        <v>0.70833333333333337</v>
      </c>
      <c r="Y34" s="11">
        <f>IFERROR(TIMEVALUE(Table2[[#This Row],[Vào]]),0)</f>
        <v>0</v>
      </c>
      <c r="Z34" s="11">
        <f>IFERROR(TIMEVALUE(Table2[[#This Row],[Ra]]),0)</f>
        <v>0</v>
      </c>
      <c r="AA34" s="10" t="s">
        <v>508</v>
      </c>
      <c r="AB34" s="14">
        <f t="shared" si="4"/>
        <v>0</v>
      </c>
      <c r="AC34" s="14" t="str">
        <f>IF(VLOOKUP(A34,Data_NV!$A:$I,7,0)="Không","",IF(OR(AND(Y34=0,Z34=0),AND(Y34&lt;&gt;0,Z34&lt;&gt;0)),"","Quên chấm công"))</f>
        <v/>
      </c>
      <c r="AD34" s="14">
        <f>IF(VLOOKUP(A34,Data_NV!$A:$I,7,0)="Không",0,IF(AND(Y34=0,Z34=0),0,IF(X34&lt;=Z34,0,ROUNDDOWN((X34-Z34)*24*60,0))))</f>
        <v>0</v>
      </c>
      <c r="AE34" s="14">
        <f>IF(VLOOKUP(A34,Data_NV!$A:$I,6,0)="Không",0,IF(Z34&lt;=X34,0,ROUNDDOWN((Z34-X34)*24*60,0)))</f>
        <v>0</v>
      </c>
      <c r="AF34" s="29">
        <f t="shared" si="6"/>
        <v>0</v>
      </c>
      <c r="AG34" s="30" t="str">
        <f>IF(AC34="","",IF(COUNTIFS($AC$3:AC34,"Quên chấm công",$S$3:S34,S34)&gt;3,"Không chấm công do vi phạm quá 3 lần",IF(COUNTIFS($AC$3:AC34,"Quên chấm công",$S$3:S34,S34)&gt;2,"Trừ toàn bộ chuyên cần tháng do vi phạm lần 3",IF(COUNTIFS($AC$3:AC34,"Quên chấm công",$S$3:S34,S34)&gt;1,"Trừ 1/2 ngày lương",50000))))</f>
        <v/>
      </c>
      <c r="AH34" s="14" t="str">
        <f>IF(AF34=0,"",IF(COUNTIFS($AF$3:AF34,"&gt;0",$S$3:S34,S34)&gt;3,"Trừ toàn bộ chuyên cần tháng",""))</f>
        <v/>
      </c>
      <c r="AI34" s="14"/>
      <c r="AJ34" s="14"/>
    </row>
    <row r="35" spans="1:36" x14ac:dyDescent="0.25">
      <c r="A35" s="4" t="s">
        <v>112</v>
      </c>
      <c r="B35" s="1" t="s">
        <v>113</v>
      </c>
      <c r="C35" s="1" t="s">
        <v>19</v>
      </c>
      <c r="D35" s="1" t="s">
        <v>27</v>
      </c>
      <c r="E35" s="1" t="s">
        <v>21</v>
      </c>
      <c r="F35" s="1" t="s">
        <v>22</v>
      </c>
      <c r="G35" s="1" t="s">
        <v>12</v>
      </c>
      <c r="H35" s="12" t="s">
        <v>114</v>
      </c>
      <c r="I35" s="1" t="s">
        <v>23</v>
      </c>
      <c r="J35" s="1" t="s">
        <v>24</v>
      </c>
      <c r="K35" s="1" t="s">
        <v>24</v>
      </c>
      <c r="L35" s="1" t="s">
        <v>25</v>
      </c>
      <c r="M35" s="1" t="s">
        <v>24</v>
      </c>
      <c r="N35" s="1" t="s">
        <v>24</v>
      </c>
      <c r="O35" s="1" t="s">
        <v>24</v>
      </c>
      <c r="P35" s="1" t="s">
        <v>24</v>
      </c>
      <c r="Q35" s="1" t="s">
        <v>24</v>
      </c>
      <c r="R35" s="75" t="str">
        <f t="shared" si="5"/>
        <v>2045903</v>
      </c>
      <c r="S35" t="str">
        <f>VLOOKUP(A35,Data_NV!$A:$C,3,0)</f>
        <v xml:space="preserve">Trương Quang Thanh    </v>
      </c>
      <c r="T35" t="str">
        <f>VLOOKUP(A35,Data_NV!$A:$E,4,0)</f>
        <v>Kinh doanh</v>
      </c>
      <c r="U35" s="72">
        <f>DATEVALUE(Table2[[#This Row],[Ngày]])</f>
        <v>45903</v>
      </c>
      <c r="V35" t="str">
        <f>VLOOKUP(A35,Data_NV!$A:$E,5,0)</f>
        <v>Đang làm việc</v>
      </c>
      <c r="W35" s="11">
        <f>VLOOKUP(A35,Data_NV!$A:$I,8,0)</f>
        <v>0.33333333333333331</v>
      </c>
      <c r="X35" s="11">
        <f>VLOOKUP(A35,Data_NV!$A:$I,9,0)</f>
        <v>0.70833333333333337</v>
      </c>
      <c r="Y35" s="11">
        <f>IFERROR(TIMEVALUE(Table2[[#This Row],[Vào]]),0)</f>
        <v>0.31070601851851853</v>
      </c>
      <c r="Z35" s="11">
        <f>IFERROR(TIMEVALUE(Table2[[#This Row],[Ra]]),0)</f>
        <v>0</v>
      </c>
      <c r="AA35" t="str">
        <f t="shared" ref="AA35:AA62" si="7">IF(OR(AND(Y35=0,Z35=0),AG35="Không chấm công do vi phạm quá 3 lần"),"",IF(OR(AG35="Trừ 1/2 ngày lương",AF35="Trừ 1/2 ngày lương",AB35&gt;=60),"1/2","x"))</f>
        <v>x</v>
      </c>
      <c r="AB35" s="14">
        <f t="shared" si="4"/>
        <v>0</v>
      </c>
      <c r="AC35" s="14" t="str">
        <f>IF(VLOOKUP(A35,Data_NV!$A:$I,7,0)="Không","",IF(OR(AND(Y35=0,Z35=0),AND(Y35&lt;&gt;0,Z35&lt;&gt;0)),"","Quên chấm công"))</f>
        <v/>
      </c>
      <c r="AD35" s="14">
        <f>IF(VLOOKUP(A35,Data_NV!$A:$I,7,0)="Không",0,IF(AND(Y35=0,Z35=0),0,IF(X35&lt;=Z35,0,ROUNDDOWN((X35-Z35)*24*60,0))))</f>
        <v>0</v>
      </c>
      <c r="AE35" s="14">
        <f>IF(VLOOKUP(A35,Data_NV!$A:$I,6,0)="Không",0,IF(Z35&lt;=X35,0,ROUNDDOWN((Z35-X35)*24*60,0)))</f>
        <v>0</v>
      </c>
      <c r="AF35" s="29">
        <f t="shared" si="6"/>
        <v>0</v>
      </c>
      <c r="AG35" s="30" t="str">
        <f>IF(AC35="","",IF(COUNTIFS($AC$3:AC35,"Quên chấm công",$S$3:S35,S35)&gt;3,"Không chấm công do vi phạm quá 3 lần",IF(COUNTIFS($AC$3:AC35,"Quên chấm công",$S$3:S35,S35)&gt;2,"Trừ toàn bộ chuyên cần tháng do vi phạm lần 3",IF(COUNTIFS($AC$3:AC35,"Quên chấm công",$S$3:S35,S35)&gt;1,"Trừ 1/2 ngày lương",50000))))</f>
        <v/>
      </c>
      <c r="AH35" s="14" t="str">
        <f>IF(AF35=0,"",IF(COUNTIFS($AF$3:AF35,"&gt;0",$S$3:S35,S35)&gt;3,"Trừ toàn bộ chuyên cần tháng",""))</f>
        <v/>
      </c>
      <c r="AI35" s="14"/>
      <c r="AJ35" s="14"/>
    </row>
    <row r="36" spans="1:36" x14ac:dyDescent="0.25">
      <c r="A36" s="4" t="s">
        <v>112</v>
      </c>
      <c r="B36" s="1" t="s">
        <v>113</v>
      </c>
      <c r="C36" s="1" t="s">
        <v>19</v>
      </c>
      <c r="D36" s="1" t="s">
        <v>31</v>
      </c>
      <c r="E36" s="1" t="s">
        <v>21</v>
      </c>
      <c r="F36" s="1" t="s">
        <v>22</v>
      </c>
      <c r="G36" s="1" t="s">
        <v>12</v>
      </c>
      <c r="H36" s="12" t="s">
        <v>115</v>
      </c>
      <c r="I36" s="1" t="s">
        <v>23</v>
      </c>
      <c r="J36" s="1" t="s">
        <v>24</v>
      </c>
      <c r="K36" s="1" t="s">
        <v>24</v>
      </c>
      <c r="L36" s="1" t="s">
        <v>25</v>
      </c>
      <c r="M36" s="1" t="s">
        <v>24</v>
      </c>
      <c r="N36" s="1" t="s">
        <v>24</v>
      </c>
      <c r="O36" s="1" t="s">
        <v>24</v>
      </c>
      <c r="P36" s="1" t="s">
        <v>24</v>
      </c>
      <c r="Q36" s="1" t="s">
        <v>24</v>
      </c>
      <c r="R36" s="75" t="str">
        <f t="shared" si="5"/>
        <v>2045904</v>
      </c>
      <c r="S36" t="str">
        <f>VLOOKUP(A36,Data_NV!$A:$C,3,0)</f>
        <v xml:space="preserve">Trương Quang Thanh    </v>
      </c>
      <c r="T36" t="str">
        <f>VLOOKUP(A36,Data_NV!$A:$E,4,0)</f>
        <v>Kinh doanh</v>
      </c>
      <c r="U36" s="72">
        <f>DATEVALUE(Table2[[#This Row],[Ngày]])</f>
        <v>45904</v>
      </c>
      <c r="V36" t="str">
        <f>VLOOKUP(A36,Data_NV!$A:$E,5,0)</f>
        <v>Đang làm việc</v>
      </c>
      <c r="W36" s="11">
        <f>VLOOKUP(A36,Data_NV!$A:$I,8,0)</f>
        <v>0.33333333333333331</v>
      </c>
      <c r="X36" s="11">
        <f>VLOOKUP(A36,Data_NV!$A:$I,9,0)</f>
        <v>0.70833333333333337</v>
      </c>
      <c r="Y36" s="11">
        <f>IFERROR(TIMEVALUE(Table2[[#This Row],[Vào]]),0)</f>
        <v>0.33164351851851853</v>
      </c>
      <c r="Z36" s="11">
        <f>IFERROR(TIMEVALUE(Table2[[#This Row],[Ra]]),0)</f>
        <v>0</v>
      </c>
      <c r="AA36" t="str">
        <f t="shared" si="7"/>
        <v>x</v>
      </c>
      <c r="AB36" s="14">
        <f t="shared" si="4"/>
        <v>0</v>
      </c>
      <c r="AC36" s="14" t="str">
        <f>IF(VLOOKUP(A36,Data_NV!$A:$I,7,0)="Không","",IF(OR(AND(Y36=0,Z36=0),AND(Y36&lt;&gt;0,Z36&lt;&gt;0)),"","Quên chấm công"))</f>
        <v/>
      </c>
      <c r="AD36" s="14">
        <f>IF(VLOOKUP(A36,Data_NV!$A:$I,7,0)="Không",0,IF(AND(Y36=0,Z36=0),0,IF(X36&lt;=Z36,0,ROUNDDOWN((X36-Z36)*24*60,0))))</f>
        <v>0</v>
      </c>
      <c r="AE36" s="14">
        <f>IF(VLOOKUP(A36,Data_NV!$A:$I,6,0)="Không",0,IF(Z36&lt;=X36,0,ROUNDDOWN((Z36-X36)*24*60,0)))</f>
        <v>0</v>
      </c>
      <c r="AF36" s="29">
        <f t="shared" si="6"/>
        <v>0</v>
      </c>
      <c r="AG36" s="30" t="str">
        <f>IF(AC36="","",IF(COUNTIFS($AC$3:AC36,"Quên chấm công",$S$3:S36,S36)&gt;3,"Không chấm công do vi phạm quá 3 lần",IF(COUNTIFS($AC$3:AC36,"Quên chấm công",$S$3:S36,S36)&gt;2,"Trừ toàn bộ chuyên cần tháng do vi phạm lần 3",IF(COUNTIFS($AC$3:AC36,"Quên chấm công",$S$3:S36,S36)&gt;1,"Trừ 1/2 ngày lương",50000))))</f>
        <v/>
      </c>
      <c r="AH36" s="14" t="str">
        <f>IF(AF36=0,"",IF(COUNTIFS($AF$3:AF36,"&gt;0",$S$3:S36,S36)&gt;3,"Trừ toàn bộ chuyên cần tháng",""))</f>
        <v/>
      </c>
      <c r="AI36" s="14"/>
      <c r="AJ36" s="14"/>
    </row>
    <row r="37" spans="1:36" x14ac:dyDescent="0.25">
      <c r="A37" s="4" t="s">
        <v>112</v>
      </c>
      <c r="B37" s="1" t="s">
        <v>113</v>
      </c>
      <c r="C37" s="1" t="s">
        <v>19</v>
      </c>
      <c r="D37" s="1" t="s">
        <v>32</v>
      </c>
      <c r="E37" s="1" t="s">
        <v>21</v>
      </c>
      <c r="F37" s="1" t="s">
        <v>22</v>
      </c>
      <c r="G37" s="1" t="s">
        <v>12</v>
      </c>
      <c r="H37" s="12" t="s">
        <v>116</v>
      </c>
      <c r="I37" s="1" t="s">
        <v>23</v>
      </c>
      <c r="J37" s="1" t="s">
        <v>24</v>
      </c>
      <c r="K37" s="1" t="s">
        <v>24</v>
      </c>
      <c r="L37" s="1" t="s">
        <v>25</v>
      </c>
      <c r="M37" s="1" t="s">
        <v>24</v>
      </c>
      <c r="N37" s="1" t="s">
        <v>24</v>
      </c>
      <c r="O37" s="1" t="s">
        <v>24</v>
      </c>
      <c r="P37" s="1" t="s">
        <v>24</v>
      </c>
      <c r="Q37" s="1" t="s">
        <v>24</v>
      </c>
      <c r="R37" s="75" t="str">
        <f t="shared" si="5"/>
        <v>2045905</v>
      </c>
      <c r="S37" t="str">
        <f>VLOOKUP(A37,Data_NV!$A:$C,3,0)</f>
        <v xml:space="preserve">Trương Quang Thanh    </v>
      </c>
      <c r="T37" t="str">
        <f>VLOOKUP(A37,Data_NV!$A:$E,4,0)</f>
        <v>Kinh doanh</v>
      </c>
      <c r="U37" s="72">
        <f>DATEVALUE(Table2[[#This Row],[Ngày]])</f>
        <v>45905</v>
      </c>
      <c r="V37" t="str">
        <f>VLOOKUP(A37,Data_NV!$A:$E,5,0)</f>
        <v>Đang làm việc</v>
      </c>
      <c r="W37" s="11">
        <f>VLOOKUP(A37,Data_NV!$A:$I,8,0)</f>
        <v>0.33333333333333331</v>
      </c>
      <c r="X37" s="11">
        <f>VLOOKUP(A37,Data_NV!$A:$I,9,0)</f>
        <v>0.70833333333333337</v>
      </c>
      <c r="Y37" s="11">
        <f>IFERROR(TIMEVALUE(Table2[[#This Row],[Vào]]),0)</f>
        <v>0.32010416666666669</v>
      </c>
      <c r="Z37" s="11">
        <f>IFERROR(TIMEVALUE(Table2[[#This Row],[Ra]]),0)</f>
        <v>0</v>
      </c>
      <c r="AA37" t="str">
        <f t="shared" si="7"/>
        <v>x</v>
      </c>
      <c r="AB37" s="14">
        <f t="shared" si="4"/>
        <v>0</v>
      </c>
      <c r="AC37" s="14" t="str">
        <f>IF(VLOOKUP(A37,Data_NV!$A:$I,7,0)="Không","",IF(OR(AND(Y37=0,Z37=0),AND(Y37&lt;&gt;0,Z37&lt;&gt;0)),"","Quên chấm công"))</f>
        <v/>
      </c>
      <c r="AD37" s="14">
        <f>IF(VLOOKUP(A37,Data_NV!$A:$I,7,0)="Không",0,IF(AND(Y37=0,Z37=0),0,IF(X37&lt;=Z37,0,ROUNDDOWN((X37-Z37)*24*60,0))))</f>
        <v>0</v>
      </c>
      <c r="AE37" s="14">
        <f>IF(VLOOKUP(A37,Data_NV!$A:$I,6,0)="Không",0,IF(Z37&lt;=X37,0,ROUNDDOWN((Z37-X37)*24*60,0)))</f>
        <v>0</v>
      </c>
      <c r="AF37" s="29">
        <f t="shared" si="6"/>
        <v>0</v>
      </c>
      <c r="AG37" s="30" t="str">
        <f>IF(AC37="","",IF(COUNTIFS($AC$3:AC37,"Quên chấm công",$S$3:S37,S37)&gt;3,"Không chấm công do vi phạm quá 3 lần",IF(COUNTIFS($AC$3:AC37,"Quên chấm công",$S$3:S37,S37)&gt;2,"Trừ toàn bộ chuyên cần tháng do vi phạm lần 3",IF(COUNTIFS($AC$3:AC37,"Quên chấm công",$S$3:S37,S37)&gt;1,"Trừ 1/2 ngày lương",50000))))</f>
        <v/>
      </c>
      <c r="AH37" s="14" t="str">
        <f>IF(AF37=0,"",IF(COUNTIFS($AF$3:AF37,"&gt;0",$S$3:S37,S37)&gt;3,"Trừ toàn bộ chuyên cần tháng",""))</f>
        <v/>
      </c>
      <c r="AI37" s="14"/>
      <c r="AJ37" s="14"/>
    </row>
    <row r="38" spans="1:36" x14ac:dyDescent="0.25">
      <c r="A38" s="4" t="s">
        <v>112</v>
      </c>
      <c r="B38" s="1" t="s">
        <v>113</v>
      </c>
      <c r="C38" s="1" t="s">
        <v>19</v>
      </c>
      <c r="D38" s="1" t="s">
        <v>33</v>
      </c>
      <c r="E38" s="1" t="s">
        <v>21</v>
      </c>
      <c r="F38" s="1" t="s">
        <v>22</v>
      </c>
      <c r="G38" s="1" t="s">
        <v>12</v>
      </c>
      <c r="H38" s="12" t="s">
        <v>23</v>
      </c>
      <c r="I38" s="1" t="s">
        <v>23</v>
      </c>
      <c r="J38" s="1" t="s">
        <v>24</v>
      </c>
      <c r="K38" s="1" t="s">
        <v>24</v>
      </c>
      <c r="L38" s="1" t="s">
        <v>25</v>
      </c>
      <c r="M38" s="1" t="s">
        <v>24</v>
      </c>
      <c r="N38" s="1" t="s">
        <v>24</v>
      </c>
      <c r="O38" s="1" t="s">
        <v>24</v>
      </c>
      <c r="P38" s="1" t="s">
        <v>24</v>
      </c>
      <c r="Q38" s="1" t="s">
        <v>24</v>
      </c>
      <c r="R38" s="75" t="str">
        <f t="shared" si="5"/>
        <v>2045906</v>
      </c>
      <c r="S38" t="str">
        <f>VLOOKUP(A38,Data_NV!$A:$C,3,0)</f>
        <v xml:space="preserve">Trương Quang Thanh    </v>
      </c>
      <c r="T38" t="str">
        <f>VLOOKUP(A38,Data_NV!$A:$E,4,0)</f>
        <v>Kinh doanh</v>
      </c>
      <c r="U38" s="72">
        <f>DATEVALUE(Table2[[#This Row],[Ngày]])</f>
        <v>45906</v>
      </c>
      <c r="V38" t="str">
        <f>VLOOKUP(A38,Data_NV!$A:$E,5,0)</f>
        <v>Đang làm việc</v>
      </c>
      <c r="W38" s="11">
        <f>VLOOKUP(A38,Data_NV!$A:$I,8,0)</f>
        <v>0.33333333333333331</v>
      </c>
      <c r="X38" s="11">
        <f>VLOOKUP(A38,Data_NV!$A:$I,9,0)</f>
        <v>0.70833333333333337</v>
      </c>
      <c r="Y38" s="11">
        <f>IFERROR(TIMEVALUE(Table2[[#This Row],[Vào]]),0)</f>
        <v>0</v>
      </c>
      <c r="Z38" s="11">
        <f>IFERROR(TIMEVALUE(Table2[[#This Row],[Ra]]),0)</f>
        <v>0</v>
      </c>
      <c r="AA38" t="str">
        <f t="shared" si="7"/>
        <v/>
      </c>
      <c r="AB38" s="14">
        <f t="shared" si="4"/>
        <v>0</v>
      </c>
      <c r="AC38" s="14" t="str">
        <f>IF(VLOOKUP(A38,Data_NV!$A:$I,7,0)="Không","",IF(OR(AND(Y38=0,Z38=0),AND(Y38&lt;&gt;0,Z38&lt;&gt;0)),"","Quên chấm công"))</f>
        <v/>
      </c>
      <c r="AD38" s="14">
        <f>IF(VLOOKUP(A38,Data_NV!$A:$I,7,0)="Không",0,IF(AND(Y38=0,Z38=0),0,IF(X38&lt;=Z38,0,ROUNDDOWN((X38-Z38)*24*60,0))))</f>
        <v>0</v>
      </c>
      <c r="AE38" s="14">
        <f>IF(VLOOKUP(A38,Data_NV!$A:$I,6,0)="Không",0,IF(Z38&lt;=X38,0,ROUNDDOWN((Z38-X38)*24*60,0)))</f>
        <v>0</v>
      </c>
      <c r="AF38" s="29">
        <f t="shared" si="6"/>
        <v>0</v>
      </c>
      <c r="AG38" s="30" t="str">
        <f>IF(AC38="","",IF(COUNTIFS($AC$3:AC38,"Quên chấm công",$S$3:S38,S38)&gt;3,"Không chấm công do vi phạm quá 3 lần",IF(COUNTIFS($AC$3:AC38,"Quên chấm công",$S$3:S38,S38)&gt;2,"Trừ toàn bộ chuyên cần tháng do vi phạm lần 3",IF(COUNTIFS($AC$3:AC38,"Quên chấm công",$S$3:S38,S38)&gt;1,"Trừ 1/2 ngày lương",50000))))</f>
        <v/>
      </c>
      <c r="AH38" s="14" t="str">
        <f>IF(AF38=0,"",IF(COUNTIFS($AF$3:AF38,"&gt;0",$S$3:S38,S38)&gt;3,"Trừ toàn bộ chuyên cần tháng",""))</f>
        <v/>
      </c>
      <c r="AI38" s="14"/>
      <c r="AJ38" s="14"/>
    </row>
    <row r="39" spans="1:36" x14ac:dyDescent="0.25">
      <c r="A39" s="4" t="s">
        <v>112</v>
      </c>
      <c r="B39" s="1" t="s">
        <v>113</v>
      </c>
      <c r="C39" s="1" t="s">
        <v>19</v>
      </c>
      <c r="D39" s="1" t="s">
        <v>35</v>
      </c>
      <c r="E39" s="1" t="s">
        <v>21</v>
      </c>
      <c r="F39" s="1" t="s">
        <v>22</v>
      </c>
      <c r="G39" s="1" t="s">
        <v>12</v>
      </c>
      <c r="H39" s="12" t="s">
        <v>23</v>
      </c>
      <c r="I39" s="1" t="s">
        <v>23</v>
      </c>
      <c r="J39" s="1" t="s">
        <v>24</v>
      </c>
      <c r="K39" s="1" t="s">
        <v>24</v>
      </c>
      <c r="L39" s="1" t="s">
        <v>25</v>
      </c>
      <c r="M39" s="1" t="s">
        <v>24</v>
      </c>
      <c r="N39" s="1" t="s">
        <v>24</v>
      </c>
      <c r="O39" s="1" t="s">
        <v>24</v>
      </c>
      <c r="P39" s="1" t="s">
        <v>24</v>
      </c>
      <c r="Q39" s="1" t="s">
        <v>24</v>
      </c>
      <c r="R39" s="75" t="str">
        <f t="shared" si="5"/>
        <v>2045907</v>
      </c>
      <c r="S39" t="str">
        <f>VLOOKUP(A39,Data_NV!$A:$C,3,0)</f>
        <v xml:space="preserve">Trương Quang Thanh    </v>
      </c>
      <c r="T39" t="str">
        <f>VLOOKUP(A39,Data_NV!$A:$E,4,0)</f>
        <v>Kinh doanh</v>
      </c>
      <c r="U39" s="72">
        <f>DATEVALUE(Table2[[#This Row],[Ngày]])</f>
        <v>45907</v>
      </c>
      <c r="V39" t="str">
        <f>VLOOKUP(A39,Data_NV!$A:$E,5,0)</f>
        <v>Đang làm việc</v>
      </c>
      <c r="W39" s="11">
        <f>VLOOKUP(A39,Data_NV!$A:$I,8,0)</f>
        <v>0.33333333333333331</v>
      </c>
      <c r="X39" s="11">
        <f>VLOOKUP(A39,Data_NV!$A:$I,9,0)</f>
        <v>0.70833333333333337</v>
      </c>
      <c r="Y39" s="11">
        <f>IFERROR(TIMEVALUE(Table2[[#This Row],[Vào]]),0)</f>
        <v>0</v>
      </c>
      <c r="Z39" s="11">
        <f>IFERROR(TIMEVALUE(Table2[[#This Row],[Ra]]),0)</f>
        <v>0</v>
      </c>
      <c r="AA39" t="str">
        <f t="shared" si="7"/>
        <v/>
      </c>
      <c r="AB39" s="14">
        <f t="shared" si="4"/>
        <v>0</v>
      </c>
      <c r="AC39" s="14" t="str">
        <f>IF(VLOOKUP(A39,Data_NV!$A:$I,7,0)="Không","",IF(OR(AND(Y39=0,Z39=0),AND(Y39&lt;&gt;0,Z39&lt;&gt;0)),"","Quên chấm công"))</f>
        <v/>
      </c>
      <c r="AD39" s="14">
        <f>IF(VLOOKUP(A39,Data_NV!$A:$I,7,0)="Không",0,IF(AND(Y39=0,Z39=0),0,IF(X39&lt;=Z39,0,ROUNDDOWN((X39-Z39)*24*60,0))))</f>
        <v>0</v>
      </c>
      <c r="AE39" s="14">
        <f>IF(VLOOKUP(A39,Data_NV!$A:$I,6,0)="Không",0,IF(Z39&lt;=X39,0,ROUNDDOWN((Z39-X39)*24*60,0)))</f>
        <v>0</v>
      </c>
      <c r="AF39" s="29">
        <f t="shared" si="6"/>
        <v>0</v>
      </c>
      <c r="AG39" s="30" t="str">
        <f>IF(AC39="","",IF(COUNTIFS($AC$3:AC39,"Quên chấm công",$S$3:S39,S39)&gt;3,"Không chấm công do vi phạm quá 3 lần",IF(COUNTIFS($AC$3:AC39,"Quên chấm công",$S$3:S39,S39)&gt;2,"Trừ toàn bộ chuyên cần tháng do vi phạm lần 3",IF(COUNTIFS($AC$3:AC39,"Quên chấm công",$S$3:S39,S39)&gt;1,"Trừ 1/2 ngày lương",50000))))</f>
        <v/>
      </c>
      <c r="AH39" s="14" t="str">
        <f>IF(AF39=0,"",IF(COUNTIFS($AF$3:AF39,"&gt;0",$S$3:S39,S39)&gt;3,"Trừ toàn bộ chuyên cần tháng",""))</f>
        <v/>
      </c>
      <c r="AI39" s="14"/>
      <c r="AJ39" s="14"/>
    </row>
    <row r="40" spans="1:36" x14ac:dyDescent="0.25">
      <c r="A40" s="4" t="s">
        <v>112</v>
      </c>
      <c r="B40" s="1" t="s">
        <v>113</v>
      </c>
      <c r="C40" s="1" t="s">
        <v>19</v>
      </c>
      <c r="D40" s="1" t="s">
        <v>36</v>
      </c>
      <c r="E40" s="1" t="s">
        <v>21</v>
      </c>
      <c r="F40" s="1" t="s">
        <v>22</v>
      </c>
      <c r="G40" s="1" t="s">
        <v>12</v>
      </c>
      <c r="H40" s="12" t="s">
        <v>117</v>
      </c>
      <c r="I40" s="1" t="s">
        <v>23</v>
      </c>
      <c r="J40" s="1" t="s">
        <v>24</v>
      </c>
      <c r="K40" s="1" t="s">
        <v>24</v>
      </c>
      <c r="L40" s="1" t="s">
        <v>25</v>
      </c>
      <c r="M40" s="1" t="s">
        <v>24</v>
      </c>
      <c r="N40" s="1" t="s">
        <v>24</v>
      </c>
      <c r="O40" s="1" t="s">
        <v>24</v>
      </c>
      <c r="P40" s="1" t="s">
        <v>24</v>
      </c>
      <c r="Q40" s="1" t="s">
        <v>24</v>
      </c>
      <c r="R40" s="75" t="str">
        <f t="shared" si="5"/>
        <v>2045908</v>
      </c>
      <c r="S40" t="str">
        <f>VLOOKUP(A40,Data_NV!$A:$C,3,0)</f>
        <v xml:space="preserve">Trương Quang Thanh    </v>
      </c>
      <c r="T40" t="str">
        <f>VLOOKUP(A40,Data_NV!$A:$E,4,0)</f>
        <v>Kinh doanh</v>
      </c>
      <c r="U40" s="72">
        <f>DATEVALUE(Table2[[#This Row],[Ngày]])</f>
        <v>45908</v>
      </c>
      <c r="V40" t="str">
        <f>VLOOKUP(A40,Data_NV!$A:$E,5,0)</f>
        <v>Đang làm việc</v>
      </c>
      <c r="W40" s="11">
        <f>VLOOKUP(A40,Data_NV!$A:$I,8,0)</f>
        <v>0.33333333333333331</v>
      </c>
      <c r="X40" s="11">
        <f>VLOOKUP(A40,Data_NV!$A:$I,9,0)</f>
        <v>0.70833333333333337</v>
      </c>
      <c r="Y40" s="11">
        <f>IFERROR(TIMEVALUE(Table2[[#This Row],[Vào]]),0)</f>
        <v>0.30450231481481482</v>
      </c>
      <c r="Z40" s="11">
        <f>IFERROR(TIMEVALUE(Table2[[#This Row],[Ra]]),0)</f>
        <v>0</v>
      </c>
      <c r="AA40" t="str">
        <f t="shared" si="7"/>
        <v>x</v>
      </c>
      <c r="AB40" s="14">
        <f t="shared" si="4"/>
        <v>0</v>
      </c>
      <c r="AC40" s="14" t="str">
        <f>IF(VLOOKUP(A40,Data_NV!$A:$I,7,0)="Không","",IF(OR(AND(Y40=0,Z40=0),AND(Y40&lt;&gt;0,Z40&lt;&gt;0)),"","Quên chấm công"))</f>
        <v/>
      </c>
      <c r="AD40" s="14">
        <f>IF(VLOOKUP(A40,Data_NV!$A:$I,7,0)="Không",0,IF(AND(Y40=0,Z40=0),0,IF(X40&lt;=Z40,0,ROUNDDOWN((X40-Z40)*24*60,0))))</f>
        <v>0</v>
      </c>
      <c r="AE40" s="14">
        <f>IF(VLOOKUP(A40,Data_NV!$A:$I,6,0)="Không",0,IF(Z40&lt;=X40,0,ROUNDDOWN((Z40-X40)*24*60,0)))</f>
        <v>0</v>
      </c>
      <c r="AF40" s="29">
        <f t="shared" si="6"/>
        <v>0</v>
      </c>
      <c r="AG40" s="30" t="str">
        <f>IF(AC40="","",IF(COUNTIFS($AC$3:AC40,"Quên chấm công",$S$3:S40,S40)&gt;3,"Không chấm công do vi phạm quá 3 lần",IF(COUNTIFS($AC$3:AC40,"Quên chấm công",$S$3:S40,S40)&gt;2,"Trừ toàn bộ chuyên cần tháng do vi phạm lần 3",IF(COUNTIFS($AC$3:AC40,"Quên chấm công",$S$3:S40,S40)&gt;1,"Trừ 1/2 ngày lương",50000))))</f>
        <v/>
      </c>
      <c r="AH40" s="14" t="str">
        <f>IF(AF40=0,"",IF(COUNTIFS($AF$3:AF40,"&gt;0",$S$3:S40,S40)&gt;3,"Trừ toàn bộ chuyên cần tháng",""))</f>
        <v/>
      </c>
      <c r="AI40" s="14"/>
      <c r="AJ40" s="14"/>
    </row>
    <row r="41" spans="1:36" x14ac:dyDescent="0.25">
      <c r="A41" s="4" t="s">
        <v>112</v>
      </c>
      <c r="B41" s="1" t="s">
        <v>113</v>
      </c>
      <c r="C41" s="1" t="s">
        <v>19</v>
      </c>
      <c r="D41" s="1" t="s">
        <v>37</v>
      </c>
      <c r="E41" s="1" t="s">
        <v>21</v>
      </c>
      <c r="F41" s="1" t="s">
        <v>22</v>
      </c>
      <c r="G41" s="1" t="s">
        <v>12</v>
      </c>
      <c r="H41" s="12" t="s">
        <v>118</v>
      </c>
      <c r="I41" s="1" t="s">
        <v>23</v>
      </c>
      <c r="J41" s="1" t="s">
        <v>24</v>
      </c>
      <c r="K41" s="1" t="s">
        <v>24</v>
      </c>
      <c r="L41" s="1" t="s">
        <v>25</v>
      </c>
      <c r="M41" s="1" t="s">
        <v>24</v>
      </c>
      <c r="N41" s="1" t="s">
        <v>24</v>
      </c>
      <c r="O41" s="1" t="s">
        <v>24</v>
      </c>
      <c r="P41" s="1" t="s">
        <v>24</v>
      </c>
      <c r="Q41" s="1" t="s">
        <v>24</v>
      </c>
      <c r="R41" s="75" t="str">
        <f t="shared" si="5"/>
        <v>2045909</v>
      </c>
      <c r="S41" t="str">
        <f>VLOOKUP(A41,Data_NV!$A:$C,3,0)</f>
        <v xml:space="preserve">Trương Quang Thanh    </v>
      </c>
      <c r="T41" t="str">
        <f>VLOOKUP(A41,Data_NV!$A:$E,4,0)</f>
        <v>Kinh doanh</v>
      </c>
      <c r="U41" s="72">
        <f>DATEVALUE(Table2[[#This Row],[Ngày]])</f>
        <v>45909</v>
      </c>
      <c r="V41" t="str">
        <f>VLOOKUP(A41,Data_NV!$A:$E,5,0)</f>
        <v>Đang làm việc</v>
      </c>
      <c r="W41" s="11">
        <f>VLOOKUP(A41,Data_NV!$A:$I,8,0)</f>
        <v>0.33333333333333331</v>
      </c>
      <c r="X41" s="11">
        <f>VLOOKUP(A41,Data_NV!$A:$I,9,0)</f>
        <v>0.70833333333333337</v>
      </c>
      <c r="Y41" s="11">
        <f>IFERROR(TIMEVALUE(Table2[[#This Row],[Vào]]),0)</f>
        <v>0.32732638888888888</v>
      </c>
      <c r="Z41" s="11">
        <f>IFERROR(TIMEVALUE(Table2[[#This Row],[Ra]]),0)</f>
        <v>0</v>
      </c>
      <c r="AA41" t="str">
        <f t="shared" si="7"/>
        <v>x</v>
      </c>
      <c r="AB41" s="14">
        <f t="shared" si="4"/>
        <v>0</v>
      </c>
      <c r="AC41" s="14" t="str">
        <f>IF(VLOOKUP(A41,Data_NV!$A:$I,7,0)="Không","",IF(OR(AND(Y41=0,Z41=0),AND(Y41&lt;&gt;0,Z41&lt;&gt;0)),"","Quên chấm công"))</f>
        <v/>
      </c>
      <c r="AD41" s="14">
        <f>IF(VLOOKUP(A41,Data_NV!$A:$I,7,0)="Không",0,IF(AND(Y41=0,Z41=0),0,IF(X41&lt;=Z41,0,ROUNDDOWN((X41-Z41)*24*60,0))))</f>
        <v>0</v>
      </c>
      <c r="AE41" s="14">
        <f>IF(VLOOKUP(A41,Data_NV!$A:$I,6,0)="Không",0,IF(Z41&lt;=X41,0,ROUNDDOWN((Z41-X41)*24*60,0)))</f>
        <v>0</v>
      </c>
      <c r="AF41" s="29">
        <f t="shared" si="6"/>
        <v>0</v>
      </c>
      <c r="AG41" s="30" t="str">
        <f>IF(AC41="","",IF(COUNTIFS($AC$3:AC41,"Quên chấm công",$S$3:S41,S41)&gt;3,"Không chấm công do vi phạm quá 3 lần",IF(COUNTIFS($AC$3:AC41,"Quên chấm công",$S$3:S41,S41)&gt;2,"Trừ toàn bộ chuyên cần tháng do vi phạm lần 3",IF(COUNTIFS($AC$3:AC41,"Quên chấm công",$S$3:S41,S41)&gt;1,"Trừ 1/2 ngày lương",50000))))</f>
        <v/>
      </c>
      <c r="AH41" s="14" t="str">
        <f>IF(AF41=0,"",IF(COUNTIFS($AF$3:AF41,"&gt;0",$S$3:S41,S41)&gt;3,"Trừ toàn bộ chuyên cần tháng",""))</f>
        <v/>
      </c>
      <c r="AI41" s="14"/>
      <c r="AJ41" s="14"/>
    </row>
    <row r="42" spans="1:36" x14ac:dyDescent="0.25">
      <c r="A42" s="4" t="s">
        <v>112</v>
      </c>
      <c r="B42" s="1" t="s">
        <v>113</v>
      </c>
      <c r="C42" s="1" t="s">
        <v>19</v>
      </c>
      <c r="D42" s="1" t="s">
        <v>38</v>
      </c>
      <c r="E42" s="1" t="s">
        <v>21</v>
      </c>
      <c r="F42" s="1" t="s">
        <v>22</v>
      </c>
      <c r="G42" s="1" t="s">
        <v>12</v>
      </c>
      <c r="H42" s="12" t="s">
        <v>119</v>
      </c>
      <c r="I42" s="1" t="s">
        <v>23</v>
      </c>
      <c r="J42" s="1" t="s">
        <v>24</v>
      </c>
      <c r="K42" s="1" t="s">
        <v>24</v>
      </c>
      <c r="L42" s="1" t="s">
        <v>25</v>
      </c>
      <c r="M42" s="1" t="s">
        <v>24</v>
      </c>
      <c r="N42" s="1" t="s">
        <v>24</v>
      </c>
      <c r="O42" s="1" t="s">
        <v>24</v>
      </c>
      <c r="P42" s="1" t="s">
        <v>24</v>
      </c>
      <c r="Q42" s="1" t="s">
        <v>24</v>
      </c>
      <c r="R42" s="75" t="str">
        <f t="shared" si="5"/>
        <v>2045910</v>
      </c>
      <c r="S42" t="str">
        <f>VLOOKUP(A42,Data_NV!$A:$C,3,0)</f>
        <v xml:space="preserve">Trương Quang Thanh    </v>
      </c>
      <c r="T42" t="str">
        <f>VLOOKUP(A42,Data_NV!$A:$E,4,0)</f>
        <v>Kinh doanh</v>
      </c>
      <c r="U42" s="72">
        <f>DATEVALUE(Table2[[#This Row],[Ngày]])</f>
        <v>45910</v>
      </c>
      <c r="V42" t="str">
        <f>VLOOKUP(A42,Data_NV!$A:$E,5,0)</f>
        <v>Đang làm việc</v>
      </c>
      <c r="W42" s="11">
        <f>VLOOKUP(A42,Data_NV!$A:$I,8,0)</f>
        <v>0.33333333333333331</v>
      </c>
      <c r="X42" s="11">
        <f>VLOOKUP(A42,Data_NV!$A:$I,9,0)</f>
        <v>0.70833333333333337</v>
      </c>
      <c r="Y42" s="11">
        <f>IFERROR(TIMEVALUE(Table2[[#This Row],[Vào]]),0)</f>
        <v>0.32385416666666667</v>
      </c>
      <c r="Z42" s="11">
        <f>IFERROR(TIMEVALUE(Table2[[#This Row],[Ra]]),0)</f>
        <v>0</v>
      </c>
      <c r="AA42" t="str">
        <f t="shared" si="7"/>
        <v>x</v>
      </c>
      <c r="AB42" s="14">
        <f t="shared" si="4"/>
        <v>0</v>
      </c>
      <c r="AC42" s="14" t="str">
        <f>IF(VLOOKUP(A42,Data_NV!$A:$I,7,0)="Không","",IF(OR(AND(Y42=0,Z42=0),AND(Y42&lt;&gt;0,Z42&lt;&gt;0)),"","Quên chấm công"))</f>
        <v/>
      </c>
      <c r="AD42" s="14">
        <f>IF(VLOOKUP(A42,Data_NV!$A:$I,7,0)="Không",0,IF(AND(Y42=0,Z42=0),0,IF(X42&lt;=Z42,0,ROUNDDOWN((X42-Z42)*24*60,0))))</f>
        <v>0</v>
      </c>
      <c r="AE42" s="14">
        <f>IF(VLOOKUP(A42,Data_NV!$A:$I,6,0)="Không",0,IF(Z42&lt;=X42,0,ROUNDDOWN((Z42-X42)*24*60,0)))</f>
        <v>0</v>
      </c>
      <c r="AF42" s="29">
        <f t="shared" si="6"/>
        <v>0</v>
      </c>
      <c r="AG42" s="30" t="str">
        <f>IF(AC42="","",IF(COUNTIFS($AC$3:AC42,"Quên chấm công",$S$3:S42,S42)&gt;3,"Không chấm công do vi phạm quá 3 lần",IF(COUNTIFS($AC$3:AC42,"Quên chấm công",$S$3:S42,S42)&gt;2,"Trừ toàn bộ chuyên cần tháng do vi phạm lần 3",IF(COUNTIFS($AC$3:AC42,"Quên chấm công",$S$3:S42,S42)&gt;1,"Trừ 1/2 ngày lương",50000))))</f>
        <v/>
      </c>
      <c r="AH42" s="14" t="str">
        <f>IF(AF42=0,"",IF(COUNTIFS($AF$3:AF42,"&gt;0",$S$3:S42,S42)&gt;3,"Trừ toàn bộ chuyên cần tháng",""))</f>
        <v/>
      </c>
      <c r="AI42" s="14"/>
      <c r="AJ42" s="14"/>
    </row>
    <row r="43" spans="1:36" x14ac:dyDescent="0.25">
      <c r="A43" s="4" t="s">
        <v>112</v>
      </c>
      <c r="B43" s="1" t="s">
        <v>113</v>
      </c>
      <c r="C43" s="1" t="s">
        <v>19</v>
      </c>
      <c r="D43" s="1" t="s">
        <v>39</v>
      </c>
      <c r="E43" s="1" t="s">
        <v>21</v>
      </c>
      <c r="F43" s="1" t="s">
        <v>22</v>
      </c>
      <c r="G43" s="1" t="s">
        <v>12</v>
      </c>
      <c r="H43" s="12" t="s">
        <v>120</v>
      </c>
      <c r="I43" s="1" t="s">
        <v>23</v>
      </c>
      <c r="J43" s="1" t="s">
        <v>24</v>
      </c>
      <c r="K43" s="1" t="s">
        <v>24</v>
      </c>
      <c r="L43" s="1" t="s">
        <v>25</v>
      </c>
      <c r="M43" s="1" t="s">
        <v>24</v>
      </c>
      <c r="N43" s="1" t="s">
        <v>24</v>
      </c>
      <c r="O43" s="1" t="s">
        <v>24</v>
      </c>
      <c r="P43" s="1" t="s">
        <v>24</v>
      </c>
      <c r="Q43" s="1" t="s">
        <v>24</v>
      </c>
      <c r="R43" s="75" t="str">
        <f t="shared" si="5"/>
        <v>2045911</v>
      </c>
      <c r="S43" t="str">
        <f>VLOOKUP(A43,Data_NV!$A:$C,3,0)</f>
        <v xml:space="preserve">Trương Quang Thanh    </v>
      </c>
      <c r="T43" t="str">
        <f>VLOOKUP(A43,Data_NV!$A:$E,4,0)</f>
        <v>Kinh doanh</v>
      </c>
      <c r="U43" s="72">
        <f>DATEVALUE(Table2[[#This Row],[Ngày]])</f>
        <v>45911</v>
      </c>
      <c r="V43" t="str">
        <f>VLOOKUP(A43,Data_NV!$A:$E,5,0)</f>
        <v>Đang làm việc</v>
      </c>
      <c r="W43" s="11">
        <f>VLOOKUP(A43,Data_NV!$A:$I,8,0)</f>
        <v>0.33333333333333331</v>
      </c>
      <c r="X43" s="11">
        <f>VLOOKUP(A43,Data_NV!$A:$I,9,0)</f>
        <v>0.70833333333333337</v>
      </c>
      <c r="Y43" s="11">
        <f>IFERROR(TIMEVALUE(Table2[[#This Row],[Vào]]),0)</f>
        <v>0.32715277777777779</v>
      </c>
      <c r="Z43" s="11">
        <f>IFERROR(TIMEVALUE(Table2[[#This Row],[Ra]]),0)</f>
        <v>0</v>
      </c>
      <c r="AA43" t="str">
        <f t="shared" si="7"/>
        <v>x</v>
      </c>
      <c r="AB43" s="14">
        <f t="shared" si="4"/>
        <v>0</v>
      </c>
      <c r="AC43" s="14" t="str">
        <f>IF(VLOOKUP(A43,Data_NV!$A:$I,7,0)="Không","",IF(OR(AND(Y43=0,Z43=0),AND(Y43&lt;&gt;0,Z43&lt;&gt;0)),"","Quên chấm công"))</f>
        <v/>
      </c>
      <c r="AD43" s="14">
        <f>IF(VLOOKUP(A43,Data_NV!$A:$I,7,0)="Không",0,IF(AND(Y43=0,Z43=0),0,IF(X43&lt;=Z43,0,ROUNDDOWN((X43-Z43)*24*60,0))))</f>
        <v>0</v>
      </c>
      <c r="AE43" s="14">
        <f>IF(VLOOKUP(A43,Data_NV!$A:$I,6,0)="Không",0,IF(Z43&lt;=X43,0,ROUNDDOWN((Z43-X43)*24*60,0)))</f>
        <v>0</v>
      </c>
      <c r="AF43" s="29">
        <f t="shared" si="6"/>
        <v>0</v>
      </c>
      <c r="AG43" s="30" t="str">
        <f>IF(AC43="","",IF(COUNTIFS($AC$3:AC43,"Quên chấm công",$S$3:S43,S43)&gt;3,"Không chấm công do vi phạm quá 3 lần",IF(COUNTIFS($AC$3:AC43,"Quên chấm công",$S$3:S43,S43)&gt;2,"Trừ toàn bộ chuyên cần tháng do vi phạm lần 3",IF(COUNTIFS($AC$3:AC43,"Quên chấm công",$S$3:S43,S43)&gt;1,"Trừ 1/2 ngày lương",50000))))</f>
        <v/>
      </c>
      <c r="AH43" s="14" t="str">
        <f>IF(AF43=0,"",IF(COUNTIFS($AF$3:AF43,"&gt;0",$S$3:S43,S43)&gt;3,"Trừ toàn bộ chuyên cần tháng",""))</f>
        <v/>
      </c>
      <c r="AI43" s="14"/>
      <c r="AJ43" s="14"/>
    </row>
    <row r="44" spans="1:36" x14ac:dyDescent="0.25">
      <c r="A44" s="4" t="s">
        <v>112</v>
      </c>
      <c r="B44" s="1" t="s">
        <v>113</v>
      </c>
      <c r="C44" s="1" t="s">
        <v>19</v>
      </c>
      <c r="D44" s="1" t="s">
        <v>40</v>
      </c>
      <c r="E44" s="1" t="s">
        <v>21</v>
      </c>
      <c r="F44" s="1" t="s">
        <v>22</v>
      </c>
      <c r="G44" s="1" t="s">
        <v>12</v>
      </c>
      <c r="H44" s="12" t="s">
        <v>23</v>
      </c>
      <c r="I44" s="1" t="s">
        <v>23</v>
      </c>
      <c r="J44" s="1" t="s">
        <v>24</v>
      </c>
      <c r="K44" s="1" t="s">
        <v>24</v>
      </c>
      <c r="L44" s="1" t="s">
        <v>25</v>
      </c>
      <c r="M44" s="1" t="s">
        <v>24</v>
      </c>
      <c r="N44" s="1" t="s">
        <v>24</v>
      </c>
      <c r="O44" s="1" t="s">
        <v>24</v>
      </c>
      <c r="P44" s="1" t="s">
        <v>24</v>
      </c>
      <c r="Q44" s="1" t="s">
        <v>24</v>
      </c>
      <c r="R44" s="75" t="str">
        <f t="shared" si="5"/>
        <v>2045912</v>
      </c>
      <c r="S44" t="str">
        <f>VLOOKUP(A44,Data_NV!$A:$C,3,0)</f>
        <v xml:space="preserve">Trương Quang Thanh    </v>
      </c>
      <c r="T44" t="str">
        <f>VLOOKUP(A44,Data_NV!$A:$E,4,0)</f>
        <v>Kinh doanh</v>
      </c>
      <c r="U44" s="72">
        <f>DATEVALUE(Table2[[#This Row],[Ngày]])</f>
        <v>45912</v>
      </c>
      <c r="V44" t="str">
        <f>VLOOKUP(A44,Data_NV!$A:$E,5,0)</f>
        <v>Đang làm việc</v>
      </c>
      <c r="W44" s="11">
        <f>VLOOKUP(A44,Data_NV!$A:$I,8,0)</f>
        <v>0.33333333333333331</v>
      </c>
      <c r="X44" s="11">
        <f>VLOOKUP(A44,Data_NV!$A:$I,9,0)</f>
        <v>0.70833333333333337</v>
      </c>
      <c r="Y44" s="11">
        <f>IFERROR(TIMEVALUE(Table2[[#This Row],[Vào]]),0)</f>
        <v>0</v>
      </c>
      <c r="Z44" s="11">
        <f>IFERROR(TIMEVALUE(Table2[[#This Row],[Ra]]),0)</f>
        <v>0</v>
      </c>
      <c r="AA44" t="str">
        <f t="shared" si="7"/>
        <v/>
      </c>
      <c r="AB44" s="14">
        <f t="shared" si="4"/>
        <v>0</v>
      </c>
      <c r="AC44" s="14" t="str">
        <f>IF(VLOOKUP(A44,Data_NV!$A:$I,7,0)="Không","",IF(OR(AND(Y44=0,Z44=0),AND(Y44&lt;&gt;0,Z44&lt;&gt;0)),"","Quên chấm công"))</f>
        <v/>
      </c>
      <c r="AD44" s="14">
        <f>IF(VLOOKUP(A44,Data_NV!$A:$I,7,0)="Không",0,IF(AND(Y44=0,Z44=0),0,IF(X44&lt;=Z44,0,ROUNDDOWN((X44-Z44)*24*60,0))))</f>
        <v>0</v>
      </c>
      <c r="AE44" s="14">
        <f>IF(VLOOKUP(A44,Data_NV!$A:$I,6,0)="Không",0,IF(Z44&lt;=X44,0,ROUNDDOWN((Z44-X44)*24*60,0)))</f>
        <v>0</v>
      </c>
      <c r="AF44" s="29">
        <f t="shared" si="6"/>
        <v>0</v>
      </c>
      <c r="AG44" s="30" t="str">
        <f>IF(AC44="","",IF(COUNTIFS($AC$3:AC44,"Quên chấm công",$S$3:S44,S44)&gt;3,"Không chấm công do vi phạm quá 3 lần",IF(COUNTIFS($AC$3:AC44,"Quên chấm công",$S$3:S44,S44)&gt;2,"Trừ toàn bộ chuyên cần tháng do vi phạm lần 3",IF(COUNTIFS($AC$3:AC44,"Quên chấm công",$S$3:S44,S44)&gt;1,"Trừ 1/2 ngày lương",50000))))</f>
        <v/>
      </c>
      <c r="AH44" s="14" t="str">
        <f>IF(AF44=0,"",IF(COUNTIFS($AF$3:AF44,"&gt;0",$S$3:S44,S44)&gt;3,"Trừ toàn bộ chuyên cần tháng",""))</f>
        <v/>
      </c>
      <c r="AI44" s="14"/>
      <c r="AJ44" s="14"/>
    </row>
    <row r="45" spans="1:36" x14ac:dyDescent="0.25">
      <c r="A45" s="4" t="s">
        <v>112</v>
      </c>
      <c r="B45" s="1" t="s">
        <v>113</v>
      </c>
      <c r="C45" s="1" t="s">
        <v>19</v>
      </c>
      <c r="D45" s="1" t="s">
        <v>41</v>
      </c>
      <c r="E45" s="1" t="s">
        <v>21</v>
      </c>
      <c r="F45" s="1" t="s">
        <v>22</v>
      </c>
      <c r="G45" s="1" t="s">
        <v>12</v>
      </c>
      <c r="H45" s="12" t="s">
        <v>121</v>
      </c>
      <c r="I45" s="1" t="s">
        <v>23</v>
      </c>
      <c r="J45" s="1" t="s">
        <v>24</v>
      </c>
      <c r="K45" s="1" t="s">
        <v>24</v>
      </c>
      <c r="L45" s="1" t="s">
        <v>25</v>
      </c>
      <c r="M45" s="1" t="s">
        <v>24</v>
      </c>
      <c r="N45" s="1" t="s">
        <v>24</v>
      </c>
      <c r="O45" s="1" t="s">
        <v>24</v>
      </c>
      <c r="P45" s="1" t="s">
        <v>24</v>
      </c>
      <c r="Q45" s="1" t="s">
        <v>24</v>
      </c>
      <c r="R45" s="75" t="str">
        <f t="shared" si="5"/>
        <v>2045913</v>
      </c>
      <c r="S45" t="str">
        <f>VLOOKUP(A45,Data_NV!$A:$C,3,0)</f>
        <v xml:space="preserve">Trương Quang Thanh    </v>
      </c>
      <c r="T45" t="str">
        <f>VLOOKUP(A45,Data_NV!$A:$E,4,0)</f>
        <v>Kinh doanh</v>
      </c>
      <c r="U45" s="72">
        <f>DATEVALUE(Table2[[#This Row],[Ngày]])</f>
        <v>45913</v>
      </c>
      <c r="V45" t="str">
        <f>VLOOKUP(A45,Data_NV!$A:$E,5,0)</f>
        <v>Đang làm việc</v>
      </c>
      <c r="W45" s="11">
        <f>VLOOKUP(A45,Data_NV!$A:$I,8,0)</f>
        <v>0.33333333333333331</v>
      </c>
      <c r="X45" s="11">
        <f>VLOOKUP(A45,Data_NV!$A:$I,9,0)</f>
        <v>0.70833333333333337</v>
      </c>
      <c r="Y45" s="11">
        <f>IFERROR(TIMEVALUE(Table2[[#This Row],[Vào]]),0)</f>
        <v>0.32283564814814814</v>
      </c>
      <c r="Z45" s="11">
        <f>IFERROR(TIMEVALUE(Table2[[#This Row],[Ra]]),0)</f>
        <v>0</v>
      </c>
      <c r="AA45" t="str">
        <f t="shared" si="7"/>
        <v>x</v>
      </c>
      <c r="AB45" s="14">
        <f t="shared" si="4"/>
        <v>0</v>
      </c>
      <c r="AC45" s="14" t="str">
        <f>IF(VLOOKUP(A45,Data_NV!$A:$I,7,0)="Không","",IF(OR(AND(Y45=0,Z45=0),AND(Y45&lt;&gt;0,Z45&lt;&gt;0)),"","Quên chấm công"))</f>
        <v/>
      </c>
      <c r="AD45" s="14">
        <f>IF(VLOOKUP(A45,Data_NV!$A:$I,7,0)="Không",0,IF(AND(Y45=0,Z45=0),0,IF(X45&lt;=Z45,0,ROUNDDOWN((X45-Z45)*24*60,0))))</f>
        <v>0</v>
      </c>
      <c r="AE45" s="14">
        <f>IF(VLOOKUP(A45,Data_NV!$A:$I,6,0)="Không",0,IF(Z45&lt;=X45,0,ROUNDDOWN((Z45-X45)*24*60,0)))</f>
        <v>0</v>
      </c>
      <c r="AF45" s="29">
        <f t="shared" si="6"/>
        <v>0</v>
      </c>
      <c r="AG45" s="30" t="str">
        <f>IF(AC45="","",IF(COUNTIFS($AC$3:AC45,"Quên chấm công",$S$3:S45,S45)&gt;3,"Không chấm công do vi phạm quá 3 lần",IF(COUNTIFS($AC$3:AC45,"Quên chấm công",$S$3:S45,S45)&gt;2,"Trừ toàn bộ chuyên cần tháng do vi phạm lần 3",IF(COUNTIFS($AC$3:AC45,"Quên chấm công",$S$3:S45,S45)&gt;1,"Trừ 1/2 ngày lương",50000))))</f>
        <v/>
      </c>
      <c r="AH45" s="14" t="str">
        <f>IF(AF45=0,"",IF(COUNTIFS($AF$3:AF45,"&gt;0",$S$3:S45,S45)&gt;3,"Trừ toàn bộ chuyên cần tháng",""))</f>
        <v/>
      </c>
      <c r="AI45" s="14"/>
      <c r="AJ45" s="14"/>
    </row>
    <row r="46" spans="1:36" x14ac:dyDescent="0.25">
      <c r="A46" s="4" t="s">
        <v>112</v>
      </c>
      <c r="B46" s="1" t="s">
        <v>113</v>
      </c>
      <c r="C46" s="1" t="s">
        <v>19</v>
      </c>
      <c r="D46" s="1" t="s">
        <v>42</v>
      </c>
      <c r="E46" s="1" t="s">
        <v>21</v>
      </c>
      <c r="F46" s="1" t="s">
        <v>22</v>
      </c>
      <c r="G46" s="1" t="s">
        <v>12</v>
      </c>
      <c r="H46" s="12" t="s">
        <v>23</v>
      </c>
      <c r="I46" s="1" t="s">
        <v>23</v>
      </c>
      <c r="J46" s="1" t="s">
        <v>24</v>
      </c>
      <c r="K46" s="1" t="s">
        <v>24</v>
      </c>
      <c r="L46" s="1" t="s">
        <v>25</v>
      </c>
      <c r="M46" s="1" t="s">
        <v>24</v>
      </c>
      <c r="N46" s="1" t="s">
        <v>24</v>
      </c>
      <c r="O46" s="1" t="s">
        <v>24</v>
      </c>
      <c r="P46" s="1" t="s">
        <v>24</v>
      </c>
      <c r="Q46" s="1" t="s">
        <v>24</v>
      </c>
      <c r="R46" s="75" t="str">
        <f t="shared" si="5"/>
        <v>2045914</v>
      </c>
      <c r="S46" t="str">
        <f>VLOOKUP(A46,Data_NV!$A:$C,3,0)</f>
        <v xml:space="preserve">Trương Quang Thanh    </v>
      </c>
      <c r="T46" t="str">
        <f>VLOOKUP(A46,Data_NV!$A:$E,4,0)</f>
        <v>Kinh doanh</v>
      </c>
      <c r="U46" s="72">
        <f>DATEVALUE(Table2[[#This Row],[Ngày]])</f>
        <v>45914</v>
      </c>
      <c r="V46" t="str">
        <f>VLOOKUP(A46,Data_NV!$A:$E,5,0)</f>
        <v>Đang làm việc</v>
      </c>
      <c r="W46" s="11">
        <f>VLOOKUP(A46,Data_NV!$A:$I,8,0)</f>
        <v>0.33333333333333331</v>
      </c>
      <c r="X46" s="11">
        <f>VLOOKUP(A46,Data_NV!$A:$I,9,0)</f>
        <v>0.70833333333333337</v>
      </c>
      <c r="Y46" s="11">
        <f>IFERROR(TIMEVALUE(Table2[[#This Row],[Vào]]),0)</f>
        <v>0</v>
      </c>
      <c r="Z46" s="11">
        <f>IFERROR(TIMEVALUE(Table2[[#This Row],[Ra]]),0)</f>
        <v>0</v>
      </c>
      <c r="AA46" t="str">
        <f t="shared" si="7"/>
        <v/>
      </c>
      <c r="AB46" s="14">
        <f t="shared" si="4"/>
        <v>0</v>
      </c>
      <c r="AC46" s="14" t="str">
        <f>IF(VLOOKUP(A46,Data_NV!$A:$I,7,0)="Không","",IF(OR(AND(Y46=0,Z46=0),AND(Y46&lt;&gt;0,Z46&lt;&gt;0)),"","Quên chấm công"))</f>
        <v/>
      </c>
      <c r="AD46" s="14">
        <f>IF(VLOOKUP(A46,Data_NV!$A:$I,7,0)="Không",0,IF(AND(Y46=0,Z46=0),0,IF(X46&lt;=Z46,0,ROUNDDOWN((X46-Z46)*24*60,0))))</f>
        <v>0</v>
      </c>
      <c r="AE46" s="14">
        <f>IF(VLOOKUP(A46,Data_NV!$A:$I,6,0)="Không",0,IF(Z46&lt;=X46,0,ROUNDDOWN((Z46-X46)*24*60,0)))</f>
        <v>0</v>
      </c>
      <c r="AF46" s="29">
        <f t="shared" si="6"/>
        <v>0</v>
      </c>
      <c r="AG46" s="30" t="str">
        <f>IF(AC46="","",IF(COUNTIFS($AC$3:AC46,"Quên chấm công",$S$3:S46,S46)&gt;3,"Không chấm công do vi phạm quá 3 lần",IF(COUNTIFS($AC$3:AC46,"Quên chấm công",$S$3:S46,S46)&gt;2,"Trừ toàn bộ chuyên cần tháng do vi phạm lần 3",IF(COUNTIFS($AC$3:AC46,"Quên chấm công",$S$3:S46,S46)&gt;1,"Trừ 1/2 ngày lương",50000))))</f>
        <v/>
      </c>
      <c r="AH46" s="14" t="str">
        <f>IF(AF46=0,"",IF(COUNTIFS($AF$3:AF46,"&gt;0",$S$3:S46,S46)&gt;3,"Trừ toàn bộ chuyên cần tháng",""))</f>
        <v/>
      </c>
      <c r="AI46" s="14"/>
      <c r="AJ46" s="14"/>
    </row>
    <row r="47" spans="1:36" x14ac:dyDescent="0.25">
      <c r="A47" s="4" t="s">
        <v>112</v>
      </c>
      <c r="B47" s="1" t="s">
        <v>113</v>
      </c>
      <c r="C47" s="1" t="s">
        <v>19</v>
      </c>
      <c r="D47" s="1" t="s">
        <v>43</v>
      </c>
      <c r="E47" s="1" t="s">
        <v>21</v>
      </c>
      <c r="F47" s="1" t="s">
        <v>22</v>
      </c>
      <c r="G47" s="1" t="s">
        <v>12</v>
      </c>
      <c r="H47" s="12" t="s">
        <v>122</v>
      </c>
      <c r="I47" s="1" t="s">
        <v>23</v>
      </c>
      <c r="J47" s="1" t="s">
        <v>24</v>
      </c>
      <c r="K47" s="1" t="s">
        <v>24</v>
      </c>
      <c r="L47" s="1" t="s">
        <v>25</v>
      </c>
      <c r="M47" s="1" t="s">
        <v>24</v>
      </c>
      <c r="N47" s="1" t="s">
        <v>24</v>
      </c>
      <c r="O47" s="1" t="s">
        <v>24</v>
      </c>
      <c r="P47" s="1" t="s">
        <v>24</v>
      </c>
      <c r="Q47" s="1" t="s">
        <v>24</v>
      </c>
      <c r="R47" s="75" t="str">
        <f t="shared" si="5"/>
        <v>2045915</v>
      </c>
      <c r="S47" t="str">
        <f>VLOOKUP(A47,Data_NV!$A:$C,3,0)</f>
        <v xml:space="preserve">Trương Quang Thanh    </v>
      </c>
      <c r="T47" t="str">
        <f>VLOOKUP(A47,Data_NV!$A:$E,4,0)</f>
        <v>Kinh doanh</v>
      </c>
      <c r="U47" s="72">
        <f>DATEVALUE(Table2[[#This Row],[Ngày]])</f>
        <v>45915</v>
      </c>
      <c r="V47" t="str">
        <f>VLOOKUP(A47,Data_NV!$A:$E,5,0)</f>
        <v>Đang làm việc</v>
      </c>
      <c r="W47" s="11">
        <f>VLOOKUP(A47,Data_NV!$A:$I,8,0)</f>
        <v>0.33333333333333331</v>
      </c>
      <c r="X47" s="11">
        <f>VLOOKUP(A47,Data_NV!$A:$I,9,0)</f>
        <v>0.70833333333333337</v>
      </c>
      <c r="Y47" s="11">
        <f>IFERROR(TIMEVALUE(Table2[[#This Row],[Vào]]),0)</f>
        <v>0.330625</v>
      </c>
      <c r="Z47" s="11">
        <f>IFERROR(TIMEVALUE(Table2[[#This Row],[Ra]]),0)</f>
        <v>0</v>
      </c>
      <c r="AA47" t="str">
        <f t="shared" si="7"/>
        <v>x</v>
      </c>
      <c r="AB47" s="14">
        <f t="shared" si="4"/>
        <v>0</v>
      </c>
      <c r="AC47" s="14" t="str">
        <f>IF(VLOOKUP(A47,Data_NV!$A:$I,7,0)="Không","",IF(OR(AND(Y47=0,Z47=0),AND(Y47&lt;&gt;0,Z47&lt;&gt;0)),"","Quên chấm công"))</f>
        <v/>
      </c>
      <c r="AD47" s="14">
        <f>IF(VLOOKUP(A47,Data_NV!$A:$I,7,0)="Không",0,IF(AND(Y47=0,Z47=0),0,IF(X47&lt;=Z47,0,ROUNDDOWN((X47-Z47)*24*60,0))))</f>
        <v>0</v>
      </c>
      <c r="AE47" s="14">
        <f>IF(VLOOKUP(A47,Data_NV!$A:$I,6,0)="Không",0,IF(Z47&lt;=X47,0,ROUNDDOWN((Z47-X47)*24*60,0)))</f>
        <v>0</v>
      </c>
      <c r="AF47" s="29">
        <f t="shared" si="6"/>
        <v>0</v>
      </c>
      <c r="AG47" s="30" t="str">
        <f>IF(AC47="","",IF(COUNTIFS($AC$3:AC47,"Quên chấm công",$S$3:S47,S47)&gt;3,"Không chấm công do vi phạm quá 3 lần",IF(COUNTIFS($AC$3:AC47,"Quên chấm công",$S$3:S47,S47)&gt;2,"Trừ toàn bộ chuyên cần tháng do vi phạm lần 3",IF(COUNTIFS($AC$3:AC47,"Quên chấm công",$S$3:S47,S47)&gt;1,"Trừ 1/2 ngày lương",50000))))</f>
        <v/>
      </c>
      <c r="AH47" s="14" t="str">
        <f>IF(AF47=0,"",IF(COUNTIFS($AF$3:AF47,"&gt;0",$S$3:S47,S47)&gt;3,"Trừ toàn bộ chuyên cần tháng",""))</f>
        <v/>
      </c>
      <c r="AI47" s="14"/>
      <c r="AJ47" s="14"/>
    </row>
    <row r="48" spans="1:36" x14ac:dyDescent="0.25">
      <c r="A48" s="4" t="s">
        <v>112</v>
      </c>
      <c r="B48" s="1" t="s">
        <v>113</v>
      </c>
      <c r="C48" s="1" t="s">
        <v>19</v>
      </c>
      <c r="D48" s="1" t="s">
        <v>44</v>
      </c>
      <c r="E48" s="1" t="s">
        <v>21</v>
      </c>
      <c r="F48" s="1" t="s">
        <v>22</v>
      </c>
      <c r="G48" s="1" t="s">
        <v>12</v>
      </c>
      <c r="H48" s="12" t="s">
        <v>123</v>
      </c>
      <c r="I48" s="1" t="s">
        <v>23</v>
      </c>
      <c r="J48" s="1" t="s">
        <v>24</v>
      </c>
      <c r="K48" s="1" t="s">
        <v>24</v>
      </c>
      <c r="L48" s="1" t="s">
        <v>25</v>
      </c>
      <c r="M48" s="1" t="s">
        <v>24</v>
      </c>
      <c r="N48" s="1" t="s">
        <v>24</v>
      </c>
      <c r="O48" s="1" t="s">
        <v>24</v>
      </c>
      <c r="P48" s="1" t="s">
        <v>24</v>
      </c>
      <c r="Q48" s="1" t="s">
        <v>24</v>
      </c>
      <c r="R48" s="75" t="str">
        <f t="shared" si="5"/>
        <v>2045916</v>
      </c>
      <c r="S48" t="str">
        <f>VLOOKUP(A48,Data_NV!$A:$C,3,0)</f>
        <v xml:space="preserve">Trương Quang Thanh    </v>
      </c>
      <c r="T48" t="str">
        <f>VLOOKUP(A48,Data_NV!$A:$E,4,0)</f>
        <v>Kinh doanh</v>
      </c>
      <c r="U48" s="72">
        <f>DATEVALUE(Table2[[#This Row],[Ngày]])</f>
        <v>45916</v>
      </c>
      <c r="V48" t="str">
        <f>VLOOKUP(A48,Data_NV!$A:$E,5,0)</f>
        <v>Đang làm việc</v>
      </c>
      <c r="W48" s="11">
        <f>VLOOKUP(A48,Data_NV!$A:$I,8,0)</f>
        <v>0.33333333333333331</v>
      </c>
      <c r="X48" s="11">
        <f>VLOOKUP(A48,Data_NV!$A:$I,9,0)</f>
        <v>0.70833333333333337</v>
      </c>
      <c r="Y48" s="11">
        <f>IFERROR(TIMEVALUE(Table2[[#This Row],[Vào]]),0)</f>
        <v>0.33137731481481481</v>
      </c>
      <c r="Z48" s="11">
        <f>IFERROR(TIMEVALUE(Table2[[#This Row],[Ra]]),0)</f>
        <v>0</v>
      </c>
      <c r="AA48" t="str">
        <f t="shared" si="7"/>
        <v>x</v>
      </c>
      <c r="AB48" s="14">
        <f t="shared" si="4"/>
        <v>0</v>
      </c>
      <c r="AC48" s="14" t="str">
        <f>IF(VLOOKUP(A48,Data_NV!$A:$I,7,0)="Không","",IF(OR(AND(Y48=0,Z48=0),AND(Y48&lt;&gt;0,Z48&lt;&gt;0)),"","Quên chấm công"))</f>
        <v/>
      </c>
      <c r="AD48" s="14">
        <f>IF(VLOOKUP(A48,Data_NV!$A:$I,7,0)="Không",0,IF(AND(Y48=0,Z48=0),0,IF(X48&lt;=Z48,0,ROUNDDOWN((X48-Z48)*24*60,0))))</f>
        <v>0</v>
      </c>
      <c r="AE48" s="14">
        <f>IF(VLOOKUP(A48,Data_NV!$A:$I,6,0)="Không",0,IF(Z48&lt;=X48,0,ROUNDDOWN((Z48-X48)*24*60,0)))</f>
        <v>0</v>
      </c>
      <c r="AF48" s="29">
        <f t="shared" si="6"/>
        <v>0</v>
      </c>
      <c r="AG48" s="30" t="str">
        <f>IF(AC48="","",IF(COUNTIFS($AC$3:AC48,"Quên chấm công",$S$3:S48,S48)&gt;3,"Không chấm công do vi phạm quá 3 lần",IF(COUNTIFS($AC$3:AC48,"Quên chấm công",$S$3:S48,S48)&gt;2,"Trừ toàn bộ chuyên cần tháng do vi phạm lần 3",IF(COUNTIFS($AC$3:AC48,"Quên chấm công",$S$3:S48,S48)&gt;1,"Trừ 1/2 ngày lương",50000))))</f>
        <v/>
      </c>
      <c r="AH48" s="14" t="str">
        <f>IF(AF48=0,"",IF(COUNTIFS($AF$3:AF48,"&gt;0",$S$3:S48,S48)&gt;3,"Trừ toàn bộ chuyên cần tháng",""))</f>
        <v/>
      </c>
      <c r="AI48" s="14"/>
      <c r="AJ48" s="14"/>
    </row>
    <row r="49" spans="1:36" x14ac:dyDescent="0.25">
      <c r="A49" s="4" t="s">
        <v>112</v>
      </c>
      <c r="B49" s="1" t="s">
        <v>113</v>
      </c>
      <c r="C49" s="1" t="s">
        <v>19</v>
      </c>
      <c r="D49" s="1" t="s">
        <v>45</v>
      </c>
      <c r="E49" s="1" t="s">
        <v>21</v>
      </c>
      <c r="F49" s="1" t="s">
        <v>22</v>
      </c>
      <c r="G49" s="1" t="s">
        <v>12</v>
      </c>
      <c r="H49" s="12" t="s">
        <v>124</v>
      </c>
      <c r="I49" s="1" t="s">
        <v>23</v>
      </c>
      <c r="J49" s="1" t="s">
        <v>24</v>
      </c>
      <c r="K49" s="1" t="s">
        <v>24</v>
      </c>
      <c r="L49" s="1" t="s">
        <v>25</v>
      </c>
      <c r="M49" s="1" t="s">
        <v>24</v>
      </c>
      <c r="N49" s="1" t="s">
        <v>24</v>
      </c>
      <c r="O49" s="1" t="s">
        <v>24</v>
      </c>
      <c r="P49" s="1" t="s">
        <v>24</v>
      </c>
      <c r="Q49" s="1" t="s">
        <v>24</v>
      </c>
      <c r="R49" s="75" t="str">
        <f t="shared" si="5"/>
        <v>2045917</v>
      </c>
      <c r="S49" t="str">
        <f>VLOOKUP(A49,Data_NV!$A:$C,3,0)</f>
        <v xml:space="preserve">Trương Quang Thanh    </v>
      </c>
      <c r="T49" t="str">
        <f>VLOOKUP(A49,Data_NV!$A:$E,4,0)</f>
        <v>Kinh doanh</v>
      </c>
      <c r="U49" s="72">
        <f>DATEVALUE(Table2[[#This Row],[Ngày]])</f>
        <v>45917</v>
      </c>
      <c r="V49" t="str">
        <f>VLOOKUP(A49,Data_NV!$A:$E,5,0)</f>
        <v>Đang làm việc</v>
      </c>
      <c r="W49" s="11">
        <f>VLOOKUP(A49,Data_NV!$A:$I,8,0)</f>
        <v>0.33333333333333331</v>
      </c>
      <c r="X49" s="11">
        <f>VLOOKUP(A49,Data_NV!$A:$I,9,0)</f>
        <v>0.70833333333333337</v>
      </c>
      <c r="Y49" s="11">
        <f>IFERROR(TIMEVALUE(Table2[[#This Row],[Vào]]),0)</f>
        <v>0.3298611111111111</v>
      </c>
      <c r="Z49" s="11">
        <f>IFERROR(TIMEVALUE(Table2[[#This Row],[Ra]]),0)</f>
        <v>0</v>
      </c>
      <c r="AA49" t="str">
        <f t="shared" si="7"/>
        <v>x</v>
      </c>
      <c r="AB49" s="14">
        <f t="shared" si="4"/>
        <v>0</v>
      </c>
      <c r="AC49" s="14" t="str">
        <f>IF(VLOOKUP(A49,Data_NV!$A:$I,7,0)="Không","",IF(OR(AND(Y49=0,Z49=0),AND(Y49&lt;&gt;0,Z49&lt;&gt;0)),"","Quên chấm công"))</f>
        <v/>
      </c>
      <c r="AD49" s="14">
        <f>IF(VLOOKUP(A49,Data_NV!$A:$I,7,0)="Không",0,IF(AND(Y49=0,Z49=0),0,IF(X49&lt;=Z49,0,ROUNDDOWN((X49-Z49)*24*60,0))))</f>
        <v>0</v>
      </c>
      <c r="AE49" s="14">
        <f>IF(VLOOKUP(A49,Data_NV!$A:$I,6,0)="Không",0,IF(Z49&lt;=X49,0,ROUNDDOWN((Z49-X49)*24*60,0)))</f>
        <v>0</v>
      </c>
      <c r="AF49" s="29">
        <f t="shared" si="6"/>
        <v>0</v>
      </c>
      <c r="AG49" s="30" t="str">
        <f>IF(AC49="","",IF(COUNTIFS($AC$3:AC49,"Quên chấm công",$S$3:S49,S49)&gt;3,"Không chấm công do vi phạm quá 3 lần",IF(COUNTIFS($AC$3:AC49,"Quên chấm công",$S$3:S49,S49)&gt;2,"Trừ toàn bộ chuyên cần tháng do vi phạm lần 3",IF(COUNTIFS($AC$3:AC49,"Quên chấm công",$S$3:S49,S49)&gt;1,"Trừ 1/2 ngày lương",50000))))</f>
        <v/>
      </c>
      <c r="AH49" s="14" t="str">
        <f>IF(AF49=0,"",IF(COUNTIFS($AF$3:AF49,"&gt;0",$S$3:S49,S49)&gt;3,"Trừ toàn bộ chuyên cần tháng",""))</f>
        <v/>
      </c>
      <c r="AI49" s="14"/>
      <c r="AJ49" s="14"/>
    </row>
    <row r="50" spans="1:36" x14ac:dyDescent="0.25">
      <c r="A50" s="4" t="s">
        <v>112</v>
      </c>
      <c r="B50" s="1" t="s">
        <v>113</v>
      </c>
      <c r="C50" s="1" t="s">
        <v>19</v>
      </c>
      <c r="D50" s="1" t="s">
        <v>46</v>
      </c>
      <c r="E50" s="1" t="s">
        <v>21</v>
      </c>
      <c r="F50" s="1" t="s">
        <v>22</v>
      </c>
      <c r="G50" s="1" t="s">
        <v>12</v>
      </c>
      <c r="H50" s="12" t="s">
        <v>23</v>
      </c>
      <c r="I50" s="1" t="s">
        <v>23</v>
      </c>
      <c r="J50" s="1" t="s">
        <v>24</v>
      </c>
      <c r="K50" s="1" t="s">
        <v>24</v>
      </c>
      <c r="L50" s="1" t="s">
        <v>25</v>
      </c>
      <c r="M50" s="1" t="s">
        <v>24</v>
      </c>
      <c r="N50" s="1" t="s">
        <v>24</v>
      </c>
      <c r="O50" s="1" t="s">
        <v>24</v>
      </c>
      <c r="P50" s="1" t="s">
        <v>24</v>
      </c>
      <c r="Q50" s="1" t="s">
        <v>24</v>
      </c>
      <c r="R50" s="75" t="str">
        <f t="shared" si="5"/>
        <v>2045918</v>
      </c>
      <c r="S50" t="str">
        <f>VLOOKUP(A50,Data_NV!$A:$C,3,0)</f>
        <v xml:space="preserve">Trương Quang Thanh    </v>
      </c>
      <c r="T50" t="str">
        <f>VLOOKUP(A50,Data_NV!$A:$E,4,0)</f>
        <v>Kinh doanh</v>
      </c>
      <c r="U50" s="72">
        <f>DATEVALUE(Table2[[#This Row],[Ngày]])</f>
        <v>45918</v>
      </c>
      <c r="V50" t="str">
        <f>VLOOKUP(A50,Data_NV!$A:$E,5,0)</f>
        <v>Đang làm việc</v>
      </c>
      <c r="W50" s="11">
        <f>VLOOKUP(A50,Data_NV!$A:$I,8,0)</f>
        <v>0.33333333333333331</v>
      </c>
      <c r="X50" s="11">
        <f>VLOOKUP(A50,Data_NV!$A:$I,9,0)</f>
        <v>0.70833333333333337</v>
      </c>
      <c r="Y50" s="11">
        <f>IFERROR(TIMEVALUE(Table2[[#This Row],[Vào]]),0)</f>
        <v>0</v>
      </c>
      <c r="Z50" s="11">
        <f>IFERROR(TIMEVALUE(Table2[[#This Row],[Ra]]),0)</f>
        <v>0</v>
      </c>
      <c r="AA50" t="str">
        <f t="shared" si="7"/>
        <v/>
      </c>
      <c r="AB50" s="14">
        <f t="shared" si="4"/>
        <v>0</v>
      </c>
      <c r="AC50" s="14" t="str">
        <f>IF(VLOOKUP(A50,Data_NV!$A:$I,7,0)="Không","",IF(OR(AND(Y50=0,Z50=0),AND(Y50&lt;&gt;0,Z50&lt;&gt;0)),"","Quên chấm công"))</f>
        <v/>
      </c>
      <c r="AD50" s="14">
        <f>IF(VLOOKUP(A50,Data_NV!$A:$I,7,0)="Không",0,IF(AND(Y50=0,Z50=0),0,IF(X50&lt;=Z50,0,ROUNDDOWN((X50-Z50)*24*60,0))))</f>
        <v>0</v>
      </c>
      <c r="AE50" s="14">
        <f>IF(VLOOKUP(A50,Data_NV!$A:$I,6,0)="Không",0,IF(Z50&lt;=X50,0,ROUNDDOWN((Z50-X50)*24*60,0)))</f>
        <v>0</v>
      </c>
      <c r="AF50" s="29">
        <f t="shared" si="6"/>
        <v>0</v>
      </c>
      <c r="AG50" s="30" t="str">
        <f>IF(AC50="","",IF(COUNTIFS($AC$3:AC50,"Quên chấm công",$S$3:S50,S50)&gt;3,"Không chấm công do vi phạm quá 3 lần",IF(COUNTIFS($AC$3:AC50,"Quên chấm công",$S$3:S50,S50)&gt;2,"Trừ toàn bộ chuyên cần tháng do vi phạm lần 3",IF(COUNTIFS($AC$3:AC50,"Quên chấm công",$S$3:S50,S50)&gt;1,"Trừ 1/2 ngày lương",50000))))</f>
        <v/>
      </c>
      <c r="AH50" s="14" t="str">
        <f>IF(AF50=0,"",IF(COUNTIFS($AF$3:AF50,"&gt;0",$S$3:S50,S50)&gt;3,"Trừ toàn bộ chuyên cần tháng",""))</f>
        <v/>
      </c>
      <c r="AI50" s="14"/>
      <c r="AJ50" s="14"/>
    </row>
    <row r="51" spans="1:36" x14ac:dyDescent="0.25">
      <c r="A51" s="4" t="s">
        <v>112</v>
      </c>
      <c r="B51" s="1" t="s">
        <v>113</v>
      </c>
      <c r="C51" s="1" t="s">
        <v>19</v>
      </c>
      <c r="D51" s="1" t="s">
        <v>48</v>
      </c>
      <c r="E51" s="1" t="s">
        <v>21</v>
      </c>
      <c r="F51" s="1" t="s">
        <v>22</v>
      </c>
      <c r="G51" s="1" t="s">
        <v>12</v>
      </c>
      <c r="H51" s="12" t="s">
        <v>125</v>
      </c>
      <c r="I51" s="1" t="s">
        <v>23</v>
      </c>
      <c r="J51" s="1" t="s">
        <v>88</v>
      </c>
      <c r="K51" s="1" t="s">
        <v>24</v>
      </c>
      <c r="L51" s="1" t="s">
        <v>25</v>
      </c>
      <c r="M51" s="1" t="s">
        <v>24</v>
      </c>
      <c r="N51" s="1" t="s">
        <v>24</v>
      </c>
      <c r="O51" s="1" t="s">
        <v>24</v>
      </c>
      <c r="P51" s="1" t="s">
        <v>24</v>
      </c>
      <c r="Q51" s="1" t="s">
        <v>24</v>
      </c>
      <c r="R51" s="75" t="str">
        <f t="shared" si="5"/>
        <v>2045919</v>
      </c>
      <c r="S51" t="str">
        <f>VLOOKUP(A51,Data_NV!$A:$C,3,0)</f>
        <v xml:space="preserve">Trương Quang Thanh    </v>
      </c>
      <c r="T51" t="str">
        <f>VLOOKUP(A51,Data_NV!$A:$E,4,0)</f>
        <v>Kinh doanh</v>
      </c>
      <c r="U51" s="72">
        <f>DATEVALUE(Table2[[#This Row],[Ngày]])</f>
        <v>45919</v>
      </c>
      <c r="V51" t="str">
        <f>VLOOKUP(A51,Data_NV!$A:$E,5,0)</f>
        <v>Đang làm việc</v>
      </c>
      <c r="W51" s="11">
        <f>VLOOKUP(A51,Data_NV!$A:$I,8,0)</f>
        <v>0.33333333333333331</v>
      </c>
      <c r="X51" s="11">
        <f>VLOOKUP(A51,Data_NV!$A:$I,9,0)</f>
        <v>0.70833333333333337</v>
      </c>
      <c r="Y51" s="11">
        <f>IFERROR(TIMEVALUE(Table2[[#This Row],[Vào]]),0)</f>
        <v>0.3409375</v>
      </c>
      <c r="Z51" s="11">
        <f>IFERROR(TIMEVALUE(Table2[[#This Row],[Ra]]),0)</f>
        <v>0</v>
      </c>
      <c r="AA51" t="str">
        <f t="shared" si="7"/>
        <v>x</v>
      </c>
      <c r="AB51" s="14">
        <f t="shared" si="4"/>
        <v>10</v>
      </c>
      <c r="AC51" s="14" t="str">
        <f>IF(VLOOKUP(A51,Data_NV!$A:$I,7,0)="Không","",IF(OR(AND(Y51=0,Z51=0),AND(Y51&lt;&gt;0,Z51&lt;&gt;0)),"","Quên chấm công"))</f>
        <v/>
      </c>
      <c r="AD51" s="14">
        <f>IF(VLOOKUP(A51,Data_NV!$A:$I,7,0)="Không",0,IF(AND(Y51=0,Z51=0),0,IF(X51&lt;=Z51,0,ROUNDDOWN((X51-Z51)*24*60,0))))</f>
        <v>0</v>
      </c>
      <c r="AE51" s="14">
        <f>IF(VLOOKUP(A51,Data_NV!$A:$I,6,0)="Không",0,IF(Z51&lt;=X51,0,ROUNDDOWN((Z51-X51)*24*60,0)))</f>
        <v>0</v>
      </c>
      <c r="AF51" s="29">
        <f t="shared" si="6"/>
        <v>30000</v>
      </c>
      <c r="AG51" s="30" t="str">
        <f>IF(AC51="","",IF(COUNTIFS($AC$3:AC51,"Quên chấm công",$S$3:S51,S51)&gt;3,"Không chấm công do vi phạm quá 3 lần",IF(COUNTIFS($AC$3:AC51,"Quên chấm công",$S$3:S51,S51)&gt;2,"Trừ toàn bộ chuyên cần tháng do vi phạm lần 3",IF(COUNTIFS($AC$3:AC51,"Quên chấm công",$S$3:S51,S51)&gt;1,"Trừ 1/2 ngày lương",50000))))</f>
        <v/>
      </c>
      <c r="AH51" s="14" t="str">
        <f>IF(AF51=0,"",IF(COUNTIFS($AF$3:AF51,"&gt;0",$S$3:S51,S51)&gt;3,"Trừ toàn bộ chuyên cần tháng",""))</f>
        <v/>
      </c>
      <c r="AI51" s="14"/>
      <c r="AJ51" s="14"/>
    </row>
    <row r="52" spans="1:36" x14ac:dyDescent="0.25">
      <c r="A52" s="4" t="s">
        <v>112</v>
      </c>
      <c r="B52" s="1" t="s">
        <v>113</v>
      </c>
      <c r="C52" s="1" t="s">
        <v>19</v>
      </c>
      <c r="D52" s="1" t="s">
        <v>50</v>
      </c>
      <c r="E52" s="1" t="s">
        <v>21</v>
      </c>
      <c r="F52" s="1" t="s">
        <v>22</v>
      </c>
      <c r="G52" s="1" t="s">
        <v>12</v>
      </c>
      <c r="H52" s="12" t="s">
        <v>126</v>
      </c>
      <c r="I52" s="1" t="s">
        <v>23</v>
      </c>
      <c r="J52" s="1" t="s">
        <v>127</v>
      </c>
      <c r="K52" s="1" t="s">
        <v>24</v>
      </c>
      <c r="L52" s="1" t="s">
        <v>25</v>
      </c>
      <c r="M52" s="1" t="s">
        <v>24</v>
      </c>
      <c r="N52" s="1" t="s">
        <v>24</v>
      </c>
      <c r="O52" s="1" t="s">
        <v>24</v>
      </c>
      <c r="P52" s="1" t="s">
        <v>24</v>
      </c>
      <c r="Q52" s="1" t="s">
        <v>24</v>
      </c>
      <c r="R52" s="75" t="str">
        <f t="shared" si="5"/>
        <v>2045920</v>
      </c>
      <c r="S52" t="str">
        <f>VLOOKUP(A52,Data_NV!$A:$C,3,0)</f>
        <v xml:space="preserve">Trương Quang Thanh    </v>
      </c>
      <c r="T52" t="str">
        <f>VLOOKUP(A52,Data_NV!$A:$E,4,0)</f>
        <v>Kinh doanh</v>
      </c>
      <c r="U52" s="72">
        <f>DATEVALUE(Table2[[#This Row],[Ngày]])</f>
        <v>45920</v>
      </c>
      <c r="V52" t="str">
        <f>VLOOKUP(A52,Data_NV!$A:$E,5,0)</f>
        <v>Đang làm việc</v>
      </c>
      <c r="W52" s="11">
        <f>VLOOKUP(A52,Data_NV!$A:$I,8,0)</f>
        <v>0.33333333333333331</v>
      </c>
      <c r="X52" s="11">
        <f>VLOOKUP(A52,Data_NV!$A:$I,9,0)</f>
        <v>0.70833333333333337</v>
      </c>
      <c r="Y52" s="11">
        <f>IFERROR(TIMEVALUE(Table2[[#This Row],[Vào]]),0)</f>
        <v>0.34673611111111113</v>
      </c>
      <c r="Z52" s="11">
        <f>IFERROR(TIMEVALUE(Table2[[#This Row],[Ra]]),0)</f>
        <v>0</v>
      </c>
      <c r="AA52" t="str">
        <f t="shared" si="7"/>
        <v>x</v>
      </c>
      <c r="AB52" s="14">
        <f t="shared" si="4"/>
        <v>19</v>
      </c>
      <c r="AC52" s="14" t="str">
        <f>IF(VLOOKUP(A52,Data_NV!$A:$I,7,0)="Không","",IF(OR(AND(Y52=0,Z52=0),AND(Y52&lt;&gt;0,Z52&lt;&gt;0)),"","Quên chấm công"))</f>
        <v/>
      </c>
      <c r="AD52" s="14">
        <f>IF(VLOOKUP(A52,Data_NV!$A:$I,7,0)="Không",0,IF(AND(Y52=0,Z52=0),0,IF(X52&lt;=Z52,0,ROUNDDOWN((X52-Z52)*24*60,0))))</f>
        <v>0</v>
      </c>
      <c r="AE52" s="14">
        <f>IF(VLOOKUP(A52,Data_NV!$A:$I,6,0)="Không",0,IF(Z52&lt;=X52,0,ROUNDDOWN((Z52-X52)*24*60,0)))</f>
        <v>0</v>
      </c>
      <c r="AF52" s="29">
        <f t="shared" si="6"/>
        <v>50000</v>
      </c>
      <c r="AG52" s="30" t="str">
        <f>IF(AC52="","",IF(COUNTIFS($AC$3:AC52,"Quên chấm công",$S$3:S52,S52)&gt;3,"Không chấm công do vi phạm quá 3 lần",IF(COUNTIFS($AC$3:AC52,"Quên chấm công",$S$3:S52,S52)&gt;2,"Trừ toàn bộ chuyên cần tháng do vi phạm lần 3",IF(COUNTIFS($AC$3:AC52,"Quên chấm công",$S$3:S52,S52)&gt;1,"Trừ 1/2 ngày lương",50000))))</f>
        <v/>
      </c>
      <c r="AH52" s="14" t="str">
        <f>IF(AF52=0,"",IF(COUNTIFS($AF$3:AF52,"&gt;0",$S$3:S52,S52)&gt;3,"Trừ toàn bộ chuyên cần tháng",""))</f>
        <v/>
      </c>
      <c r="AI52" s="14"/>
      <c r="AJ52" s="14"/>
    </row>
    <row r="53" spans="1:36" x14ac:dyDescent="0.25">
      <c r="A53" s="4" t="s">
        <v>112</v>
      </c>
      <c r="B53" s="1" t="s">
        <v>113</v>
      </c>
      <c r="C53" s="1" t="s">
        <v>19</v>
      </c>
      <c r="D53" s="1" t="s">
        <v>51</v>
      </c>
      <c r="E53" s="1" t="s">
        <v>21</v>
      </c>
      <c r="F53" s="1" t="s">
        <v>22</v>
      </c>
      <c r="G53" s="1" t="s">
        <v>12</v>
      </c>
      <c r="H53" s="12" t="s">
        <v>23</v>
      </c>
      <c r="I53" s="1" t="s">
        <v>23</v>
      </c>
      <c r="J53" s="1" t="s">
        <v>24</v>
      </c>
      <c r="K53" s="1" t="s">
        <v>24</v>
      </c>
      <c r="L53" s="1" t="s">
        <v>25</v>
      </c>
      <c r="M53" s="1" t="s">
        <v>24</v>
      </c>
      <c r="N53" s="1" t="s">
        <v>24</v>
      </c>
      <c r="O53" s="1" t="s">
        <v>24</v>
      </c>
      <c r="P53" s="1" t="s">
        <v>24</v>
      </c>
      <c r="Q53" s="1" t="s">
        <v>24</v>
      </c>
      <c r="R53" s="75" t="str">
        <f t="shared" si="5"/>
        <v>2045921</v>
      </c>
      <c r="S53" t="str">
        <f>VLOOKUP(A53,Data_NV!$A:$C,3,0)</f>
        <v xml:space="preserve">Trương Quang Thanh    </v>
      </c>
      <c r="T53" t="str">
        <f>VLOOKUP(A53,Data_NV!$A:$E,4,0)</f>
        <v>Kinh doanh</v>
      </c>
      <c r="U53" s="72">
        <f>DATEVALUE(Table2[[#This Row],[Ngày]])</f>
        <v>45921</v>
      </c>
      <c r="V53" t="str">
        <f>VLOOKUP(A53,Data_NV!$A:$E,5,0)</f>
        <v>Đang làm việc</v>
      </c>
      <c r="W53" s="11">
        <f>VLOOKUP(A53,Data_NV!$A:$I,8,0)</f>
        <v>0.33333333333333331</v>
      </c>
      <c r="X53" s="11">
        <f>VLOOKUP(A53,Data_NV!$A:$I,9,0)</f>
        <v>0.70833333333333337</v>
      </c>
      <c r="Y53" s="11">
        <f>IFERROR(TIMEVALUE(Table2[[#This Row],[Vào]]),0)</f>
        <v>0</v>
      </c>
      <c r="Z53" s="11">
        <f>IFERROR(TIMEVALUE(Table2[[#This Row],[Ra]]),0)</f>
        <v>0</v>
      </c>
      <c r="AA53" t="str">
        <f t="shared" si="7"/>
        <v/>
      </c>
      <c r="AB53" s="14">
        <f t="shared" si="4"/>
        <v>0</v>
      </c>
      <c r="AC53" s="14" t="str">
        <f>IF(VLOOKUP(A53,Data_NV!$A:$I,7,0)="Không","",IF(OR(AND(Y53=0,Z53=0),AND(Y53&lt;&gt;0,Z53&lt;&gt;0)),"","Quên chấm công"))</f>
        <v/>
      </c>
      <c r="AD53" s="14">
        <f>IF(VLOOKUP(A53,Data_NV!$A:$I,7,0)="Không",0,IF(AND(Y53=0,Z53=0),0,IF(X53&lt;=Z53,0,ROUNDDOWN((X53-Z53)*24*60,0))))</f>
        <v>0</v>
      </c>
      <c r="AE53" s="14">
        <f>IF(VLOOKUP(A53,Data_NV!$A:$I,6,0)="Không",0,IF(Z53&lt;=X53,0,ROUNDDOWN((Z53-X53)*24*60,0)))</f>
        <v>0</v>
      </c>
      <c r="AF53" s="29">
        <f t="shared" si="6"/>
        <v>0</v>
      </c>
      <c r="AG53" s="30" t="str">
        <f>IF(AC53="","",IF(COUNTIFS($AC$3:AC53,"Quên chấm công",$S$3:S53,S53)&gt;3,"Không chấm công do vi phạm quá 3 lần",IF(COUNTIFS($AC$3:AC53,"Quên chấm công",$S$3:S53,S53)&gt;2,"Trừ toàn bộ chuyên cần tháng do vi phạm lần 3",IF(COUNTIFS($AC$3:AC53,"Quên chấm công",$S$3:S53,S53)&gt;1,"Trừ 1/2 ngày lương",50000))))</f>
        <v/>
      </c>
      <c r="AH53" s="14" t="str">
        <f>IF(AF53=0,"",IF(COUNTIFS($AF$3:AF53,"&gt;0",$S$3:S53,S53)&gt;3,"Trừ toàn bộ chuyên cần tháng",""))</f>
        <v/>
      </c>
      <c r="AI53" s="14"/>
      <c r="AJ53" s="14"/>
    </row>
    <row r="54" spans="1:36" x14ac:dyDescent="0.25">
      <c r="A54" s="4" t="s">
        <v>112</v>
      </c>
      <c r="B54" s="1" t="s">
        <v>113</v>
      </c>
      <c r="C54" s="1" t="s">
        <v>19</v>
      </c>
      <c r="D54" s="1" t="s">
        <v>52</v>
      </c>
      <c r="E54" s="1" t="s">
        <v>21</v>
      </c>
      <c r="F54" s="1" t="s">
        <v>22</v>
      </c>
      <c r="G54" s="1" t="s">
        <v>12</v>
      </c>
      <c r="H54" s="12" t="s">
        <v>23</v>
      </c>
      <c r="I54" s="1" t="s">
        <v>23</v>
      </c>
      <c r="J54" s="1" t="s">
        <v>24</v>
      </c>
      <c r="K54" s="1" t="s">
        <v>24</v>
      </c>
      <c r="L54" s="1" t="s">
        <v>25</v>
      </c>
      <c r="M54" s="1" t="s">
        <v>24</v>
      </c>
      <c r="N54" s="1" t="s">
        <v>24</v>
      </c>
      <c r="O54" s="1" t="s">
        <v>24</v>
      </c>
      <c r="P54" s="1" t="s">
        <v>24</v>
      </c>
      <c r="Q54" s="1" t="s">
        <v>24</v>
      </c>
      <c r="R54" s="75" t="str">
        <f t="shared" si="5"/>
        <v>2045922</v>
      </c>
      <c r="S54" t="str">
        <f>VLOOKUP(A54,Data_NV!$A:$C,3,0)</f>
        <v xml:space="preserve">Trương Quang Thanh    </v>
      </c>
      <c r="T54" t="str">
        <f>VLOOKUP(A54,Data_NV!$A:$E,4,0)</f>
        <v>Kinh doanh</v>
      </c>
      <c r="U54" s="72">
        <f>DATEVALUE(Table2[[#This Row],[Ngày]])</f>
        <v>45922</v>
      </c>
      <c r="V54" t="str">
        <f>VLOOKUP(A54,Data_NV!$A:$E,5,0)</f>
        <v>Đang làm việc</v>
      </c>
      <c r="W54" s="11">
        <f>VLOOKUP(A54,Data_NV!$A:$I,8,0)</f>
        <v>0.33333333333333331</v>
      </c>
      <c r="X54" s="11">
        <f>VLOOKUP(A54,Data_NV!$A:$I,9,0)</f>
        <v>0.70833333333333337</v>
      </c>
      <c r="Y54" s="11">
        <f>IFERROR(TIMEVALUE(Table2[[#This Row],[Vào]]),0)</f>
        <v>0</v>
      </c>
      <c r="Z54" s="11">
        <f>IFERROR(TIMEVALUE(Table2[[#This Row],[Ra]]),0)</f>
        <v>0</v>
      </c>
      <c r="AA54" t="str">
        <f t="shared" si="7"/>
        <v/>
      </c>
      <c r="AB54" s="14">
        <f t="shared" si="4"/>
        <v>0</v>
      </c>
      <c r="AC54" s="14" t="str">
        <f>IF(VLOOKUP(A54,Data_NV!$A:$I,7,0)="Không","",IF(OR(AND(Y54=0,Z54=0),AND(Y54&lt;&gt;0,Z54&lt;&gt;0)),"","Quên chấm công"))</f>
        <v/>
      </c>
      <c r="AD54" s="14">
        <f>IF(VLOOKUP(A54,Data_NV!$A:$I,7,0)="Không",0,IF(AND(Y54=0,Z54=0),0,IF(X54&lt;=Z54,0,ROUNDDOWN((X54-Z54)*24*60,0))))</f>
        <v>0</v>
      </c>
      <c r="AE54" s="14">
        <f>IF(VLOOKUP(A54,Data_NV!$A:$I,6,0)="Không",0,IF(Z54&lt;=X54,0,ROUNDDOWN((Z54-X54)*24*60,0)))</f>
        <v>0</v>
      </c>
      <c r="AF54" s="29">
        <f t="shared" si="6"/>
        <v>0</v>
      </c>
      <c r="AG54" s="30" t="str">
        <f>IF(AC54="","",IF(COUNTIFS($AC$3:AC54,"Quên chấm công",$S$3:S54,S54)&gt;3,"Không chấm công do vi phạm quá 3 lần",IF(COUNTIFS($AC$3:AC54,"Quên chấm công",$S$3:S54,S54)&gt;2,"Trừ toàn bộ chuyên cần tháng do vi phạm lần 3",IF(COUNTIFS($AC$3:AC54,"Quên chấm công",$S$3:S54,S54)&gt;1,"Trừ 1/2 ngày lương",50000))))</f>
        <v/>
      </c>
      <c r="AH54" s="14" t="str">
        <f>IF(AF54=0,"",IF(COUNTIFS($AF$3:AF54,"&gt;0",$S$3:S54,S54)&gt;3,"Trừ toàn bộ chuyên cần tháng",""))</f>
        <v/>
      </c>
      <c r="AI54" s="14"/>
      <c r="AJ54" s="14"/>
    </row>
    <row r="55" spans="1:36" x14ac:dyDescent="0.25">
      <c r="A55" s="4" t="s">
        <v>112</v>
      </c>
      <c r="B55" s="1" t="s">
        <v>113</v>
      </c>
      <c r="C55" s="1" t="s">
        <v>19</v>
      </c>
      <c r="D55" s="1" t="s">
        <v>54</v>
      </c>
      <c r="E55" s="1" t="s">
        <v>21</v>
      </c>
      <c r="F55" s="1" t="s">
        <v>22</v>
      </c>
      <c r="G55" s="1" t="s">
        <v>12</v>
      </c>
      <c r="H55" s="12" t="s">
        <v>128</v>
      </c>
      <c r="I55" s="1" t="s">
        <v>23</v>
      </c>
      <c r="J55" s="1" t="s">
        <v>24</v>
      </c>
      <c r="K55" s="1" t="s">
        <v>24</v>
      </c>
      <c r="L55" s="1" t="s">
        <v>25</v>
      </c>
      <c r="M55" s="1" t="s">
        <v>24</v>
      </c>
      <c r="N55" s="1" t="s">
        <v>24</v>
      </c>
      <c r="O55" s="1" t="s">
        <v>24</v>
      </c>
      <c r="P55" s="1" t="s">
        <v>24</v>
      </c>
      <c r="Q55" s="1" t="s">
        <v>24</v>
      </c>
      <c r="R55" s="75" t="str">
        <f t="shared" si="5"/>
        <v>2045923</v>
      </c>
      <c r="S55" t="str">
        <f>VLOOKUP(A55,Data_NV!$A:$C,3,0)</f>
        <v xml:space="preserve">Trương Quang Thanh    </v>
      </c>
      <c r="T55" t="str">
        <f>VLOOKUP(A55,Data_NV!$A:$E,4,0)</f>
        <v>Kinh doanh</v>
      </c>
      <c r="U55" s="72">
        <f>DATEVALUE(Table2[[#This Row],[Ngày]])</f>
        <v>45923</v>
      </c>
      <c r="V55" t="str">
        <f>VLOOKUP(A55,Data_NV!$A:$E,5,0)</f>
        <v>Đang làm việc</v>
      </c>
      <c r="W55" s="11">
        <f>VLOOKUP(A55,Data_NV!$A:$I,8,0)</f>
        <v>0.33333333333333331</v>
      </c>
      <c r="X55" s="11">
        <f>VLOOKUP(A55,Data_NV!$A:$I,9,0)</f>
        <v>0.70833333333333337</v>
      </c>
      <c r="Y55" s="11">
        <f>IFERROR(TIMEVALUE(Table2[[#This Row],[Vào]]),0)</f>
        <v>0.3167476851851852</v>
      </c>
      <c r="Z55" s="11">
        <f>IFERROR(TIMEVALUE(Table2[[#This Row],[Ra]]),0)</f>
        <v>0</v>
      </c>
      <c r="AA55" t="str">
        <f t="shared" si="7"/>
        <v>x</v>
      </c>
      <c r="AB55" s="14">
        <f t="shared" si="4"/>
        <v>0</v>
      </c>
      <c r="AC55" s="14" t="str">
        <f>IF(VLOOKUP(A55,Data_NV!$A:$I,7,0)="Không","",IF(OR(AND(Y55=0,Z55=0),AND(Y55&lt;&gt;0,Z55&lt;&gt;0)),"","Quên chấm công"))</f>
        <v/>
      </c>
      <c r="AD55" s="14">
        <f>IF(VLOOKUP(A55,Data_NV!$A:$I,7,0)="Không",0,IF(AND(Y55=0,Z55=0),0,IF(X55&lt;=Z55,0,ROUNDDOWN((X55-Z55)*24*60,0))))</f>
        <v>0</v>
      </c>
      <c r="AE55" s="14">
        <f>IF(VLOOKUP(A55,Data_NV!$A:$I,6,0)="Không",0,IF(Z55&lt;=X55,0,ROUNDDOWN((Z55-X55)*24*60,0)))</f>
        <v>0</v>
      </c>
      <c r="AF55" s="29">
        <f t="shared" si="6"/>
        <v>0</v>
      </c>
      <c r="AG55" s="30" t="str">
        <f>IF(AC55="","",IF(COUNTIFS($AC$3:AC55,"Quên chấm công",$S$3:S55,S55)&gt;3,"Không chấm công do vi phạm quá 3 lần",IF(COUNTIFS($AC$3:AC55,"Quên chấm công",$S$3:S55,S55)&gt;2,"Trừ toàn bộ chuyên cần tháng do vi phạm lần 3",IF(COUNTIFS($AC$3:AC55,"Quên chấm công",$S$3:S55,S55)&gt;1,"Trừ 1/2 ngày lương",50000))))</f>
        <v/>
      </c>
      <c r="AH55" s="14" t="str">
        <f>IF(AF55=0,"",IF(COUNTIFS($AF$3:AF55,"&gt;0",$S$3:S55,S55)&gt;3,"Trừ toàn bộ chuyên cần tháng",""))</f>
        <v/>
      </c>
      <c r="AI55" s="14"/>
      <c r="AJ55" s="14"/>
    </row>
    <row r="56" spans="1:36" x14ac:dyDescent="0.25">
      <c r="A56" s="4" t="s">
        <v>112</v>
      </c>
      <c r="B56" s="1" t="s">
        <v>113</v>
      </c>
      <c r="C56" s="1" t="s">
        <v>19</v>
      </c>
      <c r="D56" s="1" t="s">
        <v>55</v>
      </c>
      <c r="E56" s="1" t="s">
        <v>21</v>
      </c>
      <c r="F56" s="1" t="s">
        <v>22</v>
      </c>
      <c r="G56" s="1" t="s">
        <v>12</v>
      </c>
      <c r="H56" s="12" t="s">
        <v>129</v>
      </c>
      <c r="I56" s="1" t="s">
        <v>23</v>
      </c>
      <c r="J56" s="1" t="s">
        <v>24</v>
      </c>
      <c r="K56" s="1" t="s">
        <v>24</v>
      </c>
      <c r="L56" s="1" t="s">
        <v>25</v>
      </c>
      <c r="M56" s="1" t="s">
        <v>24</v>
      </c>
      <c r="N56" s="1" t="s">
        <v>24</v>
      </c>
      <c r="O56" s="1" t="s">
        <v>24</v>
      </c>
      <c r="P56" s="1" t="s">
        <v>24</v>
      </c>
      <c r="Q56" s="1" t="s">
        <v>24</v>
      </c>
      <c r="R56" s="75" t="str">
        <f t="shared" si="5"/>
        <v>2045924</v>
      </c>
      <c r="S56" t="str">
        <f>VLOOKUP(A56,Data_NV!$A:$C,3,0)</f>
        <v xml:space="preserve">Trương Quang Thanh    </v>
      </c>
      <c r="T56" t="str">
        <f>VLOOKUP(A56,Data_NV!$A:$E,4,0)</f>
        <v>Kinh doanh</v>
      </c>
      <c r="U56" s="72">
        <f>DATEVALUE(Table2[[#This Row],[Ngày]])</f>
        <v>45924</v>
      </c>
      <c r="V56" t="str">
        <f>VLOOKUP(A56,Data_NV!$A:$E,5,0)</f>
        <v>Đang làm việc</v>
      </c>
      <c r="W56" s="11">
        <f>VLOOKUP(A56,Data_NV!$A:$I,8,0)</f>
        <v>0.33333333333333331</v>
      </c>
      <c r="X56" s="11">
        <f>VLOOKUP(A56,Data_NV!$A:$I,9,0)</f>
        <v>0.70833333333333337</v>
      </c>
      <c r="Y56" s="11">
        <f>IFERROR(TIMEVALUE(Table2[[#This Row],[Vào]]),0)</f>
        <v>0.31564814814814812</v>
      </c>
      <c r="Z56" s="11">
        <f>IFERROR(TIMEVALUE(Table2[[#This Row],[Ra]]),0)</f>
        <v>0</v>
      </c>
      <c r="AA56" t="str">
        <f t="shared" si="7"/>
        <v>x</v>
      </c>
      <c r="AB56" s="14">
        <f t="shared" si="4"/>
        <v>0</v>
      </c>
      <c r="AC56" s="14" t="str">
        <f>IF(VLOOKUP(A56,Data_NV!$A:$I,7,0)="Không","",IF(OR(AND(Y56=0,Z56=0),AND(Y56&lt;&gt;0,Z56&lt;&gt;0)),"","Quên chấm công"))</f>
        <v/>
      </c>
      <c r="AD56" s="14">
        <f>IF(VLOOKUP(A56,Data_NV!$A:$I,7,0)="Không",0,IF(AND(Y56=0,Z56=0),0,IF(X56&lt;=Z56,0,ROUNDDOWN((X56-Z56)*24*60,0))))</f>
        <v>0</v>
      </c>
      <c r="AE56" s="14">
        <f>IF(VLOOKUP(A56,Data_NV!$A:$I,6,0)="Không",0,IF(Z56&lt;=X56,0,ROUNDDOWN((Z56-X56)*24*60,0)))</f>
        <v>0</v>
      </c>
      <c r="AF56" s="29">
        <f t="shared" si="6"/>
        <v>0</v>
      </c>
      <c r="AG56" s="30" t="str">
        <f>IF(AC56="","",IF(COUNTIFS($AC$3:AC56,"Quên chấm công",$S$3:S56,S56)&gt;3,"Không chấm công do vi phạm quá 3 lần",IF(COUNTIFS($AC$3:AC56,"Quên chấm công",$S$3:S56,S56)&gt;2,"Trừ toàn bộ chuyên cần tháng do vi phạm lần 3",IF(COUNTIFS($AC$3:AC56,"Quên chấm công",$S$3:S56,S56)&gt;1,"Trừ 1/2 ngày lương",50000))))</f>
        <v/>
      </c>
      <c r="AH56" s="14" t="str">
        <f>IF(AF56=0,"",IF(COUNTIFS($AF$3:AF56,"&gt;0",$S$3:S56,S56)&gt;3,"Trừ toàn bộ chuyên cần tháng",""))</f>
        <v/>
      </c>
      <c r="AI56" s="14"/>
      <c r="AJ56" s="14"/>
    </row>
    <row r="57" spans="1:36" x14ac:dyDescent="0.25">
      <c r="A57" s="4" t="s">
        <v>112</v>
      </c>
      <c r="B57" s="1" t="s">
        <v>113</v>
      </c>
      <c r="C57" s="1" t="s">
        <v>19</v>
      </c>
      <c r="D57" s="1" t="s">
        <v>56</v>
      </c>
      <c r="E57" s="1" t="s">
        <v>21</v>
      </c>
      <c r="F57" s="1" t="s">
        <v>22</v>
      </c>
      <c r="G57" s="1" t="s">
        <v>12</v>
      </c>
      <c r="H57" s="12" t="s">
        <v>130</v>
      </c>
      <c r="I57" s="1" t="s">
        <v>23</v>
      </c>
      <c r="J57" s="1" t="s">
        <v>24</v>
      </c>
      <c r="K57" s="1" t="s">
        <v>24</v>
      </c>
      <c r="L57" s="1" t="s">
        <v>25</v>
      </c>
      <c r="M57" s="1" t="s">
        <v>24</v>
      </c>
      <c r="N57" s="1" t="s">
        <v>24</v>
      </c>
      <c r="O57" s="1" t="s">
        <v>24</v>
      </c>
      <c r="P57" s="1" t="s">
        <v>24</v>
      </c>
      <c r="Q57" s="1" t="s">
        <v>24</v>
      </c>
      <c r="R57" s="75" t="str">
        <f t="shared" si="5"/>
        <v>2045925</v>
      </c>
      <c r="S57" t="str">
        <f>VLOOKUP(A57,Data_NV!$A:$C,3,0)</f>
        <v xml:space="preserve">Trương Quang Thanh    </v>
      </c>
      <c r="T57" t="str">
        <f>VLOOKUP(A57,Data_NV!$A:$E,4,0)</f>
        <v>Kinh doanh</v>
      </c>
      <c r="U57" s="72">
        <f>DATEVALUE(Table2[[#This Row],[Ngày]])</f>
        <v>45925</v>
      </c>
      <c r="V57" t="str">
        <f>VLOOKUP(A57,Data_NV!$A:$E,5,0)</f>
        <v>Đang làm việc</v>
      </c>
      <c r="W57" s="11">
        <f>VLOOKUP(A57,Data_NV!$A:$I,8,0)</f>
        <v>0.33333333333333331</v>
      </c>
      <c r="X57" s="11">
        <f>VLOOKUP(A57,Data_NV!$A:$I,9,0)</f>
        <v>0.70833333333333337</v>
      </c>
      <c r="Y57" s="11">
        <f>IFERROR(TIMEVALUE(Table2[[#This Row],[Vào]]),0)</f>
        <v>0.31664351851851852</v>
      </c>
      <c r="Z57" s="11">
        <f>IFERROR(TIMEVALUE(Table2[[#This Row],[Ra]]),0)</f>
        <v>0</v>
      </c>
      <c r="AA57" t="str">
        <f t="shared" si="7"/>
        <v>x</v>
      </c>
      <c r="AB57" s="14">
        <f t="shared" ref="AB57:AB62" si="8">IF(Y57&lt;=W57,0,ROUNDDOWN((Y57-W57)*24*60,0))</f>
        <v>0</v>
      </c>
      <c r="AC57" s="14" t="str">
        <f>IF(VLOOKUP(A57,Data_NV!$A:$I,7,0)="Không","",IF(OR(AND(Y57=0,Z57=0),AND(Y57&lt;&gt;0,Z57&lt;&gt;0)),"","Quên chấm công"))</f>
        <v/>
      </c>
      <c r="AD57" s="14">
        <f>IF(VLOOKUP(A57,Data_NV!$A:$I,7,0)="Không",0,IF(AND(Y57=0,Z57=0),0,IF(X57&lt;=Z57,0,ROUNDDOWN((X57-Z57)*24*60,0))))</f>
        <v>0</v>
      </c>
      <c r="AE57" s="14">
        <f>IF(VLOOKUP(A57,Data_NV!$A:$I,6,0)="Không",0,IF(Z57&lt;=X57,0,ROUNDDOWN((Z57-X57)*24*60,0)))</f>
        <v>0</v>
      </c>
      <c r="AF57" s="29">
        <f t="shared" si="6"/>
        <v>0</v>
      </c>
      <c r="AG57" s="30" t="str">
        <f>IF(AC57="","",IF(COUNTIFS($AC$3:AC57,"Quên chấm công",$S$3:S57,S57)&gt;3,"Không chấm công do vi phạm quá 3 lần",IF(COUNTIFS($AC$3:AC57,"Quên chấm công",$S$3:S57,S57)&gt;2,"Trừ toàn bộ chuyên cần tháng do vi phạm lần 3",IF(COUNTIFS($AC$3:AC57,"Quên chấm công",$S$3:S57,S57)&gt;1,"Trừ 1/2 ngày lương",50000))))</f>
        <v/>
      </c>
      <c r="AH57" s="14" t="str">
        <f>IF(AF57=0,"",IF(COUNTIFS($AF$3:AF57,"&gt;0",$S$3:S57,S57)&gt;3,"Trừ toàn bộ chuyên cần tháng",""))</f>
        <v/>
      </c>
      <c r="AI57" s="14"/>
      <c r="AJ57" s="14"/>
    </row>
    <row r="58" spans="1:36" x14ac:dyDescent="0.25">
      <c r="A58" s="4" t="s">
        <v>112</v>
      </c>
      <c r="B58" s="1" t="s">
        <v>113</v>
      </c>
      <c r="C58" s="1" t="s">
        <v>19</v>
      </c>
      <c r="D58" s="1" t="s">
        <v>57</v>
      </c>
      <c r="E58" s="1" t="s">
        <v>21</v>
      </c>
      <c r="F58" s="1" t="s">
        <v>22</v>
      </c>
      <c r="G58" s="1" t="s">
        <v>12</v>
      </c>
      <c r="H58" s="12" t="s">
        <v>131</v>
      </c>
      <c r="I58" s="1" t="s">
        <v>23</v>
      </c>
      <c r="J58" s="1" t="s">
        <v>24</v>
      </c>
      <c r="K58" s="1" t="s">
        <v>24</v>
      </c>
      <c r="L58" s="1" t="s">
        <v>25</v>
      </c>
      <c r="M58" s="1" t="s">
        <v>24</v>
      </c>
      <c r="N58" s="1" t="s">
        <v>24</v>
      </c>
      <c r="O58" s="1" t="s">
        <v>24</v>
      </c>
      <c r="P58" s="1" t="s">
        <v>24</v>
      </c>
      <c r="Q58" s="1" t="s">
        <v>24</v>
      </c>
      <c r="R58" s="75" t="str">
        <f t="shared" si="5"/>
        <v>2045926</v>
      </c>
      <c r="S58" t="str">
        <f>VLOOKUP(A58,Data_NV!$A:$C,3,0)</f>
        <v xml:space="preserve">Trương Quang Thanh    </v>
      </c>
      <c r="T58" t="str">
        <f>VLOOKUP(A58,Data_NV!$A:$E,4,0)</f>
        <v>Kinh doanh</v>
      </c>
      <c r="U58" s="72">
        <f>DATEVALUE(Table2[[#This Row],[Ngày]])</f>
        <v>45926</v>
      </c>
      <c r="V58" t="str">
        <f>VLOOKUP(A58,Data_NV!$A:$E,5,0)</f>
        <v>Đang làm việc</v>
      </c>
      <c r="W58" s="11">
        <f>VLOOKUP(A58,Data_NV!$A:$I,8,0)</f>
        <v>0.33333333333333331</v>
      </c>
      <c r="X58" s="11">
        <f>VLOOKUP(A58,Data_NV!$A:$I,9,0)</f>
        <v>0.70833333333333337</v>
      </c>
      <c r="Y58" s="11">
        <f>IFERROR(TIMEVALUE(Table2[[#This Row],[Vào]]),0)</f>
        <v>0.31831018518518517</v>
      </c>
      <c r="Z58" s="11">
        <f>IFERROR(TIMEVALUE(Table2[[#This Row],[Ra]]),0)</f>
        <v>0</v>
      </c>
      <c r="AA58" t="str">
        <f t="shared" si="7"/>
        <v>x</v>
      </c>
      <c r="AB58" s="14">
        <f t="shared" si="8"/>
        <v>0</v>
      </c>
      <c r="AC58" s="14" t="str">
        <f>IF(VLOOKUP(A58,Data_NV!$A:$I,7,0)="Không","",IF(OR(AND(Y58=0,Z58=0),AND(Y58&lt;&gt;0,Z58&lt;&gt;0)),"","Quên chấm công"))</f>
        <v/>
      </c>
      <c r="AD58" s="14">
        <f>IF(VLOOKUP(A58,Data_NV!$A:$I,7,0)="Không",0,IF(AND(Y58=0,Z58=0),0,IF(X58&lt;=Z58,0,ROUNDDOWN((X58-Z58)*24*60,0))))</f>
        <v>0</v>
      </c>
      <c r="AE58" s="14">
        <f>IF(VLOOKUP(A58,Data_NV!$A:$I,6,0)="Không",0,IF(Z58&lt;=X58,0,ROUNDDOWN((Z58-X58)*24*60,0)))</f>
        <v>0</v>
      </c>
      <c r="AF58" s="29">
        <f t="shared" si="6"/>
        <v>0</v>
      </c>
      <c r="AG58" s="30" t="str">
        <f>IF(AC58="","",IF(COUNTIFS($AC$3:AC58,"Quên chấm công",$S$3:S58,S58)&gt;3,"Không chấm công do vi phạm quá 3 lần",IF(COUNTIFS($AC$3:AC58,"Quên chấm công",$S$3:S58,S58)&gt;2,"Trừ toàn bộ chuyên cần tháng do vi phạm lần 3",IF(COUNTIFS($AC$3:AC58,"Quên chấm công",$S$3:S58,S58)&gt;1,"Trừ 1/2 ngày lương",50000))))</f>
        <v/>
      </c>
      <c r="AH58" s="14" t="str">
        <f>IF(AF58=0,"",IF(COUNTIFS($AF$3:AF58,"&gt;0",$S$3:S58,S58)&gt;3,"Trừ toàn bộ chuyên cần tháng",""))</f>
        <v/>
      </c>
      <c r="AI58" s="14"/>
      <c r="AJ58" s="14"/>
    </row>
    <row r="59" spans="1:36" x14ac:dyDescent="0.25">
      <c r="A59" s="4" t="s">
        <v>112</v>
      </c>
      <c r="B59" s="1" t="s">
        <v>113</v>
      </c>
      <c r="C59" s="1" t="s">
        <v>19</v>
      </c>
      <c r="D59" s="1" t="s">
        <v>58</v>
      </c>
      <c r="E59" s="1" t="s">
        <v>21</v>
      </c>
      <c r="F59" s="1" t="s">
        <v>22</v>
      </c>
      <c r="G59" s="1" t="s">
        <v>12</v>
      </c>
      <c r="H59" s="12" t="s">
        <v>23</v>
      </c>
      <c r="I59" s="1" t="s">
        <v>23</v>
      </c>
      <c r="J59" s="1" t="s">
        <v>24</v>
      </c>
      <c r="K59" s="1" t="s">
        <v>24</v>
      </c>
      <c r="L59" s="1" t="s">
        <v>25</v>
      </c>
      <c r="M59" s="1" t="s">
        <v>24</v>
      </c>
      <c r="N59" s="1" t="s">
        <v>24</v>
      </c>
      <c r="O59" s="1" t="s">
        <v>24</v>
      </c>
      <c r="P59" s="1" t="s">
        <v>24</v>
      </c>
      <c r="Q59" s="1" t="s">
        <v>24</v>
      </c>
      <c r="R59" s="75" t="str">
        <f t="shared" si="5"/>
        <v>2045927</v>
      </c>
      <c r="S59" t="str">
        <f>VLOOKUP(A59,Data_NV!$A:$C,3,0)</f>
        <v xml:space="preserve">Trương Quang Thanh    </v>
      </c>
      <c r="T59" t="str">
        <f>VLOOKUP(A59,Data_NV!$A:$E,4,0)</f>
        <v>Kinh doanh</v>
      </c>
      <c r="U59" s="72">
        <f>DATEVALUE(Table2[[#This Row],[Ngày]])</f>
        <v>45927</v>
      </c>
      <c r="V59" t="str">
        <f>VLOOKUP(A59,Data_NV!$A:$E,5,0)</f>
        <v>Đang làm việc</v>
      </c>
      <c r="W59" s="11">
        <f>VLOOKUP(A59,Data_NV!$A:$I,8,0)</f>
        <v>0.33333333333333331</v>
      </c>
      <c r="X59" s="11">
        <f>VLOOKUP(A59,Data_NV!$A:$I,9,0)</f>
        <v>0.70833333333333337</v>
      </c>
      <c r="Y59" s="11">
        <f>IFERROR(TIMEVALUE(Table2[[#This Row],[Vào]]),0)</f>
        <v>0</v>
      </c>
      <c r="Z59" s="11">
        <f>IFERROR(TIMEVALUE(Table2[[#This Row],[Ra]]),0)</f>
        <v>0</v>
      </c>
      <c r="AA59" t="str">
        <f t="shared" si="7"/>
        <v/>
      </c>
      <c r="AB59" s="14">
        <f t="shared" si="8"/>
        <v>0</v>
      </c>
      <c r="AC59" s="14" t="str">
        <f>IF(VLOOKUP(A59,Data_NV!$A:$I,7,0)="Không","",IF(OR(AND(Y59=0,Z59=0),AND(Y59&lt;&gt;0,Z59&lt;&gt;0)),"","Quên chấm công"))</f>
        <v/>
      </c>
      <c r="AD59" s="14">
        <f>IF(VLOOKUP(A59,Data_NV!$A:$I,7,0)="Không",0,IF(AND(Y59=0,Z59=0),0,IF(X59&lt;=Z59,0,ROUNDDOWN((X59-Z59)*24*60,0))))</f>
        <v>0</v>
      </c>
      <c r="AE59" s="14">
        <f>IF(VLOOKUP(A59,Data_NV!$A:$I,6,0)="Không",0,IF(Z59&lt;=X59,0,ROUNDDOWN((Z59-X59)*24*60,0)))</f>
        <v>0</v>
      </c>
      <c r="AF59" s="29">
        <f t="shared" si="6"/>
        <v>0</v>
      </c>
      <c r="AG59" s="30" t="str">
        <f>IF(AC59="","",IF(COUNTIFS($AC$3:AC59,"Quên chấm công",$S$3:S59,S59)&gt;3,"Không chấm công do vi phạm quá 3 lần",IF(COUNTIFS($AC$3:AC59,"Quên chấm công",$S$3:S59,S59)&gt;2,"Trừ toàn bộ chuyên cần tháng do vi phạm lần 3",IF(COUNTIFS($AC$3:AC59,"Quên chấm công",$S$3:S59,S59)&gt;1,"Trừ 1/2 ngày lương",50000))))</f>
        <v/>
      </c>
      <c r="AH59" s="14" t="str">
        <f>IF(AF59=0,"",IF(COUNTIFS($AF$3:AF59,"&gt;0",$S$3:S59,S59)&gt;3,"Trừ toàn bộ chuyên cần tháng",""))</f>
        <v/>
      </c>
      <c r="AI59" s="14"/>
      <c r="AJ59" s="14"/>
    </row>
    <row r="60" spans="1:36" x14ac:dyDescent="0.25">
      <c r="A60" s="4" t="s">
        <v>112</v>
      </c>
      <c r="B60" s="1" t="s">
        <v>113</v>
      </c>
      <c r="C60" s="1" t="s">
        <v>19</v>
      </c>
      <c r="D60" s="1" t="s">
        <v>59</v>
      </c>
      <c r="E60" s="1" t="s">
        <v>21</v>
      </c>
      <c r="F60" s="1" t="s">
        <v>22</v>
      </c>
      <c r="G60" s="1" t="s">
        <v>12</v>
      </c>
      <c r="H60" s="12" t="s">
        <v>23</v>
      </c>
      <c r="I60" s="1" t="s">
        <v>23</v>
      </c>
      <c r="J60" s="1" t="s">
        <v>24</v>
      </c>
      <c r="K60" s="1" t="s">
        <v>24</v>
      </c>
      <c r="L60" s="1" t="s">
        <v>25</v>
      </c>
      <c r="M60" s="1" t="s">
        <v>24</v>
      </c>
      <c r="N60" s="1" t="s">
        <v>24</v>
      </c>
      <c r="O60" s="1" t="s">
        <v>24</v>
      </c>
      <c r="P60" s="1" t="s">
        <v>24</v>
      </c>
      <c r="Q60" s="1" t="s">
        <v>24</v>
      </c>
      <c r="R60" s="75" t="str">
        <f t="shared" si="5"/>
        <v>2045928</v>
      </c>
      <c r="S60" t="str">
        <f>VLOOKUP(A60,Data_NV!$A:$C,3,0)</f>
        <v xml:space="preserve">Trương Quang Thanh    </v>
      </c>
      <c r="T60" t="str">
        <f>VLOOKUP(A60,Data_NV!$A:$E,4,0)</f>
        <v>Kinh doanh</v>
      </c>
      <c r="U60" s="72">
        <f>DATEVALUE(Table2[[#This Row],[Ngày]])</f>
        <v>45928</v>
      </c>
      <c r="V60" t="str">
        <f>VLOOKUP(A60,Data_NV!$A:$E,5,0)</f>
        <v>Đang làm việc</v>
      </c>
      <c r="W60" s="11">
        <f>VLOOKUP(A60,Data_NV!$A:$I,8,0)</f>
        <v>0.33333333333333331</v>
      </c>
      <c r="X60" s="11">
        <f>VLOOKUP(A60,Data_NV!$A:$I,9,0)</f>
        <v>0.70833333333333337</v>
      </c>
      <c r="Y60" s="11">
        <f>IFERROR(TIMEVALUE(Table2[[#This Row],[Vào]]),0)</f>
        <v>0</v>
      </c>
      <c r="Z60" s="11">
        <f>IFERROR(TIMEVALUE(Table2[[#This Row],[Ra]]),0)</f>
        <v>0</v>
      </c>
      <c r="AA60" t="str">
        <f t="shared" si="7"/>
        <v/>
      </c>
      <c r="AB60" s="14">
        <f t="shared" si="8"/>
        <v>0</v>
      </c>
      <c r="AC60" s="14" t="str">
        <f>IF(VLOOKUP(A60,Data_NV!$A:$I,7,0)="Không","",IF(OR(AND(Y60=0,Z60=0),AND(Y60&lt;&gt;0,Z60&lt;&gt;0)),"","Quên chấm công"))</f>
        <v/>
      </c>
      <c r="AD60" s="14">
        <f>IF(VLOOKUP(A60,Data_NV!$A:$I,7,0)="Không",0,IF(AND(Y60=0,Z60=0),0,IF(X60&lt;=Z60,0,ROUNDDOWN((X60-Z60)*24*60,0))))</f>
        <v>0</v>
      </c>
      <c r="AE60" s="14">
        <f>IF(VLOOKUP(A60,Data_NV!$A:$I,6,0)="Không",0,IF(Z60&lt;=X60,0,ROUNDDOWN((Z60-X60)*24*60,0)))</f>
        <v>0</v>
      </c>
      <c r="AF60" s="29">
        <f t="shared" si="6"/>
        <v>0</v>
      </c>
      <c r="AG60" s="30" t="str">
        <f>IF(AC60="","",IF(COUNTIFS($AC$3:AC60,"Quên chấm công",$S$3:S60,S60)&gt;3,"Không chấm công do vi phạm quá 3 lần",IF(COUNTIFS($AC$3:AC60,"Quên chấm công",$S$3:S60,S60)&gt;2,"Trừ toàn bộ chuyên cần tháng do vi phạm lần 3",IF(COUNTIFS($AC$3:AC60,"Quên chấm công",$S$3:S60,S60)&gt;1,"Trừ 1/2 ngày lương",50000))))</f>
        <v/>
      </c>
      <c r="AH60" s="14" t="str">
        <f>IF(AF60=0,"",IF(COUNTIFS($AF$3:AF60,"&gt;0",$S$3:S60,S60)&gt;3,"Trừ toàn bộ chuyên cần tháng",""))</f>
        <v/>
      </c>
      <c r="AI60" s="14"/>
      <c r="AJ60" s="14"/>
    </row>
    <row r="61" spans="1:36" x14ac:dyDescent="0.25">
      <c r="A61" s="4" t="s">
        <v>112</v>
      </c>
      <c r="B61" s="1" t="s">
        <v>113</v>
      </c>
      <c r="C61" s="1" t="s">
        <v>19</v>
      </c>
      <c r="D61" s="1" t="s">
        <v>60</v>
      </c>
      <c r="E61" s="1" t="s">
        <v>21</v>
      </c>
      <c r="F61" s="1" t="s">
        <v>22</v>
      </c>
      <c r="G61" s="1" t="s">
        <v>12</v>
      </c>
      <c r="H61" s="12" t="s">
        <v>132</v>
      </c>
      <c r="I61" s="1" t="s">
        <v>23</v>
      </c>
      <c r="J61" s="1" t="s">
        <v>24</v>
      </c>
      <c r="K61" s="1" t="s">
        <v>24</v>
      </c>
      <c r="L61" s="1" t="s">
        <v>25</v>
      </c>
      <c r="M61" s="1" t="s">
        <v>24</v>
      </c>
      <c r="N61" s="1" t="s">
        <v>24</v>
      </c>
      <c r="O61" s="1" t="s">
        <v>24</v>
      </c>
      <c r="P61" s="1" t="s">
        <v>24</v>
      </c>
      <c r="Q61" s="1" t="s">
        <v>24</v>
      </c>
      <c r="R61" s="75" t="str">
        <f t="shared" si="5"/>
        <v>2045929</v>
      </c>
      <c r="S61" t="str">
        <f>VLOOKUP(A61,Data_NV!$A:$C,3,0)</f>
        <v xml:space="preserve">Trương Quang Thanh    </v>
      </c>
      <c r="T61" t="str">
        <f>VLOOKUP(A61,Data_NV!$A:$E,4,0)</f>
        <v>Kinh doanh</v>
      </c>
      <c r="U61" s="72">
        <f>DATEVALUE(Table2[[#This Row],[Ngày]])</f>
        <v>45929</v>
      </c>
      <c r="V61" t="str">
        <f>VLOOKUP(A61,Data_NV!$A:$E,5,0)</f>
        <v>Đang làm việc</v>
      </c>
      <c r="W61" s="11">
        <f>VLOOKUP(A61,Data_NV!$A:$I,8,0)</f>
        <v>0.33333333333333331</v>
      </c>
      <c r="X61" s="11">
        <f>VLOOKUP(A61,Data_NV!$A:$I,9,0)</f>
        <v>0.70833333333333337</v>
      </c>
      <c r="Y61" s="11">
        <f>IFERROR(TIMEVALUE(Table2[[#This Row],[Vào]]),0)</f>
        <v>0.32390046296296299</v>
      </c>
      <c r="Z61" s="11">
        <f>IFERROR(TIMEVALUE(Table2[[#This Row],[Ra]]),0)</f>
        <v>0</v>
      </c>
      <c r="AA61" t="str">
        <f t="shared" si="7"/>
        <v>x</v>
      </c>
      <c r="AB61" s="14">
        <f t="shared" si="8"/>
        <v>0</v>
      </c>
      <c r="AC61" s="14" t="str">
        <f>IF(VLOOKUP(A61,Data_NV!$A:$I,7,0)="Không","",IF(OR(AND(Y61=0,Z61=0),AND(Y61&lt;&gt;0,Z61&lt;&gt;0)),"","Quên chấm công"))</f>
        <v/>
      </c>
      <c r="AD61" s="14">
        <f>IF(VLOOKUP(A61,Data_NV!$A:$I,7,0)="Không",0,IF(AND(Y61=0,Z61=0),0,IF(X61&lt;=Z61,0,ROUNDDOWN((X61-Z61)*24*60,0))))</f>
        <v>0</v>
      </c>
      <c r="AE61" s="14">
        <f>IF(VLOOKUP(A61,Data_NV!$A:$I,6,0)="Không",0,IF(Z61&lt;=X61,0,ROUNDDOWN((Z61-X61)*24*60,0)))</f>
        <v>0</v>
      </c>
      <c r="AF61" s="29">
        <f t="shared" si="6"/>
        <v>0</v>
      </c>
      <c r="AG61" s="30" t="str">
        <f>IF(AC61="","",IF(COUNTIFS($AC$3:AC61,"Quên chấm công",$S$3:S61,S61)&gt;3,"Không chấm công do vi phạm quá 3 lần",IF(COUNTIFS($AC$3:AC61,"Quên chấm công",$S$3:S61,S61)&gt;2,"Trừ toàn bộ chuyên cần tháng do vi phạm lần 3",IF(COUNTIFS($AC$3:AC61,"Quên chấm công",$S$3:S61,S61)&gt;1,"Trừ 1/2 ngày lương",50000))))</f>
        <v/>
      </c>
      <c r="AH61" s="14" t="str">
        <f>IF(AF61=0,"",IF(COUNTIFS($AF$3:AF61,"&gt;0",$S$3:S61,S61)&gt;3,"Trừ toàn bộ chuyên cần tháng",""))</f>
        <v/>
      </c>
      <c r="AI61" s="14"/>
      <c r="AJ61" s="14"/>
    </row>
    <row r="62" spans="1:36" x14ac:dyDescent="0.25">
      <c r="A62" s="4" t="s">
        <v>112</v>
      </c>
      <c r="B62" s="1" t="s">
        <v>113</v>
      </c>
      <c r="C62" s="1" t="s">
        <v>19</v>
      </c>
      <c r="D62" s="1" t="s">
        <v>61</v>
      </c>
      <c r="E62" s="1" t="s">
        <v>21</v>
      </c>
      <c r="F62" s="1" t="s">
        <v>22</v>
      </c>
      <c r="G62" s="1" t="s">
        <v>12</v>
      </c>
      <c r="H62" s="12" t="s">
        <v>133</v>
      </c>
      <c r="I62" s="1" t="s">
        <v>23</v>
      </c>
      <c r="J62" s="1" t="s">
        <v>24</v>
      </c>
      <c r="K62" s="1" t="s">
        <v>24</v>
      </c>
      <c r="L62" s="1" t="s">
        <v>25</v>
      </c>
      <c r="M62" s="1" t="s">
        <v>24</v>
      </c>
      <c r="N62" s="1" t="s">
        <v>24</v>
      </c>
      <c r="O62" s="1" t="s">
        <v>24</v>
      </c>
      <c r="P62" s="1" t="s">
        <v>24</v>
      </c>
      <c r="Q62" s="1" t="s">
        <v>24</v>
      </c>
      <c r="R62" s="75" t="str">
        <f t="shared" si="5"/>
        <v>2045930</v>
      </c>
      <c r="S62" t="str">
        <f>VLOOKUP(A62,Data_NV!$A:$C,3,0)</f>
        <v xml:space="preserve">Trương Quang Thanh    </v>
      </c>
      <c r="T62" t="str">
        <f>VLOOKUP(A62,Data_NV!$A:$E,4,0)</f>
        <v>Kinh doanh</v>
      </c>
      <c r="U62" s="72">
        <f>DATEVALUE(Table2[[#This Row],[Ngày]])</f>
        <v>45930</v>
      </c>
      <c r="V62" t="str">
        <f>VLOOKUP(A62,Data_NV!$A:$E,5,0)</f>
        <v>Đang làm việc</v>
      </c>
      <c r="W62" s="11">
        <f>VLOOKUP(A62,Data_NV!$A:$I,8,0)</f>
        <v>0.33333333333333331</v>
      </c>
      <c r="X62" s="11">
        <f>VLOOKUP(A62,Data_NV!$A:$I,9,0)</f>
        <v>0.70833333333333337</v>
      </c>
      <c r="Y62" s="11">
        <f>IFERROR(TIMEVALUE(Table2[[#This Row],[Vào]]),0)</f>
        <v>0.31792824074074072</v>
      </c>
      <c r="Z62" s="11">
        <f>IFERROR(TIMEVALUE(Table2[[#This Row],[Ra]]),0)</f>
        <v>0</v>
      </c>
      <c r="AA62" t="str">
        <f t="shared" si="7"/>
        <v>x</v>
      </c>
      <c r="AB62" s="14">
        <f t="shared" si="8"/>
        <v>0</v>
      </c>
      <c r="AC62" s="14" t="str">
        <f>IF(VLOOKUP(A62,Data_NV!$A:$I,7,0)="Không","",IF(OR(AND(Y62=0,Z62=0),AND(Y62&lt;&gt;0,Z62&lt;&gt;0)),"","Quên chấm công"))</f>
        <v/>
      </c>
      <c r="AD62" s="14">
        <f>IF(VLOOKUP(A62,Data_NV!$A:$I,7,0)="Không",0,IF(AND(Y62=0,Z62=0),0,IF(X62&lt;=Z62,0,ROUNDDOWN((X62-Z62)*24*60,0))))</f>
        <v>0</v>
      </c>
      <c r="AE62" s="14">
        <f>IF(VLOOKUP(A62,Data_NV!$A:$I,6,0)="Không",0,IF(Z62&lt;=X62,0,ROUNDDOWN((Z62-X62)*24*60,0)))</f>
        <v>0</v>
      </c>
      <c r="AF62" s="29">
        <f t="shared" si="6"/>
        <v>0</v>
      </c>
      <c r="AG62" s="30" t="str">
        <f>IF(AC62="","",IF(COUNTIFS($AC$3:AC62,"Quên chấm công",$S$3:S62,S62)&gt;3,"Không chấm công do vi phạm quá 3 lần",IF(COUNTIFS($AC$3:AC62,"Quên chấm công",$S$3:S62,S62)&gt;2,"Trừ toàn bộ chuyên cần tháng do vi phạm lần 3",IF(COUNTIFS($AC$3:AC62,"Quên chấm công",$S$3:S62,S62)&gt;1,"Trừ 1/2 ngày lương",50000))))</f>
        <v/>
      </c>
      <c r="AH62" s="14" t="str">
        <f>IF(AF62=0,"",IF(COUNTIFS($AF$3:AF62,"&gt;0",$S$3:S62,S62)&gt;3,"Trừ toàn bộ chuyên cần tháng",""))</f>
        <v/>
      </c>
      <c r="AI62" s="14"/>
      <c r="AJ62" s="14"/>
    </row>
    <row r="63" spans="1:36" x14ac:dyDescent="0.25">
      <c r="A63" s="4" t="s">
        <v>177</v>
      </c>
      <c r="B63" s="1" t="s">
        <v>178</v>
      </c>
      <c r="C63" s="1" t="s">
        <v>19</v>
      </c>
      <c r="D63" s="1" t="s">
        <v>20</v>
      </c>
      <c r="E63" s="1" t="s">
        <v>21</v>
      </c>
      <c r="F63" s="1" t="s">
        <v>22</v>
      </c>
      <c r="G63" s="1" t="s">
        <v>12</v>
      </c>
      <c r="H63" s="12" t="s">
        <v>23</v>
      </c>
      <c r="I63" s="1" t="s">
        <v>23</v>
      </c>
      <c r="J63" s="1" t="s">
        <v>24</v>
      </c>
      <c r="K63" s="1" t="s">
        <v>24</v>
      </c>
      <c r="L63" s="1" t="s">
        <v>25</v>
      </c>
      <c r="M63" s="1" t="s">
        <v>24</v>
      </c>
      <c r="N63" s="1" t="s">
        <v>24</v>
      </c>
      <c r="O63" s="1" t="s">
        <v>24</v>
      </c>
      <c r="P63" s="1" t="s">
        <v>24</v>
      </c>
      <c r="Q63" s="1" t="s">
        <v>24</v>
      </c>
      <c r="R63" s="75" t="str">
        <f t="shared" ref="R63:R120" si="9">A63&amp;U63</f>
        <v>3745901</v>
      </c>
      <c r="S63" t="str">
        <f>VLOOKUP(A63,Data_NV!$A:$C,3,0)</f>
        <v>Trần Bảo Trâm</v>
      </c>
      <c r="T63" t="str">
        <f>VLOOKUP(A63,Data_NV!$A:$E,4,0)</f>
        <v>Kinh doanh</v>
      </c>
      <c r="U63" s="72">
        <f>DATEVALUE(Table2[[#This Row],[Ngày]])</f>
        <v>45901</v>
      </c>
      <c r="V63" t="str">
        <f>VLOOKUP(A63,Data_NV!$A:$E,5,0)</f>
        <v>Đang làm việc</v>
      </c>
      <c r="W63" s="11">
        <f>VLOOKUP(A63,Data_NV!$A:$I,8,0)</f>
        <v>0.33333333333333331</v>
      </c>
      <c r="X63" s="11">
        <f>VLOOKUP(A63,Data_NV!$A:$I,9,0)</f>
        <v>0.70833333333333337</v>
      </c>
      <c r="Y63" s="11">
        <f>IFERROR(TIMEVALUE(Table2[[#This Row],[Vào]]),0)</f>
        <v>0</v>
      </c>
      <c r="Z63" s="11">
        <f>IFERROR(TIMEVALUE(Table2[[#This Row],[Ra]]),0)</f>
        <v>0</v>
      </c>
      <c r="AA63" s="10" t="s">
        <v>508</v>
      </c>
      <c r="AB63" s="14">
        <f t="shared" ref="AB63:AB122" si="10">IF(Y63&lt;=W63,0,ROUNDDOWN((Y63-W63)*24*60,0))</f>
        <v>0</v>
      </c>
      <c r="AC63" s="14" t="str">
        <f>IF(VLOOKUP(A63,Data_NV!$A:$I,7,0)="Không","",IF(OR(AND(Y63=0,Z63=0),AND(Y63&lt;&gt;0,Z63&lt;&gt;0)),"","Quên chấm công"))</f>
        <v/>
      </c>
      <c r="AD63" s="14">
        <f>IF(VLOOKUP(A63,Data_NV!$A:$I,7,0)="Không",0,IF(AND(Y63=0,Z63=0),0,IF(X63&lt;=Z63,0,ROUNDDOWN((X63-Z63)*24*60,0))))</f>
        <v>0</v>
      </c>
      <c r="AE63" s="14">
        <f>IF(VLOOKUP(A63,Data_NV!$A:$I,6,0)="Không",0,IF(Z63&lt;=X63,0,ROUNDDOWN((Z63-X63)*24*60,0)))</f>
        <v>0</v>
      </c>
      <c r="AF63" s="29">
        <f t="shared" ref="AF63:AF120" si="11">IF(AB63&gt;60,"Trừ 1/2 ngày lương",IF(AB63&gt;15,50000,IF(AB63&gt;6,30000,0)))</f>
        <v>0</v>
      </c>
      <c r="AG63" s="30" t="str">
        <f>IF(AC63="","",IF(COUNTIFS($AC$3:AC63,"Quên chấm công",$S$3:S63,S63)&gt;3,"Không chấm công do vi phạm quá 3 lần",IF(COUNTIFS($AC$3:AC63,"Quên chấm công",$S$3:S63,S63)&gt;2,"Trừ toàn bộ chuyên cần tháng do vi phạm lần 3",IF(COUNTIFS($AC$3:AC63,"Quên chấm công",$S$3:S63,S63)&gt;1,"Trừ 1/2 ngày lương",50000))))</f>
        <v/>
      </c>
      <c r="AH63" s="14" t="str">
        <f>IF(AF63=0,"",IF(COUNTIFS($AF$3:AF63,"&gt;0",$S$3:S63,S63)&gt;3,"Trừ toàn bộ chuyên cần tháng",""))</f>
        <v/>
      </c>
      <c r="AI63" s="14"/>
      <c r="AJ63" s="14"/>
    </row>
    <row r="64" spans="1:36" x14ac:dyDescent="0.25">
      <c r="A64" s="4" t="s">
        <v>177</v>
      </c>
      <c r="B64" s="1" t="s">
        <v>178</v>
      </c>
      <c r="C64" s="1" t="s">
        <v>19</v>
      </c>
      <c r="D64" s="1" t="s">
        <v>26</v>
      </c>
      <c r="E64" s="1" t="s">
        <v>21</v>
      </c>
      <c r="F64" s="1" t="s">
        <v>22</v>
      </c>
      <c r="G64" s="1" t="s">
        <v>12</v>
      </c>
      <c r="H64" s="12" t="s">
        <v>23</v>
      </c>
      <c r="I64" s="1" t="s">
        <v>23</v>
      </c>
      <c r="J64" s="1" t="s">
        <v>24</v>
      </c>
      <c r="K64" s="1" t="s">
        <v>24</v>
      </c>
      <c r="L64" s="1" t="s">
        <v>25</v>
      </c>
      <c r="M64" s="1" t="s">
        <v>24</v>
      </c>
      <c r="N64" s="1" t="s">
        <v>24</v>
      </c>
      <c r="O64" s="1" t="s">
        <v>24</v>
      </c>
      <c r="P64" s="1" t="s">
        <v>24</v>
      </c>
      <c r="Q64" s="1" t="s">
        <v>24</v>
      </c>
      <c r="R64" s="75" t="str">
        <f t="shared" si="9"/>
        <v>3745902</v>
      </c>
      <c r="S64" t="str">
        <f>VLOOKUP(A64,Data_NV!$A:$C,3,0)</f>
        <v>Trần Bảo Trâm</v>
      </c>
      <c r="T64" t="str">
        <f>VLOOKUP(A64,Data_NV!$A:$E,4,0)</f>
        <v>Kinh doanh</v>
      </c>
      <c r="U64" s="72">
        <f>DATEVALUE(Table2[[#This Row],[Ngày]])</f>
        <v>45902</v>
      </c>
      <c r="V64" t="str">
        <f>VLOOKUP(A64,Data_NV!$A:$E,5,0)</f>
        <v>Đang làm việc</v>
      </c>
      <c r="W64" s="11">
        <f>VLOOKUP(A64,Data_NV!$A:$I,8,0)</f>
        <v>0.33333333333333331</v>
      </c>
      <c r="X64" s="11">
        <f>VLOOKUP(A64,Data_NV!$A:$I,9,0)</f>
        <v>0.70833333333333337</v>
      </c>
      <c r="Y64" s="11">
        <f>IFERROR(TIMEVALUE(Table2[[#This Row],[Vào]]),0)</f>
        <v>0</v>
      </c>
      <c r="Z64" s="11">
        <f>IFERROR(TIMEVALUE(Table2[[#This Row],[Ra]]),0)</f>
        <v>0</v>
      </c>
      <c r="AA64" s="10" t="s">
        <v>508</v>
      </c>
      <c r="AB64" s="14">
        <f t="shared" si="10"/>
        <v>0</v>
      </c>
      <c r="AC64" s="14" t="str">
        <f>IF(VLOOKUP(A64,Data_NV!$A:$I,7,0)="Không","",IF(OR(AND(Y64=0,Z64=0),AND(Y64&lt;&gt;0,Z64&lt;&gt;0)),"","Quên chấm công"))</f>
        <v/>
      </c>
      <c r="AD64" s="14">
        <f>IF(VLOOKUP(A64,Data_NV!$A:$I,7,0)="Không",0,IF(AND(Y64=0,Z64=0),0,IF(X64&lt;=Z64,0,ROUNDDOWN((X64-Z64)*24*60,0))))</f>
        <v>0</v>
      </c>
      <c r="AE64" s="14">
        <f>IF(VLOOKUP(A64,Data_NV!$A:$I,6,0)="Không",0,IF(Z64&lt;=X64,0,ROUNDDOWN((Z64-X64)*24*60,0)))</f>
        <v>0</v>
      </c>
      <c r="AF64" s="29">
        <f t="shared" si="11"/>
        <v>0</v>
      </c>
      <c r="AG64" s="30" t="str">
        <f>IF(AC64="","",IF(COUNTIFS($AC$3:AC64,"Quên chấm công",$S$3:S64,S64)&gt;3,"Không chấm công do vi phạm quá 3 lần",IF(COUNTIFS($AC$3:AC64,"Quên chấm công",$S$3:S64,S64)&gt;2,"Trừ toàn bộ chuyên cần tháng do vi phạm lần 3",IF(COUNTIFS($AC$3:AC64,"Quên chấm công",$S$3:S64,S64)&gt;1,"Trừ 1/2 ngày lương",50000))))</f>
        <v/>
      </c>
      <c r="AH64" s="14" t="str">
        <f>IF(AF64=0,"",IF(COUNTIFS($AF$3:AF64,"&gt;0",$S$3:S64,S64)&gt;3,"Trừ toàn bộ chuyên cần tháng",""))</f>
        <v/>
      </c>
      <c r="AI64" s="14"/>
      <c r="AJ64" s="14"/>
    </row>
    <row r="65" spans="1:36" x14ac:dyDescent="0.25">
      <c r="A65" s="4" t="s">
        <v>177</v>
      </c>
      <c r="B65" s="1" t="s">
        <v>178</v>
      </c>
      <c r="C65" s="1" t="s">
        <v>19</v>
      </c>
      <c r="D65" s="1" t="s">
        <v>27</v>
      </c>
      <c r="E65" s="1" t="s">
        <v>21</v>
      </c>
      <c r="F65" s="1" t="s">
        <v>22</v>
      </c>
      <c r="G65" s="1" t="s">
        <v>10</v>
      </c>
      <c r="H65" s="12" t="s">
        <v>179</v>
      </c>
      <c r="I65" s="1" t="s">
        <v>180</v>
      </c>
      <c r="J65" s="1" t="s">
        <v>181</v>
      </c>
      <c r="K65" s="1" t="s">
        <v>29</v>
      </c>
      <c r="L65" s="1" t="s">
        <v>24</v>
      </c>
      <c r="M65" s="1" t="s">
        <v>25</v>
      </c>
      <c r="N65" s="1" t="s">
        <v>24</v>
      </c>
      <c r="O65" s="1" t="s">
        <v>30</v>
      </c>
      <c r="P65" s="1" t="s">
        <v>182</v>
      </c>
      <c r="Q65" s="1" t="s">
        <v>24</v>
      </c>
      <c r="R65" s="75" t="str">
        <f t="shared" si="9"/>
        <v>3745903</v>
      </c>
      <c r="S65" t="str">
        <f>VLOOKUP(A65,Data_NV!$A:$C,3,0)</f>
        <v>Trần Bảo Trâm</v>
      </c>
      <c r="T65" t="str">
        <f>VLOOKUP(A65,Data_NV!$A:$E,4,0)</f>
        <v>Kinh doanh</v>
      </c>
      <c r="U65" s="72">
        <f>DATEVALUE(Table2[[#This Row],[Ngày]])</f>
        <v>45903</v>
      </c>
      <c r="V65" t="str">
        <f>VLOOKUP(A65,Data_NV!$A:$E,5,0)</f>
        <v>Đang làm việc</v>
      </c>
      <c r="W65" s="11">
        <f>VLOOKUP(A65,Data_NV!$A:$I,8,0)</f>
        <v>0.33333333333333331</v>
      </c>
      <c r="X65" s="11">
        <f>VLOOKUP(A65,Data_NV!$A:$I,9,0)</f>
        <v>0.70833333333333337</v>
      </c>
      <c r="Y65" s="11">
        <f>IFERROR(TIMEVALUE(Table2[[#This Row],[Vào]]),0)</f>
        <v>0.33685185185185185</v>
      </c>
      <c r="Z65" s="11">
        <f>IFERROR(TIMEVALUE(Table2[[#This Row],[Ra]]),0)</f>
        <v>0.8094675925925926</v>
      </c>
      <c r="AA65" t="str">
        <f t="shared" ref="AA65:AA120" si="12">IF(OR(AND(Y65=0,Z65=0),AG65="Không chấm công do vi phạm quá 3 lần"),"",IF(OR(AG65="Trừ 1/2 ngày lương",AF65="Trừ 1/2 ngày lương",AB65&gt;=60),"1/2","x"))</f>
        <v>x</v>
      </c>
      <c r="AB65" s="14">
        <f t="shared" si="10"/>
        <v>5</v>
      </c>
      <c r="AC65" s="14" t="str">
        <f>IF(VLOOKUP(A65,Data_NV!$A:$I,7,0)="Không","",IF(OR(AND(Y65=0,Z65=0),AND(Y65&lt;&gt;0,Z65&lt;&gt;0)),"","Quên chấm công"))</f>
        <v/>
      </c>
      <c r="AD65" s="14">
        <f>IF(VLOOKUP(A65,Data_NV!$A:$I,7,0)="Không",0,IF(AND(Y65=0,Z65=0),0,IF(X65&lt;=Z65,0,ROUNDDOWN((X65-Z65)*24*60,0))))</f>
        <v>0</v>
      </c>
      <c r="AE65" s="14">
        <f>IF(VLOOKUP(A65,Data_NV!$A:$I,6,0)="Không",0,IF(Z65&lt;=X65,0,ROUNDDOWN((Z65-X65)*24*60,0)))</f>
        <v>145</v>
      </c>
      <c r="AF65" s="29">
        <f t="shared" si="11"/>
        <v>0</v>
      </c>
      <c r="AG65" s="30" t="str">
        <f>IF(AC65="","",IF(COUNTIFS($AC$3:AC65,"Quên chấm công",$S$3:S65,S65)&gt;3,"Không chấm công do vi phạm quá 3 lần",IF(COUNTIFS($AC$3:AC65,"Quên chấm công",$S$3:S65,S65)&gt;2,"Trừ toàn bộ chuyên cần tháng do vi phạm lần 3",IF(COUNTIFS($AC$3:AC65,"Quên chấm công",$S$3:S65,S65)&gt;1,"Trừ 1/2 ngày lương",50000))))</f>
        <v/>
      </c>
      <c r="AH65" s="14" t="str">
        <f>IF(AF65=0,"",IF(COUNTIFS($AF$3:AF65,"&gt;0",$S$3:S65,S65)&gt;3,"Trừ toàn bộ chuyên cần tháng",""))</f>
        <v/>
      </c>
      <c r="AI65" s="14"/>
      <c r="AJ65" s="14"/>
    </row>
    <row r="66" spans="1:36" x14ac:dyDescent="0.25">
      <c r="A66" s="4" t="s">
        <v>177</v>
      </c>
      <c r="B66" s="1" t="s">
        <v>178</v>
      </c>
      <c r="C66" s="1" t="s">
        <v>19</v>
      </c>
      <c r="D66" s="1" t="s">
        <v>31</v>
      </c>
      <c r="E66" s="1" t="s">
        <v>21</v>
      </c>
      <c r="F66" s="1" t="s">
        <v>22</v>
      </c>
      <c r="G66" s="1" t="s">
        <v>10</v>
      </c>
      <c r="H66" s="12" t="s">
        <v>183</v>
      </c>
      <c r="I66" s="1" t="s">
        <v>184</v>
      </c>
      <c r="J66" s="1" t="s">
        <v>108</v>
      </c>
      <c r="K66" s="1" t="s">
        <v>185</v>
      </c>
      <c r="L66" s="1" t="s">
        <v>127</v>
      </c>
      <c r="M66" s="1" t="s">
        <v>185</v>
      </c>
      <c r="N66" s="1" t="s">
        <v>24</v>
      </c>
      <c r="O66" s="1" t="s">
        <v>95</v>
      </c>
      <c r="P66" s="1" t="s">
        <v>24</v>
      </c>
      <c r="Q66" s="1" t="s">
        <v>24</v>
      </c>
      <c r="R66" s="75" t="str">
        <f t="shared" si="9"/>
        <v>3745904</v>
      </c>
      <c r="S66" t="str">
        <f>VLOOKUP(A66,Data_NV!$A:$C,3,0)</f>
        <v>Trần Bảo Trâm</v>
      </c>
      <c r="T66" t="str">
        <f>VLOOKUP(A66,Data_NV!$A:$E,4,0)</f>
        <v>Kinh doanh</v>
      </c>
      <c r="U66" s="72">
        <f>DATEVALUE(Table2[[#This Row],[Ngày]])</f>
        <v>45904</v>
      </c>
      <c r="V66" t="str">
        <f>VLOOKUP(A66,Data_NV!$A:$E,5,0)</f>
        <v>Đang làm việc</v>
      </c>
      <c r="W66" s="11">
        <f>VLOOKUP(A66,Data_NV!$A:$I,8,0)</f>
        <v>0.33333333333333331</v>
      </c>
      <c r="X66" s="11">
        <f>VLOOKUP(A66,Data_NV!$A:$I,9,0)</f>
        <v>0.70833333333333337</v>
      </c>
      <c r="Y66" s="11">
        <f>IFERROR(TIMEVALUE(Table2[[#This Row],[Vào]]),0)</f>
        <v>0.35082175925925924</v>
      </c>
      <c r="Z66" s="11">
        <f>IFERROR(TIMEVALUE(Table2[[#This Row],[Ra]]),0)</f>
        <v>0.71291666666666664</v>
      </c>
      <c r="AA66" t="str">
        <f t="shared" si="12"/>
        <v>x</v>
      </c>
      <c r="AB66" s="14">
        <f t="shared" si="10"/>
        <v>25</v>
      </c>
      <c r="AC66" s="14" t="str">
        <f>IF(VLOOKUP(A66,Data_NV!$A:$I,7,0)="Không","",IF(OR(AND(Y66=0,Z66=0),AND(Y66&lt;&gt;0,Z66&lt;&gt;0)),"","Quên chấm công"))</f>
        <v/>
      </c>
      <c r="AD66" s="14">
        <f>IF(VLOOKUP(A66,Data_NV!$A:$I,7,0)="Không",0,IF(AND(Y66=0,Z66=0),0,IF(X66&lt;=Z66,0,ROUNDDOWN((X66-Z66)*24*60,0))))</f>
        <v>0</v>
      </c>
      <c r="AE66" s="14">
        <f>IF(VLOOKUP(A66,Data_NV!$A:$I,6,0)="Không",0,IF(Z66&lt;=X66,0,ROUNDDOWN((Z66-X66)*24*60,0)))</f>
        <v>6</v>
      </c>
      <c r="AF66" s="29">
        <f t="shared" si="11"/>
        <v>50000</v>
      </c>
      <c r="AG66" s="30" t="str">
        <f>IF(AC66="","",IF(COUNTIFS($AC$3:AC66,"Quên chấm công",$S$3:S66,S66)&gt;3,"Không chấm công do vi phạm quá 3 lần",IF(COUNTIFS($AC$3:AC66,"Quên chấm công",$S$3:S66,S66)&gt;2,"Trừ toàn bộ chuyên cần tháng do vi phạm lần 3",IF(COUNTIFS($AC$3:AC66,"Quên chấm công",$S$3:S66,S66)&gt;1,"Trừ 1/2 ngày lương",50000))))</f>
        <v/>
      </c>
      <c r="AH66" s="14" t="str">
        <f>IF(AF66=0,"",IF(COUNTIFS($AF$3:AF66,"&gt;0",$S$3:S66,S66)&gt;3,"Trừ toàn bộ chuyên cần tháng",""))</f>
        <v/>
      </c>
      <c r="AI66" s="14"/>
      <c r="AJ66" s="14"/>
    </row>
    <row r="67" spans="1:36" x14ac:dyDescent="0.25">
      <c r="A67" s="4" t="s">
        <v>177</v>
      </c>
      <c r="B67" s="1" t="s">
        <v>178</v>
      </c>
      <c r="C67" s="1" t="s">
        <v>19</v>
      </c>
      <c r="D67" s="1" t="s">
        <v>32</v>
      </c>
      <c r="E67" s="1" t="s">
        <v>21</v>
      </c>
      <c r="F67" s="1" t="s">
        <v>22</v>
      </c>
      <c r="G67" s="1" t="s">
        <v>10</v>
      </c>
      <c r="H67" s="12" t="s">
        <v>186</v>
      </c>
      <c r="I67" s="1" t="s">
        <v>187</v>
      </c>
      <c r="J67" s="1" t="s">
        <v>98</v>
      </c>
      <c r="K67" s="1" t="s">
        <v>139</v>
      </c>
      <c r="L67" s="1" t="s">
        <v>24</v>
      </c>
      <c r="M67" s="1" t="s">
        <v>25</v>
      </c>
      <c r="N67" s="1" t="s">
        <v>24</v>
      </c>
      <c r="O67" s="1" t="s">
        <v>30</v>
      </c>
      <c r="P67" s="1" t="s">
        <v>109</v>
      </c>
      <c r="Q67" s="1" t="s">
        <v>24</v>
      </c>
      <c r="R67" s="75" t="str">
        <f t="shared" si="9"/>
        <v>3745905</v>
      </c>
      <c r="S67" t="str">
        <f>VLOOKUP(A67,Data_NV!$A:$C,3,0)</f>
        <v>Trần Bảo Trâm</v>
      </c>
      <c r="T67" t="str">
        <f>VLOOKUP(A67,Data_NV!$A:$E,4,0)</f>
        <v>Kinh doanh</v>
      </c>
      <c r="U67" s="72">
        <f>DATEVALUE(Table2[[#This Row],[Ngày]])</f>
        <v>45905</v>
      </c>
      <c r="V67" t="str">
        <f>VLOOKUP(A67,Data_NV!$A:$E,5,0)</f>
        <v>Đang làm việc</v>
      </c>
      <c r="W67" s="11">
        <f>VLOOKUP(A67,Data_NV!$A:$I,8,0)</f>
        <v>0.33333333333333331</v>
      </c>
      <c r="X67" s="11">
        <f>VLOOKUP(A67,Data_NV!$A:$I,9,0)</f>
        <v>0.70833333333333337</v>
      </c>
      <c r="Y67" s="11">
        <f>IFERROR(TIMEVALUE(Table2[[#This Row],[Vào]]),0)</f>
        <v>0.33604166666666668</v>
      </c>
      <c r="Z67" s="11">
        <f>IFERROR(TIMEVALUE(Table2[[#This Row],[Ra]]),0)</f>
        <v>0.79244212962962968</v>
      </c>
      <c r="AA67" t="str">
        <f t="shared" si="12"/>
        <v>x</v>
      </c>
      <c r="AB67" s="14">
        <f t="shared" si="10"/>
        <v>3</v>
      </c>
      <c r="AC67" s="14" t="str">
        <f>IF(VLOOKUP(A67,Data_NV!$A:$I,7,0)="Không","",IF(OR(AND(Y67=0,Z67=0),AND(Y67&lt;&gt;0,Z67&lt;&gt;0)),"","Quên chấm công"))</f>
        <v/>
      </c>
      <c r="AD67" s="14">
        <f>IF(VLOOKUP(A67,Data_NV!$A:$I,7,0)="Không",0,IF(AND(Y67=0,Z67=0),0,IF(X67&lt;=Z67,0,ROUNDDOWN((X67-Z67)*24*60,0))))</f>
        <v>0</v>
      </c>
      <c r="AE67" s="14">
        <f>IF(VLOOKUP(A67,Data_NV!$A:$I,6,0)="Không",0,IF(Z67&lt;=X67,0,ROUNDDOWN((Z67-X67)*24*60,0)))</f>
        <v>121</v>
      </c>
      <c r="AF67" s="29">
        <f t="shared" si="11"/>
        <v>0</v>
      </c>
      <c r="AG67" s="30" t="str">
        <f>IF(AC67="","",IF(COUNTIFS($AC$3:AC67,"Quên chấm công",$S$3:S67,S67)&gt;3,"Không chấm công do vi phạm quá 3 lần",IF(COUNTIFS($AC$3:AC67,"Quên chấm công",$S$3:S67,S67)&gt;2,"Trừ toàn bộ chuyên cần tháng do vi phạm lần 3",IF(COUNTIFS($AC$3:AC67,"Quên chấm công",$S$3:S67,S67)&gt;1,"Trừ 1/2 ngày lương",50000))))</f>
        <v/>
      </c>
      <c r="AH67" s="14" t="str">
        <f>IF(AF67=0,"",IF(COUNTIFS($AF$3:AF67,"&gt;0",$S$3:S67,S67)&gt;3,"Trừ toàn bộ chuyên cần tháng",""))</f>
        <v/>
      </c>
      <c r="AI67" s="14"/>
      <c r="AJ67" s="14"/>
    </row>
    <row r="68" spans="1:36" x14ac:dyDescent="0.25">
      <c r="A68" s="4" t="s">
        <v>177</v>
      </c>
      <c r="B68" s="1" t="s">
        <v>178</v>
      </c>
      <c r="C68" s="1" t="s">
        <v>19</v>
      </c>
      <c r="D68" s="1" t="s">
        <v>33</v>
      </c>
      <c r="E68" s="1" t="s">
        <v>21</v>
      </c>
      <c r="F68" s="1" t="s">
        <v>22</v>
      </c>
      <c r="G68" s="1" t="s">
        <v>10</v>
      </c>
      <c r="H68" s="12" t="s">
        <v>188</v>
      </c>
      <c r="I68" s="1" t="s">
        <v>189</v>
      </c>
      <c r="J68" s="1" t="s">
        <v>190</v>
      </c>
      <c r="K68" s="1" t="s">
        <v>191</v>
      </c>
      <c r="L68" s="1" t="s">
        <v>24</v>
      </c>
      <c r="M68" s="1" t="s">
        <v>25</v>
      </c>
      <c r="N68" s="1" t="s">
        <v>24</v>
      </c>
      <c r="O68" s="1" t="s">
        <v>164</v>
      </c>
      <c r="P68" s="1" t="s">
        <v>24</v>
      </c>
      <c r="Q68" s="1" t="s">
        <v>24</v>
      </c>
      <c r="R68" s="75" t="str">
        <f t="shared" si="9"/>
        <v>3745906</v>
      </c>
      <c r="S68" t="str">
        <f>VLOOKUP(A68,Data_NV!$A:$C,3,0)</f>
        <v>Trần Bảo Trâm</v>
      </c>
      <c r="T68" t="str">
        <f>VLOOKUP(A68,Data_NV!$A:$E,4,0)</f>
        <v>Kinh doanh</v>
      </c>
      <c r="U68" s="72">
        <f>DATEVALUE(Table2[[#This Row],[Ngày]])</f>
        <v>45906</v>
      </c>
      <c r="V68" t="str">
        <f>VLOOKUP(A68,Data_NV!$A:$E,5,0)</f>
        <v>Đang làm việc</v>
      </c>
      <c r="W68" s="11">
        <f>VLOOKUP(A68,Data_NV!$A:$I,8,0)</f>
        <v>0.33333333333333331</v>
      </c>
      <c r="X68" s="11">
        <f>VLOOKUP(A68,Data_NV!$A:$I,9,0)</f>
        <v>0.70833333333333337</v>
      </c>
      <c r="Y68" s="11">
        <f>IFERROR(TIMEVALUE(Table2[[#This Row],[Vào]]),0)</f>
        <v>0.33560185185185187</v>
      </c>
      <c r="Z68" s="11">
        <f>IFERROR(TIMEVALUE(Table2[[#This Row],[Ra]]),0)</f>
        <v>0.72981481481481481</v>
      </c>
      <c r="AA68" t="str">
        <f t="shared" si="12"/>
        <v>x</v>
      </c>
      <c r="AB68" s="14">
        <f t="shared" si="10"/>
        <v>3</v>
      </c>
      <c r="AC68" s="14" t="str">
        <f>IF(VLOOKUP(A68,Data_NV!$A:$I,7,0)="Không","",IF(OR(AND(Y68=0,Z68=0),AND(Y68&lt;&gt;0,Z68&lt;&gt;0)),"","Quên chấm công"))</f>
        <v/>
      </c>
      <c r="AD68" s="14">
        <f>IF(VLOOKUP(A68,Data_NV!$A:$I,7,0)="Không",0,IF(AND(Y68=0,Z68=0),0,IF(X68&lt;=Z68,0,ROUNDDOWN((X68-Z68)*24*60,0))))</f>
        <v>0</v>
      </c>
      <c r="AE68" s="14">
        <f>IF(VLOOKUP(A68,Data_NV!$A:$I,6,0)="Không",0,IF(Z68&lt;=X68,0,ROUNDDOWN((Z68-X68)*24*60,0)))</f>
        <v>30</v>
      </c>
      <c r="AF68" s="29">
        <f t="shared" si="11"/>
        <v>0</v>
      </c>
      <c r="AG68" s="30" t="str">
        <f>IF(AC68="","",IF(COUNTIFS($AC$3:AC68,"Quên chấm công",$S$3:S68,S68)&gt;3,"Không chấm công do vi phạm quá 3 lần",IF(COUNTIFS($AC$3:AC68,"Quên chấm công",$S$3:S68,S68)&gt;2,"Trừ toàn bộ chuyên cần tháng do vi phạm lần 3",IF(COUNTIFS($AC$3:AC68,"Quên chấm công",$S$3:S68,S68)&gt;1,"Trừ 1/2 ngày lương",50000))))</f>
        <v/>
      </c>
      <c r="AH68" s="14" t="str">
        <f>IF(AF68=0,"",IF(COUNTIFS($AF$3:AF68,"&gt;0",$S$3:S68,S68)&gt;3,"Trừ toàn bộ chuyên cần tháng",""))</f>
        <v/>
      </c>
      <c r="AI68" s="14"/>
      <c r="AJ68" s="14"/>
    </row>
    <row r="69" spans="1:36" x14ac:dyDescent="0.25">
      <c r="A69" s="4" t="s">
        <v>177</v>
      </c>
      <c r="B69" s="1" t="s">
        <v>178</v>
      </c>
      <c r="C69" s="1" t="s">
        <v>19</v>
      </c>
      <c r="D69" s="1" t="s">
        <v>35</v>
      </c>
      <c r="E69" s="1" t="s">
        <v>21</v>
      </c>
      <c r="F69" s="1" t="s">
        <v>22</v>
      </c>
      <c r="G69" s="1" t="s">
        <v>12</v>
      </c>
      <c r="H69" s="12" t="s">
        <v>23</v>
      </c>
      <c r="I69" s="1" t="s">
        <v>23</v>
      </c>
      <c r="J69" s="1" t="s">
        <v>24</v>
      </c>
      <c r="K69" s="1" t="s">
        <v>24</v>
      </c>
      <c r="L69" s="1" t="s">
        <v>25</v>
      </c>
      <c r="M69" s="1" t="s">
        <v>24</v>
      </c>
      <c r="N69" s="1" t="s">
        <v>24</v>
      </c>
      <c r="O69" s="1" t="s">
        <v>24</v>
      </c>
      <c r="P69" s="1" t="s">
        <v>24</v>
      </c>
      <c r="Q69" s="1" t="s">
        <v>24</v>
      </c>
      <c r="R69" s="75" t="str">
        <f t="shared" si="9"/>
        <v>3745907</v>
      </c>
      <c r="S69" t="str">
        <f>VLOOKUP(A69,Data_NV!$A:$C,3,0)</f>
        <v>Trần Bảo Trâm</v>
      </c>
      <c r="T69" t="str">
        <f>VLOOKUP(A69,Data_NV!$A:$E,4,0)</f>
        <v>Kinh doanh</v>
      </c>
      <c r="U69" s="72">
        <f>DATEVALUE(Table2[[#This Row],[Ngày]])</f>
        <v>45907</v>
      </c>
      <c r="V69" t="str">
        <f>VLOOKUP(A69,Data_NV!$A:$E,5,0)</f>
        <v>Đang làm việc</v>
      </c>
      <c r="W69" s="11">
        <f>VLOOKUP(A69,Data_NV!$A:$I,8,0)</f>
        <v>0.33333333333333331</v>
      </c>
      <c r="X69" s="11">
        <f>VLOOKUP(A69,Data_NV!$A:$I,9,0)</f>
        <v>0.70833333333333337</v>
      </c>
      <c r="Y69" s="11">
        <f>IFERROR(TIMEVALUE(Table2[[#This Row],[Vào]]),0)</f>
        <v>0</v>
      </c>
      <c r="Z69" s="11">
        <f>IFERROR(TIMEVALUE(Table2[[#This Row],[Ra]]),0)</f>
        <v>0</v>
      </c>
      <c r="AA69" t="str">
        <f t="shared" si="12"/>
        <v/>
      </c>
      <c r="AB69" s="14">
        <f t="shared" si="10"/>
        <v>0</v>
      </c>
      <c r="AC69" s="14" t="str">
        <f>IF(VLOOKUP(A69,Data_NV!$A:$I,7,0)="Không","",IF(OR(AND(Y69=0,Z69=0),AND(Y69&lt;&gt;0,Z69&lt;&gt;0)),"","Quên chấm công"))</f>
        <v/>
      </c>
      <c r="AD69" s="14">
        <f>IF(VLOOKUP(A69,Data_NV!$A:$I,7,0)="Không",0,IF(AND(Y69=0,Z69=0),0,IF(X69&lt;=Z69,0,ROUNDDOWN((X69-Z69)*24*60,0))))</f>
        <v>0</v>
      </c>
      <c r="AE69" s="14">
        <f>IF(VLOOKUP(A69,Data_NV!$A:$I,6,0)="Không",0,IF(Z69&lt;=X69,0,ROUNDDOWN((Z69-X69)*24*60,0)))</f>
        <v>0</v>
      </c>
      <c r="AF69" s="29">
        <f t="shared" si="11"/>
        <v>0</v>
      </c>
      <c r="AG69" s="30" t="str">
        <f>IF(AC69="","",IF(COUNTIFS($AC$3:AC69,"Quên chấm công",$S$3:S69,S69)&gt;3,"Không chấm công do vi phạm quá 3 lần",IF(COUNTIFS($AC$3:AC69,"Quên chấm công",$S$3:S69,S69)&gt;2,"Trừ toàn bộ chuyên cần tháng do vi phạm lần 3",IF(COUNTIFS($AC$3:AC69,"Quên chấm công",$S$3:S69,S69)&gt;1,"Trừ 1/2 ngày lương",50000))))</f>
        <v/>
      </c>
      <c r="AH69" s="14" t="str">
        <f>IF(AF69=0,"",IF(COUNTIFS($AF$3:AF69,"&gt;0",$S$3:S69,S69)&gt;3,"Trừ toàn bộ chuyên cần tháng",""))</f>
        <v/>
      </c>
      <c r="AI69" s="14"/>
      <c r="AJ69" s="14"/>
    </row>
    <row r="70" spans="1:36" x14ac:dyDescent="0.25">
      <c r="A70" s="4" t="s">
        <v>177</v>
      </c>
      <c r="B70" s="1" t="s">
        <v>178</v>
      </c>
      <c r="C70" s="1" t="s">
        <v>19</v>
      </c>
      <c r="D70" s="1" t="s">
        <v>36</v>
      </c>
      <c r="E70" s="1" t="s">
        <v>21</v>
      </c>
      <c r="F70" s="1" t="s">
        <v>22</v>
      </c>
      <c r="G70" s="1" t="s">
        <v>12</v>
      </c>
      <c r="H70" s="12" t="s">
        <v>23</v>
      </c>
      <c r="I70" s="1" t="s">
        <v>192</v>
      </c>
      <c r="J70" s="1" t="s">
        <v>24</v>
      </c>
      <c r="K70" s="1" t="s">
        <v>24</v>
      </c>
      <c r="L70" s="1" t="s">
        <v>25</v>
      </c>
      <c r="M70" s="1" t="s">
        <v>24</v>
      </c>
      <c r="N70" s="1" t="s">
        <v>24</v>
      </c>
      <c r="O70" s="1" t="s">
        <v>24</v>
      </c>
      <c r="P70" s="1" t="s">
        <v>24</v>
      </c>
      <c r="Q70" s="1" t="s">
        <v>24</v>
      </c>
      <c r="R70" s="75" t="str">
        <f t="shared" si="9"/>
        <v>3745908</v>
      </c>
      <c r="S70" t="str">
        <f>VLOOKUP(A70,Data_NV!$A:$C,3,0)</f>
        <v>Trần Bảo Trâm</v>
      </c>
      <c r="T70" t="str">
        <f>VLOOKUP(A70,Data_NV!$A:$E,4,0)</f>
        <v>Kinh doanh</v>
      </c>
      <c r="U70" s="72">
        <f>DATEVALUE(Table2[[#This Row],[Ngày]])</f>
        <v>45908</v>
      </c>
      <c r="V70" t="str">
        <f>VLOOKUP(A70,Data_NV!$A:$E,5,0)</f>
        <v>Đang làm việc</v>
      </c>
      <c r="W70" s="11">
        <f>VLOOKUP(A70,Data_NV!$A:$I,8,0)</f>
        <v>0.33333333333333331</v>
      </c>
      <c r="X70" s="11">
        <f>VLOOKUP(A70,Data_NV!$A:$I,9,0)</f>
        <v>0.70833333333333337</v>
      </c>
      <c r="Y70" s="11">
        <f>IFERROR(TIMEVALUE(Table2[[#This Row],[Vào]]),0)</f>
        <v>0</v>
      </c>
      <c r="Z70" s="11">
        <f>IFERROR(TIMEVALUE(Table2[[#This Row],[Ra]]),0)</f>
        <v>0.78909722222222223</v>
      </c>
      <c r="AA70" t="str">
        <f t="shared" si="12"/>
        <v>x</v>
      </c>
      <c r="AB70" s="14">
        <f t="shared" si="10"/>
        <v>0</v>
      </c>
      <c r="AC70" s="14" t="str">
        <f>IF(VLOOKUP(A70,Data_NV!$A:$I,7,0)="Không","",IF(OR(AND(Y70=0,Z70=0),AND(Y70&lt;&gt;0,Z70&lt;&gt;0)),"","Quên chấm công"))</f>
        <v>Quên chấm công</v>
      </c>
      <c r="AD70" s="14">
        <f>IF(VLOOKUP(A70,Data_NV!$A:$I,7,0)="Không",0,IF(AND(Y70=0,Z70=0),0,IF(X70&lt;=Z70,0,ROUNDDOWN((X70-Z70)*24*60,0))))</f>
        <v>0</v>
      </c>
      <c r="AE70" s="14">
        <f>IF(VLOOKUP(A70,Data_NV!$A:$I,6,0)="Không",0,IF(Z70&lt;=X70,0,ROUNDDOWN((Z70-X70)*24*60,0)))</f>
        <v>116</v>
      </c>
      <c r="AF70" s="29">
        <f t="shared" si="11"/>
        <v>0</v>
      </c>
      <c r="AG70" s="30">
        <f>IF(AC70="","",IF(COUNTIFS($AC$3:AC70,"Quên chấm công",$S$3:S70,S70)&gt;3,"Không chấm công do vi phạm quá 3 lần",IF(COUNTIFS($AC$3:AC70,"Quên chấm công",$S$3:S70,S70)&gt;2,"Trừ toàn bộ chuyên cần tháng do vi phạm lần 3",IF(COUNTIFS($AC$3:AC70,"Quên chấm công",$S$3:S70,S70)&gt;1,"Trừ 1/2 ngày lương",50000))))</f>
        <v>50000</v>
      </c>
      <c r="AH70" s="14" t="str">
        <f>IF(AF70=0,"",IF(COUNTIFS($AF$3:AF70,"&gt;0",$S$3:S70,S70)&gt;3,"Trừ toàn bộ chuyên cần tháng",""))</f>
        <v/>
      </c>
      <c r="AI70" s="14"/>
      <c r="AJ70" s="14"/>
    </row>
    <row r="71" spans="1:36" x14ac:dyDescent="0.25">
      <c r="A71" s="4" t="s">
        <v>177</v>
      </c>
      <c r="B71" s="1" t="s">
        <v>178</v>
      </c>
      <c r="C71" s="1" t="s">
        <v>19</v>
      </c>
      <c r="D71" s="1" t="s">
        <v>37</v>
      </c>
      <c r="E71" s="1" t="s">
        <v>21</v>
      </c>
      <c r="F71" s="1" t="s">
        <v>22</v>
      </c>
      <c r="G71" s="1" t="s">
        <v>10</v>
      </c>
      <c r="H71" s="12" t="s">
        <v>193</v>
      </c>
      <c r="I71" s="1" t="s">
        <v>194</v>
      </c>
      <c r="J71" s="1" t="s">
        <v>190</v>
      </c>
      <c r="K71" s="1" t="s">
        <v>195</v>
      </c>
      <c r="L71" s="1" t="s">
        <v>24</v>
      </c>
      <c r="M71" s="1" t="s">
        <v>25</v>
      </c>
      <c r="N71" s="1" t="s">
        <v>24</v>
      </c>
      <c r="O71" s="1" t="s">
        <v>111</v>
      </c>
      <c r="P71" s="1" t="s">
        <v>24</v>
      </c>
      <c r="Q71" s="1" t="s">
        <v>24</v>
      </c>
      <c r="R71" s="75" t="str">
        <f t="shared" si="9"/>
        <v>3745909</v>
      </c>
      <c r="S71" t="str">
        <f>VLOOKUP(A71,Data_NV!$A:$C,3,0)</f>
        <v>Trần Bảo Trâm</v>
      </c>
      <c r="T71" t="str">
        <f>VLOOKUP(A71,Data_NV!$A:$E,4,0)</f>
        <v>Kinh doanh</v>
      </c>
      <c r="U71" s="72">
        <f>DATEVALUE(Table2[[#This Row],[Ngày]])</f>
        <v>45909</v>
      </c>
      <c r="V71" t="str">
        <f>VLOOKUP(A71,Data_NV!$A:$E,5,0)</f>
        <v>Đang làm việc</v>
      </c>
      <c r="W71" s="11">
        <f>VLOOKUP(A71,Data_NV!$A:$I,8,0)</f>
        <v>0.33333333333333331</v>
      </c>
      <c r="X71" s="11">
        <f>VLOOKUP(A71,Data_NV!$A:$I,9,0)</f>
        <v>0.70833333333333337</v>
      </c>
      <c r="Y71" s="11">
        <f>IFERROR(TIMEVALUE(Table2[[#This Row],[Vào]]),0)</f>
        <v>0.33569444444444446</v>
      </c>
      <c r="Z71" s="11">
        <f>IFERROR(TIMEVALUE(Table2[[#This Row],[Ra]]),0)</f>
        <v>0.74746527777777783</v>
      </c>
      <c r="AA71" t="str">
        <f t="shared" si="12"/>
        <v>x</v>
      </c>
      <c r="AB71" s="14">
        <f t="shared" si="10"/>
        <v>3</v>
      </c>
      <c r="AC71" s="14" t="str">
        <f>IF(VLOOKUP(A71,Data_NV!$A:$I,7,0)="Không","",IF(OR(AND(Y71=0,Z71=0),AND(Y71&lt;&gt;0,Z71&lt;&gt;0)),"","Quên chấm công"))</f>
        <v/>
      </c>
      <c r="AD71" s="14">
        <f>IF(VLOOKUP(A71,Data_NV!$A:$I,7,0)="Không",0,IF(AND(Y71=0,Z71=0),0,IF(X71&lt;=Z71,0,ROUNDDOWN((X71-Z71)*24*60,0))))</f>
        <v>0</v>
      </c>
      <c r="AE71" s="14">
        <f>IF(VLOOKUP(A71,Data_NV!$A:$I,6,0)="Không",0,IF(Z71&lt;=X71,0,ROUNDDOWN((Z71-X71)*24*60,0)))</f>
        <v>56</v>
      </c>
      <c r="AF71" s="29">
        <f t="shared" si="11"/>
        <v>0</v>
      </c>
      <c r="AG71" s="30" t="str">
        <f>IF(AC71="","",IF(COUNTIFS($AC$3:AC71,"Quên chấm công",$S$3:S71,S71)&gt;3,"Không chấm công do vi phạm quá 3 lần",IF(COUNTIFS($AC$3:AC71,"Quên chấm công",$S$3:S71,S71)&gt;2,"Trừ toàn bộ chuyên cần tháng do vi phạm lần 3",IF(COUNTIFS($AC$3:AC71,"Quên chấm công",$S$3:S71,S71)&gt;1,"Trừ 1/2 ngày lương",50000))))</f>
        <v/>
      </c>
      <c r="AH71" s="14" t="str">
        <f>IF(AF71=0,"",IF(COUNTIFS($AF$3:AF71,"&gt;0",$S$3:S71,S71)&gt;3,"Trừ toàn bộ chuyên cần tháng",""))</f>
        <v/>
      </c>
      <c r="AI71" s="14"/>
      <c r="AJ71" s="14"/>
    </row>
    <row r="72" spans="1:36" x14ac:dyDescent="0.25">
      <c r="A72" s="4" t="s">
        <v>177</v>
      </c>
      <c r="B72" s="1" t="s">
        <v>178</v>
      </c>
      <c r="C72" s="1" t="s">
        <v>19</v>
      </c>
      <c r="D72" s="1" t="s">
        <v>38</v>
      </c>
      <c r="E72" s="1" t="s">
        <v>21</v>
      </c>
      <c r="F72" s="1" t="s">
        <v>22</v>
      </c>
      <c r="G72" s="1" t="s">
        <v>10</v>
      </c>
      <c r="H72" s="12" t="s">
        <v>196</v>
      </c>
      <c r="I72" s="1" t="s">
        <v>197</v>
      </c>
      <c r="J72" s="1" t="s">
        <v>198</v>
      </c>
      <c r="K72" s="1" t="s">
        <v>147</v>
      </c>
      <c r="L72" s="1" t="s">
        <v>24</v>
      </c>
      <c r="M72" s="1" t="s">
        <v>25</v>
      </c>
      <c r="N72" s="1" t="s">
        <v>24</v>
      </c>
      <c r="O72" s="1" t="s">
        <v>199</v>
      </c>
      <c r="P72" s="1" t="s">
        <v>24</v>
      </c>
      <c r="Q72" s="1" t="s">
        <v>24</v>
      </c>
      <c r="R72" s="75" t="str">
        <f t="shared" si="9"/>
        <v>3745910</v>
      </c>
      <c r="S72" t="str">
        <f>VLOOKUP(A72,Data_NV!$A:$C,3,0)</f>
        <v>Trần Bảo Trâm</v>
      </c>
      <c r="T72" t="str">
        <f>VLOOKUP(A72,Data_NV!$A:$E,4,0)</f>
        <v>Kinh doanh</v>
      </c>
      <c r="U72" s="72">
        <f>DATEVALUE(Table2[[#This Row],[Ngày]])</f>
        <v>45910</v>
      </c>
      <c r="V72" t="str">
        <f>VLOOKUP(A72,Data_NV!$A:$E,5,0)</f>
        <v>Đang làm việc</v>
      </c>
      <c r="W72" s="11">
        <f>VLOOKUP(A72,Data_NV!$A:$I,8,0)</f>
        <v>0.33333333333333331</v>
      </c>
      <c r="X72" s="11">
        <f>VLOOKUP(A72,Data_NV!$A:$I,9,0)</f>
        <v>0.70833333333333337</v>
      </c>
      <c r="Y72" s="11">
        <f>IFERROR(TIMEVALUE(Table2[[#This Row],[Vào]]),0)</f>
        <v>0.33909722222222222</v>
      </c>
      <c r="Z72" s="11">
        <f>IFERROR(TIMEVALUE(Table2[[#This Row],[Ra]]),0)</f>
        <v>0.74089120370370365</v>
      </c>
      <c r="AA72" t="str">
        <f t="shared" si="12"/>
        <v>x</v>
      </c>
      <c r="AB72" s="14">
        <f t="shared" si="10"/>
        <v>8</v>
      </c>
      <c r="AC72" s="14" t="str">
        <f>IF(VLOOKUP(A72,Data_NV!$A:$I,7,0)="Không","",IF(OR(AND(Y72=0,Z72=0),AND(Y72&lt;&gt;0,Z72&lt;&gt;0)),"","Quên chấm công"))</f>
        <v/>
      </c>
      <c r="AD72" s="14">
        <f>IF(VLOOKUP(A72,Data_NV!$A:$I,7,0)="Không",0,IF(AND(Y72=0,Z72=0),0,IF(X72&lt;=Z72,0,ROUNDDOWN((X72-Z72)*24*60,0))))</f>
        <v>0</v>
      </c>
      <c r="AE72" s="14">
        <f>IF(VLOOKUP(A72,Data_NV!$A:$I,6,0)="Không",0,IF(Z72&lt;=X72,0,ROUNDDOWN((Z72-X72)*24*60,0)))</f>
        <v>46</v>
      </c>
      <c r="AF72" s="29">
        <f t="shared" si="11"/>
        <v>30000</v>
      </c>
      <c r="AG72" s="30" t="str">
        <f>IF(AC72="","",IF(COUNTIFS($AC$3:AC72,"Quên chấm công",$S$3:S72,S72)&gt;3,"Không chấm công do vi phạm quá 3 lần",IF(COUNTIFS($AC$3:AC72,"Quên chấm công",$S$3:S72,S72)&gt;2,"Trừ toàn bộ chuyên cần tháng do vi phạm lần 3",IF(COUNTIFS($AC$3:AC72,"Quên chấm công",$S$3:S72,S72)&gt;1,"Trừ 1/2 ngày lương",50000))))</f>
        <v/>
      </c>
      <c r="AH72" s="14" t="str">
        <f>IF(AF72=0,"",IF(COUNTIFS($AF$3:AF72,"&gt;0",$S$3:S72,S72)&gt;3,"Trừ toàn bộ chuyên cần tháng",""))</f>
        <v/>
      </c>
      <c r="AI72" s="14"/>
      <c r="AJ72" s="14"/>
    </row>
    <row r="73" spans="1:36" x14ac:dyDescent="0.25">
      <c r="A73" s="4" t="s">
        <v>177</v>
      </c>
      <c r="B73" s="1" t="s">
        <v>178</v>
      </c>
      <c r="C73" s="1" t="s">
        <v>19</v>
      </c>
      <c r="D73" s="1" t="s">
        <v>39</v>
      </c>
      <c r="E73" s="1" t="s">
        <v>21</v>
      </c>
      <c r="F73" s="1" t="s">
        <v>22</v>
      </c>
      <c r="G73" s="1" t="s">
        <v>10</v>
      </c>
      <c r="H73" s="12" t="s">
        <v>200</v>
      </c>
      <c r="I73" s="1" t="s">
        <v>201</v>
      </c>
      <c r="J73" s="1" t="s">
        <v>190</v>
      </c>
      <c r="K73" s="1" t="s">
        <v>202</v>
      </c>
      <c r="L73" s="1" t="s">
        <v>24</v>
      </c>
      <c r="M73" s="1" t="s">
        <v>25</v>
      </c>
      <c r="N73" s="1" t="s">
        <v>24</v>
      </c>
      <c r="O73" s="1" t="s">
        <v>30</v>
      </c>
      <c r="P73" s="1" t="s">
        <v>182</v>
      </c>
      <c r="Q73" s="1" t="s">
        <v>24</v>
      </c>
      <c r="R73" s="75" t="str">
        <f t="shared" si="9"/>
        <v>3745911</v>
      </c>
      <c r="S73" t="str">
        <f>VLOOKUP(A73,Data_NV!$A:$C,3,0)</f>
        <v>Trần Bảo Trâm</v>
      </c>
      <c r="T73" t="str">
        <f>VLOOKUP(A73,Data_NV!$A:$E,4,0)</f>
        <v>Kinh doanh</v>
      </c>
      <c r="U73" s="72">
        <f>DATEVALUE(Table2[[#This Row],[Ngày]])</f>
        <v>45911</v>
      </c>
      <c r="V73" t="str">
        <f>VLOOKUP(A73,Data_NV!$A:$E,5,0)</f>
        <v>Đang làm việc</v>
      </c>
      <c r="W73" s="11">
        <f>VLOOKUP(A73,Data_NV!$A:$I,8,0)</f>
        <v>0.33333333333333331</v>
      </c>
      <c r="X73" s="11">
        <f>VLOOKUP(A73,Data_NV!$A:$I,9,0)</f>
        <v>0.70833333333333337</v>
      </c>
      <c r="Y73" s="11">
        <f>IFERROR(TIMEVALUE(Table2[[#This Row],[Vào]]),0)</f>
        <v>0.33574074074074073</v>
      </c>
      <c r="Z73" s="11">
        <f>IFERROR(TIMEVALUE(Table2[[#This Row],[Ra]]),0)</f>
        <v>0.80944444444444441</v>
      </c>
      <c r="AA73" t="str">
        <f t="shared" si="12"/>
        <v>x</v>
      </c>
      <c r="AB73" s="14">
        <f t="shared" si="10"/>
        <v>3</v>
      </c>
      <c r="AC73" s="14" t="str">
        <f>IF(VLOOKUP(A73,Data_NV!$A:$I,7,0)="Không","",IF(OR(AND(Y73=0,Z73=0),AND(Y73&lt;&gt;0,Z73&lt;&gt;0)),"","Quên chấm công"))</f>
        <v/>
      </c>
      <c r="AD73" s="14">
        <f>IF(VLOOKUP(A73,Data_NV!$A:$I,7,0)="Không",0,IF(AND(Y73=0,Z73=0),0,IF(X73&lt;=Z73,0,ROUNDDOWN((X73-Z73)*24*60,0))))</f>
        <v>0</v>
      </c>
      <c r="AE73" s="14">
        <f>IF(VLOOKUP(A73,Data_NV!$A:$I,6,0)="Không",0,IF(Z73&lt;=X73,0,ROUNDDOWN((Z73-X73)*24*60,0)))</f>
        <v>145</v>
      </c>
      <c r="AF73" s="29">
        <f t="shared" si="11"/>
        <v>0</v>
      </c>
      <c r="AG73" s="30" t="str">
        <f>IF(AC73="","",IF(COUNTIFS($AC$3:AC73,"Quên chấm công",$S$3:S73,S73)&gt;3,"Không chấm công do vi phạm quá 3 lần",IF(COUNTIFS($AC$3:AC73,"Quên chấm công",$S$3:S73,S73)&gt;2,"Trừ toàn bộ chuyên cần tháng do vi phạm lần 3",IF(COUNTIFS($AC$3:AC73,"Quên chấm công",$S$3:S73,S73)&gt;1,"Trừ 1/2 ngày lương",50000))))</f>
        <v/>
      </c>
      <c r="AH73" s="14" t="str">
        <f>IF(AF73=0,"",IF(COUNTIFS($AF$3:AF73,"&gt;0",$S$3:S73,S73)&gt;3,"Trừ toàn bộ chuyên cần tháng",""))</f>
        <v/>
      </c>
      <c r="AI73" s="14"/>
      <c r="AJ73" s="14"/>
    </row>
    <row r="74" spans="1:36" x14ac:dyDescent="0.25">
      <c r="A74" s="4" t="s">
        <v>177</v>
      </c>
      <c r="B74" s="1" t="s">
        <v>178</v>
      </c>
      <c r="C74" s="1" t="s">
        <v>19</v>
      </c>
      <c r="D74" s="1" t="s">
        <v>40</v>
      </c>
      <c r="E74" s="1" t="s">
        <v>21</v>
      </c>
      <c r="F74" s="1" t="s">
        <v>22</v>
      </c>
      <c r="G74" s="1" t="s">
        <v>28</v>
      </c>
      <c r="H74" s="12" t="s">
        <v>203</v>
      </c>
      <c r="I74" s="1" t="s">
        <v>204</v>
      </c>
      <c r="J74" s="1" t="s">
        <v>24</v>
      </c>
      <c r="K74" s="1" t="s">
        <v>205</v>
      </c>
      <c r="L74" s="1" t="s">
        <v>24</v>
      </c>
      <c r="M74" s="1" t="s">
        <v>25</v>
      </c>
      <c r="N74" s="1" t="s">
        <v>24</v>
      </c>
      <c r="O74" s="1" t="s">
        <v>206</v>
      </c>
      <c r="P74" s="1" t="s">
        <v>24</v>
      </c>
      <c r="Q74" s="1" t="s">
        <v>24</v>
      </c>
      <c r="R74" s="75" t="str">
        <f t="shared" si="9"/>
        <v>3745912</v>
      </c>
      <c r="S74" t="str">
        <f>VLOOKUP(A74,Data_NV!$A:$C,3,0)</f>
        <v>Trần Bảo Trâm</v>
      </c>
      <c r="T74" t="str">
        <f>VLOOKUP(A74,Data_NV!$A:$E,4,0)</f>
        <v>Kinh doanh</v>
      </c>
      <c r="U74" s="72">
        <f>DATEVALUE(Table2[[#This Row],[Ngày]])</f>
        <v>45912</v>
      </c>
      <c r="V74" t="str">
        <f>VLOOKUP(A74,Data_NV!$A:$E,5,0)</f>
        <v>Đang làm việc</v>
      </c>
      <c r="W74" s="11">
        <f>VLOOKUP(A74,Data_NV!$A:$I,8,0)</f>
        <v>0.33333333333333331</v>
      </c>
      <c r="X74" s="11">
        <f>VLOOKUP(A74,Data_NV!$A:$I,9,0)</f>
        <v>0.70833333333333337</v>
      </c>
      <c r="Y74" s="11">
        <f>IFERROR(TIMEVALUE(Table2[[#This Row],[Vào]]),0)</f>
        <v>0.28556712962962966</v>
      </c>
      <c r="Z74" s="11">
        <f>IFERROR(TIMEVALUE(Table2[[#This Row],[Ra]]),0)</f>
        <v>0.75284722222222222</v>
      </c>
      <c r="AA74" t="str">
        <f t="shared" si="12"/>
        <v>x</v>
      </c>
      <c r="AB74" s="14">
        <f t="shared" si="10"/>
        <v>0</v>
      </c>
      <c r="AC74" s="14" t="str">
        <f>IF(VLOOKUP(A74,Data_NV!$A:$I,7,0)="Không","",IF(OR(AND(Y74=0,Z74=0),AND(Y74&lt;&gt;0,Z74&lt;&gt;0)),"","Quên chấm công"))</f>
        <v/>
      </c>
      <c r="AD74" s="14">
        <f>IF(VLOOKUP(A74,Data_NV!$A:$I,7,0)="Không",0,IF(AND(Y74=0,Z74=0),0,IF(X74&lt;=Z74,0,ROUNDDOWN((X74-Z74)*24*60,0))))</f>
        <v>0</v>
      </c>
      <c r="AE74" s="14">
        <f>IF(VLOOKUP(A74,Data_NV!$A:$I,6,0)="Không",0,IF(Z74&lt;=X74,0,ROUNDDOWN((Z74-X74)*24*60,0)))</f>
        <v>64</v>
      </c>
      <c r="AF74" s="29">
        <f t="shared" si="11"/>
        <v>0</v>
      </c>
      <c r="AG74" s="30" t="str">
        <f>IF(AC74="","",IF(COUNTIFS($AC$3:AC74,"Quên chấm công",$S$3:S74,S74)&gt;3,"Không chấm công do vi phạm quá 3 lần",IF(COUNTIFS($AC$3:AC74,"Quên chấm công",$S$3:S74,S74)&gt;2,"Trừ toàn bộ chuyên cần tháng do vi phạm lần 3",IF(COUNTIFS($AC$3:AC74,"Quên chấm công",$S$3:S74,S74)&gt;1,"Trừ 1/2 ngày lương",50000))))</f>
        <v/>
      </c>
      <c r="AH74" s="14" t="str">
        <f>IF(AF74=0,"",IF(COUNTIFS($AF$3:AF74,"&gt;0",$S$3:S74,S74)&gt;3,"Trừ toàn bộ chuyên cần tháng",""))</f>
        <v/>
      </c>
      <c r="AI74" s="14"/>
      <c r="AJ74" s="14"/>
    </row>
    <row r="75" spans="1:36" x14ac:dyDescent="0.25">
      <c r="A75" s="4" t="s">
        <v>177</v>
      </c>
      <c r="B75" s="1" t="s">
        <v>178</v>
      </c>
      <c r="C75" s="1" t="s">
        <v>19</v>
      </c>
      <c r="D75" s="1" t="s">
        <v>41</v>
      </c>
      <c r="E75" s="1" t="s">
        <v>21</v>
      </c>
      <c r="F75" s="1" t="s">
        <v>22</v>
      </c>
      <c r="G75" s="1" t="s">
        <v>10</v>
      </c>
      <c r="H75" s="12" t="s">
        <v>207</v>
      </c>
      <c r="I75" s="1" t="s">
        <v>208</v>
      </c>
      <c r="J75" s="1" t="s">
        <v>24</v>
      </c>
      <c r="K75" s="1" t="s">
        <v>209</v>
      </c>
      <c r="L75" s="1" t="s">
        <v>24</v>
      </c>
      <c r="M75" s="1" t="s">
        <v>25</v>
      </c>
      <c r="N75" s="1" t="s">
        <v>24</v>
      </c>
      <c r="O75" s="1" t="s">
        <v>98</v>
      </c>
      <c r="P75" s="1" t="s">
        <v>24</v>
      </c>
      <c r="Q75" s="1" t="s">
        <v>24</v>
      </c>
      <c r="R75" s="75" t="str">
        <f t="shared" si="9"/>
        <v>3745913</v>
      </c>
      <c r="S75" t="str">
        <f>VLOOKUP(A75,Data_NV!$A:$C,3,0)</f>
        <v>Trần Bảo Trâm</v>
      </c>
      <c r="T75" t="str">
        <f>VLOOKUP(A75,Data_NV!$A:$E,4,0)</f>
        <v>Kinh doanh</v>
      </c>
      <c r="U75" s="72">
        <f>DATEVALUE(Table2[[#This Row],[Ngày]])</f>
        <v>45913</v>
      </c>
      <c r="V75" t="str">
        <f>VLOOKUP(A75,Data_NV!$A:$E,5,0)</f>
        <v>Đang làm việc</v>
      </c>
      <c r="W75" s="11">
        <f>VLOOKUP(A75,Data_NV!$A:$I,8,0)</f>
        <v>0.33333333333333331</v>
      </c>
      <c r="X75" s="11">
        <f>VLOOKUP(A75,Data_NV!$A:$I,9,0)</f>
        <v>0.70833333333333337</v>
      </c>
      <c r="Y75" s="11">
        <f>IFERROR(TIMEVALUE(Table2[[#This Row],[Vào]]),0)</f>
        <v>0.33356481481481481</v>
      </c>
      <c r="Z75" s="11">
        <f>IFERROR(TIMEVALUE(Table2[[#This Row],[Ra]]),0)</f>
        <v>0.71091435185185181</v>
      </c>
      <c r="AA75" t="str">
        <f t="shared" si="12"/>
        <v>x</v>
      </c>
      <c r="AB75" s="14">
        <f t="shared" si="10"/>
        <v>0</v>
      </c>
      <c r="AC75" s="14" t="str">
        <f>IF(VLOOKUP(A75,Data_NV!$A:$I,7,0)="Không","",IF(OR(AND(Y75=0,Z75=0),AND(Y75&lt;&gt;0,Z75&lt;&gt;0)),"","Quên chấm công"))</f>
        <v/>
      </c>
      <c r="AD75" s="14">
        <f>IF(VLOOKUP(A75,Data_NV!$A:$I,7,0)="Không",0,IF(AND(Y75=0,Z75=0),0,IF(X75&lt;=Z75,0,ROUNDDOWN((X75-Z75)*24*60,0))))</f>
        <v>0</v>
      </c>
      <c r="AE75" s="14">
        <f>IF(VLOOKUP(A75,Data_NV!$A:$I,6,0)="Không",0,IF(Z75&lt;=X75,0,ROUNDDOWN((Z75-X75)*24*60,0)))</f>
        <v>3</v>
      </c>
      <c r="AF75" s="29">
        <f t="shared" si="11"/>
        <v>0</v>
      </c>
      <c r="AG75" s="30" t="str">
        <f>IF(AC75="","",IF(COUNTIFS($AC$3:AC75,"Quên chấm công",$S$3:S75,S75)&gt;3,"Không chấm công do vi phạm quá 3 lần",IF(COUNTIFS($AC$3:AC75,"Quên chấm công",$S$3:S75,S75)&gt;2,"Trừ toàn bộ chuyên cần tháng do vi phạm lần 3",IF(COUNTIFS($AC$3:AC75,"Quên chấm công",$S$3:S75,S75)&gt;1,"Trừ 1/2 ngày lương",50000))))</f>
        <v/>
      </c>
      <c r="AH75" s="14" t="str">
        <f>IF(AF75=0,"",IF(COUNTIFS($AF$3:AF75,"&gt;0",$S$3:S75,S75)&gt;3,"Trừ toàn bộ chuyên cần tháng",""))</f>
        <v/>
      </c>
      <c r="AI75" s="14"/>
      <c r="AJ75" s="14"/>
    </row>
    <row r="76" spans="1:36" x14ac:dyDescent="0.25">
      <c r="A76" s="4" t="s">
        <v>177</v>
      </c>
      <c r="B76" s="1" t="s">
        <v>178</v>
      </c>
      <c r="C76" s="1" t="s">
        <v>19</v>
      </c>
      <c r="D76" s="1" t="s">
        <v>42</v>
      </c>
      <c r="E76" s="1" t="s">
        <v>21</v>
      </c>
      <c r="F76" s="1" t="s">
        <v>22</v>
      </c>
      <c r="G76" s="1" t="s">
        <v>12</v>
      </c>
      <c r="H76" s="12" t="s">
        <v>23</v>
      </c>
      <c r="I76" s="1" t="s">
        <v>23</v>
      </c>
      <c r="J76" s="1" t="s">
        <v>24</v>
      </c>
      <c r="K76" s="1" t="s">
        <v>24</v>
      </c>
      <c r="L76" s="1" t="s">
        <v>25</v>
      </c>
      <c r="M76" s="1" t="s">
        <v>24</v>
      </c>
      <c r="N76" s="1" t="s">
        <v>24</v>
      </c>
      <c r="O76" s="1" t="s">
        <v>24</v>
      </c>
      <c r="P76" s="1" t="s">
        <v>24</v>
      </c>
      <c r="Q76" s="1" t="s">
        <v>24</v>
      </c>
      <c r="R76" s="75" t="str">
        <f t="shared" si="9"/>
        <v>3745914</v>
      </c>
      <c r="S76" t="str">
        <f>VLOOKUP(A76,Data_NV!$A:$C,3,0)</f>
        <v>Trần Bảo Trâm</v>
      </c>
      <c r="T76" t="str">
        <f>VLOOKUP(A76,Data_NV!$A:$E,4,0)</f>
        <v>Kinh doanh</v>
      </c>
      <c r="U76" s="72">
        <f>DATEVALUE(Table2[[#This Row],[Ngày]])</f>
        <v>45914</v>
      </c>
      <c r="V76" t="str">
        <f>VLOOKUP(A76,Data_NV!$A:$E,5,0)</f>
        <v>Đang làm việc</v>
      </c>
      <c r="W76" s="11">
        <f>VLOOKUP(A76,Data_NV!$A:$I,8,0)</f>
        <v>0.33333333333333331</v>
      </c>
      <c r="X76" s="11">
        <f>VLOOKUP(A76,Data_NV!$A:$I,9,0)</f>
        <v>0.70833333333333337</v>
      </c>
      <c r="Y76" s="11">
        <f>IFERROR(TIMEVALUE(Table2[[#This Row],[Vào]]),0)</f>
        <v>0</v>
      </c>
      <c r="Z76" s="11">
        <f>IFERROR(TIMEVALUE(Table2[[#This Row],[Ra]]),0)</f>
        <v>0</v>
      </c>
      <c r="AA76" t="str">
        <f t="shared" si="12"/>
        <v/>
      </c>
      <c r="AB76" s="14">
        <f t="shared" si="10"/>
        <v>0</v>
      </c>
      <c r="AC76" s="14" t="str">
        <f>IF(VLOOKUP(A76,Data_NV!$A:$I,7,0)="Không","",IF(OR(AND(Y76=0,Z76=0),AND(Y76&lt;&gt;0,Z76&lt;&gt;0)),"","Quên chấm công"))</f>
        <v/>
      </c>
      <c r="AD76" s="14">
        <f>IF(VLOOKUP(A76,Data_NV!$A:$I,7,0)="Không",0,IF(AND(Y76=0,Z76=0),0,IF(X76&lt;=Z76,0,ROUNDDOWN((X76-Z76)*24*60,0))))</f>
        <v>0</v>
      </c>
      <c r="AE76" s="14">
        <f>IF(VLOOKUP(A76,Data_NV!$A:$I,6,0)="Không",0,IF(Z76&lt;=X76,0,ROUNDDOWN((Z76-X76)*24*60,0)))</f>
        <v>0</v>
      </c>
      <c r="AF76" s="29">
        <f t="shared" si="11"/>
        <v>0</v>
      </c>
      <c r="AG76" s="30" t="str">
        <f>IF(AC76="","",IF(COUNTIFS($AC$3:AC76,"Quên chấm công",$S$3:S76,S76)&gt;3,"Không chấm công do vi phạm quá 3 lần",IF(COUNTIFS($AC$3:AC76,"Quên chấm công",$S$3:S76,S76)&gt;2,"Trừ toàn bộ chuyên cần tháng do vi phạm lần 3",IF(COUNTIFS($AC$3:AC76,"Quên chấm công",$S$3:S76,S76)&gt;1,"Trừ 1/2 ngày lương",50000))))</f>
        <v/>
      </c>
      <c r="AH76" s="14" t="str">
        <f>IF(AF76=0,"",IF(COUNTIFS($AF$3:AF76,"&gt;0",$S$3:S76,S76)&gt;3,"Trừ toàn bộ chuyên cần tháng",""))</f>
        <v/>
      </c>
      <c r="AI76" s="14"/>
      <c r="AJ76" s="14"/>
    </row>
    <row r="77" spans="1:36" x14ac:dyDescent="0.25">
      <c r="A77" s="4" t="s">
        <v>177</v>
      </c>
      <c r="B77" s="1" t="s">
        <v>178</v>
      </c>
      <c r="C77" s="1" t="s">
        <v>19</v>
      </c>
      <c r="D77" s="1" t="s">
        <v>43</v>
      </c>
      <c r="E77" s="1" t="s">
        <v>21</v>
      </c>
      <c r="F77" s="1" t="s">
        <v>22</v>
      </c>
      <c r="G77" s="1" t="s">
        <v>10</v>
      </c>
      <c r="H77" s="12" t="s">
        <v>210</v>
      </c>
      <c r="I77" s="1" t="s">
        <v>211</v>
      </c>
      <c r="J77" s="1" t="s">
        <v>65</v>
      </c>
      <c r="K77" s="1" t="s">
        <v>212</v>
      </c>
      <c r="L77" s="1" t="s">
        <v>24</v>
      </c>
      <c r="M77" s="1" t="s">
        <v>25</v>
      </c>
      <c r="N77" s="1" t="s">
        <v>24</v>
      </c>
      <c r="O77" s="1" t="s">
        <v>104</v>
      </c>
      <c r="P77" s="1" t="s">
        <v>24</v>
      </c>
      <c r="Q77" s="1" t="s">
        <v>24</v>
      </c>
      <c r="R77" s="75" t="str">
        <f t="shared" si="9"/>
        <v>3745915</v>
      </c>
      <c r="S77" t="str">
        <f>VLOOKUP(A77,Data_NV!$A:$C,3,0)</f>
        <v>Trần Bảo Trâm</v>
      </c>
      <c r="T77" t="str">
        <f>VLOOKUP(A77,Data_NV!$A:$E,4,0)</f>
        <v>Kinh doanh</v>
      </c>
      <c r="U77" s="72">
        <f>DATEVALUE(Table2[[#This Row],[Ngày]])</f>
        <v>45915</v>
      </c>
      <c r="V77" t="str">
        <f>VLOOKUP(A77,Data_NV!$A:$E,5,0)</f>
        <v>Đang làm việc</v>
      </c>
      <c r="W77" s="11">
        <f>VLOOKUP(A77,Data_NV!$A:$I,8,0)</f>
        <v>0.33333333333333331</v>
      </c>
      <c r="X77" s="11">
        <f>VLOOKUP(A77,Data_NV!$A:$I,9,0)</f>
        <v>0.70833333333333337</v>
      </c>
      <c r="Y77" s="11">
        <f>IFERROR(TIMEVALUE(Table2[[#This Row],[Vào]]),0)</f>
        <v>0.33737268518518521</v>
      </c>
      <c r="Z77" s="11">
        <f>IFERROR(TIMEVALUE(Table2[[#This Row],[Ra]]),0)</f>
        <v>0.73466435185185186</v>
      </c>
      <c r="AA77" t="str">
        <f t="shared" si="12"/>
        <v>x</v>
      </c>
      <c r="AB77" s="14">
        <f t="shared" si="10"/>
        <v>5</v>
      </c>
      <c r="AC77" s="14" t="str">
        <f>IF(VLOOKUP(A77,Data_NV!$A:$I,7,0)="Không","",IF(OR(AND(Y77=0,Z77=0),AND(Y77&lt;&gt;0,Z77&lt;&gt;0)),"","Quên chấm công"))</f>
        <v/>
      </c>
      <c r="AD77" s="14">
        <f>IF(VLOOKUP(A77,Data_NV!$A:$I,7,0)="Không",0,IF(AND(Y77=0,Z77=0),0,IF(X77&lt;=Z77,0,ROUNDDOWN((X77-Z77)*24*60,0))))</f>
        <v>0</v>
      </c>
      <c r="AE77" s="14">
        <f>IF(VLOOKUP(A77,Data_NV!$A:$I,6,0)="Không",0,IF(Z77&lt;=X77,0,ROUNDDOWN((Z77-X77)*24*60,0)))</f>
        <v>37</v>
      </c>
      <c r="AF77" s="29">
        <f t="shared" si="11"/>
        <v>0</v>
      </c>
      <c r="AG77" s="30" t="str">
        <f>IF(AC77="","",IF(COUNTIFS($AC$3:AC77,"Quên chấm công",$S$3:S77,S77)&gt;3,"Không chấm công do vi phạm quá 3 lần",IF(COUNTIFS($AC$3:AC77,"Quên chấm công",$S$3:S77,S77)&gt;2,"Trừ toàn bộ chuyên cần tháng do vi phạm lần 3",IF(COUNTIFS($AC$3:AC77,"Quên chấm công",$S$3:S77,S77)&gt;1,"Trừ 1/2 ngày lương",50000))))</f>
        <v/>
      </c>
      <c r="AH77" s="14" t="str">
        <f>IF(AF77=0,"",IF(COUNTIFS($AF$3:AF77,"&gt;0",$S$3:S77,S77)&gt;3,"Trừ toàn bộ chuyên cần tháng",""))</f>
        <v/>
      </c>
      <c r="AI77" s="14"/>
      <c r="AJ77" s="14"/>
    </row>
    <row r="78" spans="1:36" x14ac:dyDescent="0.25">
      <c r="A78" s="4" t="s">
        <v>177</v>
      </c>
      <c r="B78" s="1" t="s">
        <v>178</v>
      </c>
      <c r="C78" s="1" t="s">
        <v>19</v>
      </c>
      <c r="D78" s="1" t="s">
        <v>44</v>
      </c>
      <c r="E78" s="1" t="s">
        <v>21</v>
      </c>
      <c r="F78" s="1" t="s">
        <v>22</v>
      </c>
      <c r="G78" s="1" t="s">
        <v>10</v>
      </c>
      <c r="H78" s="12" t="s">
        <v>213</v>
      </c>
      <c r="I78" s="1" t="s">
        <v>214</v>
      </c>
      <c r="J78" s="1" t="s">
        <v>109</v>
      </c>
      <c r="K78" s="1" t="s">
        <v>215</v>
      </c>
      <c r="L78" s="1" t="s">
        <v>24</v>
      </c>
      <c r="M78" s="1" t="s">
        <v>25</v>
      </c>
      <c r="N78" s="1" t="s">
        <v>24</v>
      </c>
      <c r="O78" s="1" t="s">
        <v>30</v>
      </c>
      <c r="P78" s="1" t="s">
        <v>216</v>
      </c>
      <c r="Q78" s="1" t="s">
        <v>24</v>
      </c>
      <c r="R78" s="75" t="str">
        <f t="shared" si="9"/>
        <v>3745916</v>
      </c>
      <c r="S78" t="str">
        <f>VLOOKUP(A78,Data_NV!$A:$C,3,0)</f>
        <v>Trần Bảo Trâm</v>
      </c>
      <c r="T78" t="str">
        <f>VLOOKUP(A78,Data_NV!$A:$E,4,0)</f>
        <v>Kinh doanh</v>
      </c>
      <c r="U78" s="72">
        <f>DATEVALUE(Table2[[#This Row],[Ngày]])</f>
        <v>45916</v>
      </c>
      <c r="V78" t="str">
        <f>VLOOKUP(A78,Data_NV!$A:$E,5,0)</f>
        <v>Đang làm việc</v>
      </c>
      <c r="W78" s="11">
        <f>VLOOKUP(A78,Data_NV!$A:$I,8,0)</f>
        <v>0.33333333333333331</v>
      </c>
      <c r="X78" s="11">
        <f>VLOOKUP(A78,Data_NV!$A:$I,9,0)</f>
        <v>0.70833333333333337</v>
      </c>
      <c r="Y78" s="11">
        <f>IFERROR(TIMEVALUE(Table2[[#This Row],[Vào]]),0)</f>
        <v>0.33476851851851852</v>
      </c>
      <c r="Z78" s="11">
        <f>IFERROR(TIMEVALUE(Table2[[#This Row],[Ra]]),0)</f>
        <v>0.81480324074074073</v>
      </c>
      <c r="AA78" t="str">
        <f t="shared" si="12"/>
        <v>x</v>
      </c>
      <c r="AB78" s="14">
        <f t="shared" si="10"/>
        <v>2</v>
      </c>
      <c r="AC78" s="14" t="str">
        <f>IF(VLOOKUP(A78,Data_NV!$A:$I,7,0)="Không","",IF(OR(AND(Y78=0,Z78=0),AND(Y78&lt;&gt;0,Z78&lt;&gt;0)),"","Quên chấm công"))</f>
        <v/>
      </c>
      <c r="AD78" s="14">
        <f>IF(VLOOKUP(A78,Data_NV!$A:$I,7,0)="Không",0,IF(AND(Y78=0,Z78=0),0,IF(X78&lt;=Z78,0,ROUNDDOWN((X78-Z78)*24*60,0))))</f>
        <v>0</v>
      </c>
      <c r="AE78" s="14">
        <f>IF(VLOOKUP(A78,Data_NV!$A:$I,6,0)="Không",0,IF(Z78&lt;=X78,0,ROUNDDOWN((Z78-X78)*24*60,0)))</f>
        <v>153</v>
      </c>
      <c r="AF78" s="29">
        <f t="shared" si="11"/>
        <v>0</v>
      </c>
      <c r="AG78" s="30" t="str">
        <f>IF(AC78="","",IF(COUNTIFS($AC$3:AC78,"Quên chấm công",$S$3:S78,S78)&gt;3,"Không chấm công do vi phạm quá 3 lần",IF(COUNTIFS($AC$3:AC78,"Quên chấm công",$S$3:S78,S78)&gt;2,"Trừ toàn bộ chuyên cần tháng do vi phạm lần 3",IF(COUNTIFS($AC$3:AC78,"Quên chấm công",$S$3:S78,S78)&gt;1,"Trừ 1/2 ngày lương",50000))))</f>
        <v/>
      </c>
      <c r="AH78" s="14" t="str">
        <f>IF(AF78=0,"",IF(COUNTIFS($AF$3:AF78,"&gt;0",$S$3:S78,S78)&gt;3,"Trừ toàn bộ chuyên cần tháng",""))</f>
        <v/>
      </c>
      <c r="AI78" s="14"/>
      <c r="AJ78" s="14"/>
    </row>
    <row r="79" spans="1:36" x14ac:dyDescent="0.25">
      <c r="A79" s="4" t="s">
        <v>177</v>
      </c>
      <c r="B79" s="1" t="s">
        <v>178</v>
      </c>
      <c r="C79" s="1" t="s">
        <v>19</v>
      </c>
      <c r="D79" s="1" t="s">
        <v>45</v>
      </c>
      <c r="E79" s="1" t="s">
        <v>21</v>
      </c>
      <c r="F79" s="1" t="s">
        <v>22</v>
      </c>
      <c r="G79" s="1" t="s">
        <v>10</v>
      </c>
      <c r="H79" s="12" t="s">
        <v>217</v>
      </c>
      <c r="I79" s="1" t="s">
        <v>218</v>
      </c>
      <c r="J79" s="1" t="s">
        <v>190</v>
      </c>
      <c r="K79" s="1" t="s">
        <v>219</v>
      </c>
      <c r="L79" s="1" t="s">
        <v>24</v>
      </c>
      <c r="M79" s="1" t="s">
        <v>25</v>
      </c>
      <c r="N79" s="1" t="s">
        <v>24</v>
      </c>
      <c r="O79" s="1" t="s">
        <v>146</v>
      </c>
      <c r="P79" s="1" t="s">
        <v>24</v>
      </c>
      <c r="Q79" s="1" t="s">
        <v>24</v>
      </c>
      <c r="R79" s="75" t="str">
        <f t="shared" si="9"/>
        <v>3745917</v>
      </c>
      <c r="S79" t="str">
        <f>VLOOKUP(A79,Data_NV!$A:$C,3,0)</f>
        <v>Trần Bảo Trâm</v>
      </c>
      <c r="T79" t="str">
        <f>VLOOKUP(A79,Data_NV!$A:$E,4,0)</f>
        <v>Kinh doanh</v>
      </c>
      <c r="U79" s="72">
        <f>DATEVALUE(Table2[[#This Row],[Ngày]])</f>
        <v>45917</v>
      </c>
      <c r="V79" t="str">
        <f>VLOOKUP(A79,Data_NV!$A:$E,5,0)</f>
        <v>Đang làm việc</v>
      </c>
      <c r="W79" s="11">
        <f>VLOOKUP(A79,Data_NV!$A:$I,8,0)</f>
        <v>0.33333333333333331</v>
      </c>
      <c r="X79" s="11">
        <f>VLOOKUP(A79,Data_NV!$A:$I,9,0)</f>
        <v>0.70833333333333337</v>
      </c>
      <c r="Y79" s="11">
        <f>IFERROR(TIMEVALUE(Table2[[#This Row],[Vào]]),0)</f>
        <v>0.33552083333333332</v>
      </c>
      <c r="Z79" s="11">
        <f>IFERROR(TIMEVALUE(Table2[[#This Row],[Ra]]),0)</f>
        <v>0.76107638888888884</v>
      </c>
      <c r="AA79" t="str">
        <f t="shared" si="12"/>
        <v>x</v>
      </c>
      <c r="AB79" s="14">
        <f t="shared" si="10"/>
        <v>3</v>
      </c>
      <c r="AC79" s="14" t="str">
        <f>IF(VLOOKUP(A79,Data_NV!$A:$I,7,0)="Không","",IF(OR(AND(Y79=0,Z79=0),AND(Y79&lt;&gt;0,Z79&lt;&gt;0)),"","Quên chấm công"))</f>
        <v/>
      </c>
      <c r="AD79" s="14">
        <f>IF(VLOOKUP(A79,Data_NV!$A:$I,7,0)="Không",0,IF(AND(Y79=0,Z79=0),0,IF(X79&lt;=Z79,0,ROUNDDOWN((X79-Z79)*24*60,0))))</f>
        <v>0</v>
      </c>
      <c r="AE79" s="14">
        <f>IF(VLOOKUP(A79,Data_NV!$A:$I,6,0)="Không",0,IF(Z79&lt;=X79,0,ROUNDDOWN((Z79-X79)*24*60,0)))</f>
        <v>75</v>
      </c>
      <c r="AF79" s="29">
        <f t="shared" si="11"/>
        <v>0</v>
      </c>
      <c r="AG79" s="30" t="str">
        <f>IF(AC79="","",IF(COUNTIFS($AC$3:AC79,"Quên chấm công",$S$3:S79,S79)&gt;3,"Không chấm công do vi phạm quá 3 lần",IF(COUNTIFS($AC$3:AC79,"Quên chấm công",$S$3:S79,S79)&gt;2,"Trừ toàn bộ chuyên cần tháng do vi phạm lần 3",IF(COUNTIFS($AC$3:AC79,"Quên chấm công",$S$3:S79,S79)&gt;1,"Trừ 1/2 ngày lương",50000))))</f>
        <v/>
      </c>
      <c r="AH79" s="14" t="str">
        <f>IF(AF79=0,"",IF(COUNTIFS($AF$3:AF79,"&gt;0",$S$3:S79,S79)&gt;3,"Trừ toàn bộ chuyên cần tháng",""))</f>
        <v/>
      </c>
      <c r="AI79" s="14"/>
      <c r="AJ79" s="14"/>
    </row>
    <row r="80" spans="1:36" x14ac:dyDescent="0.25">
      <c r="A80" s="4" t="s">
        <v>177</v>
      </c>
      <c r="B80" s="1" t="s">
        <v>178</v>
      </c>
      <c r="C80" s="1" t="s">
        <v>19</v>
      </c>
      <c r="D80" s="1" t="s">
        <v>46</v>
      </c>
      <c r="E80" s="1" t="s">
        <v>21</v>
      </c>
      <c r="F80" s="1" t="s">
        <v>22</v>
      </c>
      <c r="G80" s="1" t="s">
        <v>10</v>
      </c>
      <c r="H80" s="12" t="s">
        <v>220</v>
      </c>
      <c r="I80" s="1" t="s">
        <v>221</v>
      </c>
      <c r="J80" s="1" t="s">
        <v>98</v>
      </c>
      <c r="K80" s="1" t="s">
        <v>53</v>
      </c>
      <c r="L80" s="1" t="s">
        <v>24</v>
      </c>
      <c r="M80" s="1" t="s">
        <v>25</v>
      </c>
      <c r="N80" s="1" t="s">
        <v>24</v>
      </c>
      <c r="O80" s="1" t="s">
        <v>47</v>
      </c>
      <c r="P80" s="1" t="s">
        <v>24</v>
      </c>
      <c r="Q80" s="1" t="s">
        <v>24</v>
      </c>
      <c r="R80" s="75" t="str">
        <f t="shared" si="9"/>
        <v>3745918</v>
      </c>
      <c r="S80" t="str">
        <f>VLOOKUP(A80,Data_NV!$A:$C,3,0)</f>
        <v>Trần Bảo Trâm</v>
      </c>
      <c r="T80" t="str">
        <f>VLOOKUP(A80,Data_NV!$A:$E,4,0)</f>
        <v>Kinh doanh</v>
      </c>
      <c r="U80" s="72">
        <f>DATEVALUE(Table2[[#This Row],[Ngày]])</f>
        <v>45918</v>
      </c>
      <c r="V80" t="str">
        <f>VLOOKUP(A80,Data_NV!$A:$E,5,0)</f>
        <v>Đang làm việc</v>
      </c>
      <c r="W80" s="11">
        <f>VLOOKUP(A80,Data_NV!$A:$I,8,0)</f>
        <v>0.33333333333333331</v>
      </c>
      <c r="X80" s="11">
        <f>VLOOKUP(A80,Data_NV!$A:$I,9,0)</f>
        <v>0.70833333333333337</v>
      </c>
      <c r="Y80" s="11">
        <f>IFERROR(TIMEVALUE(Table2[[#This Row],[Vào]]),0)</f>
        <v>0.33643518518518517</v>
      </c>
      <c r="Z80" s="11">
        <f>IFERROR(TIMEVALUE(Table2[[#This Row],[Ra]]),0)</f>
        <v>0.7663078703703704</v>
      </c>
      <c r="AA80" t="str">
        <f t="shared" si="12"/>
        <v>x</v>
      </c>
      <c r="AB80" s="14">
        <f t="shared" si="10"/>
        <v>4</v>
      </c>
      <c r="AC80" s="14" t="str">
        <f>IF(VLOOKUP(A80,Data_NV!$A:$I,7,0)="Không","",IF(OR(AND(Y80=0,Z80=0),AND(Y80&lt;&gt;0,Z80&lt;&gt;0)),"","Quên chấm công"))</f>
        <v/>
      </c>
      <c r="AD80" s="14">
        <f>IF(VLOOKUP(A80,Data_NV!$A:$I,7,0)="Không",0,IF(AND(Y80=0,Z80=0),0,IF(X80&lt;=Z80,0,ROUNDDOWN((X80-Z80)*24*60,0))))</f>
        <v>0</v>
      </c>
      <c r="AE80" s="14">
        <f>IF(VLOOKUP(A80,Data_NV!$A:$I,6,0)="Không",0,IF(Z80&lt;=X80,0,ROUNDDOWN((Z80-X80)*24*60,0)))</f>
        <v>83</v>
      </c>
      <c r="AF80" s="29">
        <f t="shared" si="11"/>
        <v>0</v>
      </c>
      <c r="AG80" s="30" t="str">
        <f>IF(AC80="","",IF(COUNTIFS($AC$3:AC80,"Quên chấm công",$S$3:S80,S80)&gt;3,"Không chấm công do vi phạm quá 3 lần",IF(COUNTIFS($AC$3:AC80,"Quên chấm công",$S$3:S80,S80)&gt;2,"Trừ toàn bộ chuyên cần tháng do vi phạm lần 3",IF(COUNTIFS($AC$3:AC80,"Quên chấm công",$S$3:S80,S80)&gt;1,"Trừ 1/2 ngày lương",50000))))</f>
        <v/>
      </c>
      <c r="AH80" s="14" t="str">
        <f>IF(AF80=0,"",IF(COUNTIFS($AF$3:AF80,"&gt;0",$S$3:S80,S80)&gt;3,"Trừ toàn bộ chuyên cần tháng",""))</f>
        <v/>
      </c>
      <c r="AI80" s="14"/>
      <c r="AJ80" s="14"/>
    </row>
    <row r="81" spans="1:36" x14ac:dyDescent="0.25">
      <c r="A81" s="4" t="s">
        <v>177</v>
      </c>
      <c r="B81" s="1" t="s">
        <v>178</v>
      </c>
      <c r="C81" s="1" t="s">
        <v>19</v>
      </c>
      <c r="D81" s="1" t="s">
        <v>48</v>
      </c>
      <c r="E81" s="1" t="s">
        <v>21</v>
      </c>
      <c r="F81" s="1" t="s">
        <v>22</v>
      </c>
      <c r="G81" s="1" t="s">
        <v>28</v>
      </c>
      <c r="H81" s="12" t="s">
        <v>222</v>
      </c>
      <c r="I81" s="1" t="s">
        <v>223</v>
      </c>
      <c r="J81" s="1" t="s">
        <v>24</v>
      </c>
      <c r="K81" s="1" t="s">
        <v>138</v>
      </c>
      <c r="L81" s="1" t="s">
        <v>24</v>
      </c>
      <c r="M81" s="1" t="s">
        <v>25</v>
      </c>
      <c r="N81" s="1" t="s">
        <v>24</v>
      </c>
      <c r="O81" s="1" t="s">
        <v>30</v>
      </c>
      <c r="P81" s="1" t="s">
        <v>164</v>
      </c>
      <c r="Q81" s="1" t="s">
        <v>24</v>
      </c>
      <c r="R81" s="75" t="str">
        <f t="shared" si="9"/>
        <v>3745919</v>
      </c>
      <c r="S81" t="str">
        <f>VLOOKUP(A81,Data_NV!$A:$C,3,0)</f>
        <v>Trần Bảo Trâm</v>
      </c>
      <c r="T81" t="str">
        <f>VLOOKUP(A81,Data_NV!$A:$E,4,0)</f>
        <v>Kinh doanh</v>
      </c>
      <c r="U81" s="72">
        <f>DATEVALUE(Table2[[#This Row],[Ngày]])</f>
        <v>45919</v>
      </c>
      <c r="V81" t="str">
        <f>VLOOKUP(A81,Data_NV!$A:$E,5,0)</f>
        <v>Đang làm việc</v>
      </c>
      <c r="W81" s="11">
        <f>VLOOKUP(A81,Data_NV!$A:$I,8,0)</f>
        <v>0.33333333333333331</v>
      </c>
      <c r="X81" s="11">
        <f>VLOOKUP(A81,Data_NV!$A:$I,9,0)</f>
        <v>0.70833333333333337</v>
      </c>
      <c r="Y81" s="11">
        <f>IFERROR(TIMEVALUE(Table2[[#This Row],[Vào]]),0)</f>
        <v>0.30353009259259262</v>
      </c>
      <c r="Z81" s="11">
        <f>IFERROR(TIMEVALUE(Table2[[#This Row],[Ra]]),0)</f>
        <v>0.80258101851851849</v>
      </c>
      <c r="AA81" t="str">
        <f t="shared" si="12"/>
        <v>x</v>
      </c>
      <c r="AB81" s="14">
        <f t="shared" si="10"/>
        <v>0</v>
      </c>
      <c r="AC81" s="14" t="str">
        <f>IF(VLOOKUP(A81,Data_NV!$A:$I,7,0)="Không","",IF(OR(AND(Y81=0,Z81=0),AND(Y81&lt;&gt;0,Z81&lt;&gt;0)),"","Quên chấm công"))</f>
        <v/>
      </c>
      <c r="AD81" s="14">
        <f>IF(VLOOKUP(A81,Data_NV!$A:$I,7,0)="Không",0,IF(AND(Y81=0,Z81=0),0,IF(X81&lt;=Z81,0,ROUNDDOWN((X81-Z81)*24*60,0))))</f>
        <v>0</v>
      </c>
      <c r="AE81" s="14">
        <f>IF(VLOOKUP(A81,Data_NV!$A:$I,6,0)="Không",0,IF(Z81&lt;=X81,0,ROUNDDOWN((Z81-X81)*24*60,0)))</f>
        <v>135</v>
      </c>
      <c r="AF81" s="29">
        <f t="shared" si="11"/>
        <v>0</v>
      </c>
      <c r="AG81" s="30" t="str">
        <f>IF(AC81="","",IF(COUNTIFS($AC$3:AC81,"Quên chấm công",$S$3:S81,S81)&gt;3,"Không chấm công do vi phạm quá 3 lần",IF(COUNTIFS($AC$3:AC81,"Quên chấm công",$S$3:S81,S81)&gt;2,"Trừ toàn bộ chuyên cần tháng do vi phạm lần 3",IF(COUNTIFS($AC$3:AC81,"Quên chấm công",$S$3:S81,S81)&gt;1,"Trừ 1/2 ngày lương",50000))))</f>
        <v/>
      </c>
      <c r="AH81" s="14" t="str">
        <f>IF(AF81=0,"",IF(COUNTIFS($AF$3:AF81,"&gt;0",$S$3:S81,S81)&gt;3,"Trừ toàn bộ chuyên cần tháng",""))</f>
        <v/>
      </c>
      <c r="AI81" s="14"/>
      <c r="AJ81" s="14"/>
    </row>
    <row r="82" spans="1:36" x14ac:dyDescent="0.25">
      <c r="A82" s="4" t="s">
        <v>177</v>
      </c>
      <c r="B82" s="1" t="s">
        <v>178</v>
      </c>
      <c r="C82" s="1" t="s">
        <v>19</v>
      </c>
      <c r="D82" s="1" t="s">
        <v>50</v>
      </c>
      <c r="E82" s="1" t="s">
        <v>21</v>
      </c>
      <c r="F82" s="1" t="s">
        <v>22</v>
      </c>
      <c r="G82" s="1" t="s">
        <v>12</v>
      </c>
      <c r="H82" s="12" t="s">
        <v>23</v>
      </c>
      <c r="I82" s="1" t="s">
        <v>224</v>
      </c>
      <c r="J82" s="1" t="s">
        <v>24</v>
      </c>
      <c r="K82" s="1" t="s">
        <v>24</v>
      </c>
      <c r="L82" s="1" t="s">
        <v>25</v>
      </c>
      <c r="M82" s="1" t="s">
        <v>24</v>
      </c>
      <c r="N82" s="1" t="s">
        <v>24</v>
      </c>
      <c r="O82" s="1" t="s">
        <v>24</v>
      </c>
      <c r="P82" s="1" t="s">
        <v>24</v>
      </c>
      <c r="Q82" s="1" t="s">
        <v>24</v>
      </c>
      <c r="R82" s="75" t="str">
        <f t="shared" si="9"/>
        <v>3745920</v>
      </c>
      <c r="S82" t="str">
        <f>VLOOKUP(A82,Data_NV!$A:$C,3,0)</f>
        <v>Trần Bảo Trâm</v>
      </c>
      <c r="T82" t="str">
        <f>VLOOKUP(A82,Data_NV!$A:$E,4,0)</f>
        <v>Kinh doanh</v>
      </c>
      <c r="U82" s="72">
        <f>DATEVALUE(Table2[[#This Row],[Ngày]])</f>
        <v>45920</v>
      </c>
      <c r="V82" t="str">
        <f>VLOOKUP(A82,Data_NV!$A:$E,5,0)</f>
        <v>Đang làm việc</v>
      </c>
      <c r="W82" s="11">
        <f>VLOOKUP(A82,Data_NV!$A:$I,8,0)</f>
        <v>0.33333333333333331</v>
      </c>
      <c r="X82" s="11">
        <f>VLOOKUP(A82,Data_NV!$A:$I,9,0)</f>
        <v>0.70833333333333337</v>
      </c>
      <c r="Y82" s="11">
        <f>IFERROR(TIMEVALUE(Table2[[#This Row],[Vào]]),0)</f>
        <v>0</v>
      </c>
      <c r="Z82" s="11">
        <f>IFERROR(TIMEVALUE(Table2[[#This Row],[Ra]]),0)</f>
        <v>0.71006944444444442</v>
      </c>
      <c r="AA82" t="str">
        <f t="shared" si="12"/>
        <v>1/2</v>
      </c>
      <c r="AB82" s="14">
        <f t="shared" si="10"/>
        <v>0</v>
      </c>
      <c r="AC82" s="14" t="str">
        <f>IF(VLOOKUP(A82,Data_NV!$A:$I,7,0)="Không","",IF(OR(AND(Y82=0,Z82=0),AND(Y82&lt;&gt;0,Z82&lt;&gt;0)),"","Quên chấm công"))</f>
        <v>Quên chấm công</v>
      </c>
      <c r="AD82" s="14">
        <f>IF(VLOOKUP(A82,Data_NV!$A:$I,7,0)="Không",0,IF(AND(Y82=0,Z82=0),0,IF(X82&lt;=Z82,0,ROUNDDOWN((X82-Z82)*24*60,0))))</f>
        <v>0</v>
      </c>
      <c r="AE82" s="14">
        <f>IF(VLOOKUP(A82,Data_NV!$A:$I,6,0)="Không",0,IF(Z82&lt;=X82,0,ROUNDDOWN((Z82-X82)*24*60,0)))</f>
        <v>2</v>
      </c>
      <c r="AF82" s="29">
        <f t="shared" si="11"/>
        <v>0</v>
      </c>
      <c r="AG82" s="30" t="str">
        <f>IF(AC82="","",IF(COUNTIFS($AC$3:AC82,"Quên chấm công",$S$3:S82,S82)&gt;3,"Không chấm công do vi phạm quá 3 lần",IF(COUNTIFS($AC$3:AC82,"Quên chấm công",$S$3:S82,S82)&gt;2,"Trừ toàn bộ chuyên cần tháng do vi phạm lần 3",IF(COUNTIFS($AC$3:AC82,"Quên chấm công",$S$3:S82,S82)&gt;1,"Trừ 1/2 ngày lương",50000))))</f>
        <v>Trừ 1/2 ngày lương</v>
      </c>
      <c r="AH82" s="14" t="str">
        <f>IF(AF82=0,"",IF(COUNTIFS($AF$3:AF82,"&gt;0",$S$3:S82,S82)&gt;3,"Trừ toàn bộ chuyên cần tháng",""))</f>
        <v/>
      </c>
      <c r="AI82" s="14"/>
      <c r="AJ82" s="14"/>
    </row>
    <row r="83" spans="1:36" x14ac:dyDescent="0.25">
      <c r="A83" s="4" t="s">
        <v>177</v>
      </c>
      <c r="B83" s="1" t="s">
        <v>178</v>
      </c>
      <c r="C83" s="1" t="s">
        <v>19</v>
      </c>
      <c r="D83" s="1" t="s">
        <v>51</v>
      </c>
      <c r="E83" s="1" t="s">
        <v>21</v>
      </c>
      <c r="F83" s="1" t="s">
        <v>22</v>
      </c>
      <c r="G83" s="1" t="s">
        <v>12</v>
      </c>
      <c r="H83" s="12" t="s">
        <v>23</v>
      </c>
      <c r="I83" s="1" t="s">
        <v>23</v>
      </c>
      <c r="J83" s="1" t="s">
        <v>24</v>
      </c>
      <c r="K83" s="1" t="s">
        <v>24</v>
      </c>
      <c r="L83" s="1" t="s">
        <v>25</v>
      </c>
      <c r="M83" s="1" t="s">
        <v>24</v>
      </c>
      <c r="N83" s="1" t="s">
        <v>24</v>
      </c>
      <c r="O83" s="1" t="s">
        <v>24</v>
      </c>
      <c r="P83" s="1" t="s">
        <v>24</v>
      </c>
      <c r="Q83" s="1" t="s">
        <v>24</v>
      </c>
      <c r="R83" s="75" t="str">
        <f t="shared" si="9"/>
        <v>3745921</v>
      </c>
      <c r="S83" t="str">
        <f>VLOOKUP(A83,Data_NV!$A:$C,3,0)</f>
        <v>Trần Bảo Trâm</v>
      </c>
      <c r="T83" t="str">
        <f>VLOOKUP(A83,Data_NV!$A:$E,4,0)</f>
        <v>Kinh doanh</v>
      </c>
      <c r="U83" s="72">
        <f>DATEVALUE(Table2[[#This Row],[Ngày]])</f>
        <v>45921</v>
      </c>
      <c r="V83" t="str">
        <f>VLOOKUP(A83,Data_NV!$A:$E,5,0)</f>
        <v>Đang làm việc</v>
      </c>
      <c r="W83" s="11">
        <f>VLOOKUP(A83,Data_NV!$A:$I,8,0)</f>
        <v>0.33333333333333331</v>
      </c>
      <c r="X83" s="11">
        <f>VLOOKUP(A83,Data_NV!$A:$I,9,0)</f>
        <v>0.70833333333333337</v>
      </c>
      <c r="Y83" s="11">
        <f>IFERROR(TIMEVALUE(Table2[[#This Row],[Vào]]),0)</f>
        <v>0</v>
      </c>
      <c r="Z83" s="11">
        <f>IFERROR(TIMEVALUE(Table2[[#This Row],[Ra]]),0)</f>
        <v>0</v>
      </c>
      <c r="AA83" t="str">
        <f t="shared" si="12"/>
        <v/>
      </c>
      <c r="AB83" s="14">
        <f t="shared" si="10"/>
        <v>0</v>
      </c>
      <c r="AC83" s="14" t="str">
        <f>IF(VLOOKUP(A83,Data_NV!$A:$I,7,0)="Không","",IF(OR(AND(Y83=0,Z83=0),AND(Y83&lt;&gt;0,Z83&lt;&gt;0)),"","Quên chấm công"))</f>
        <v/>
      </c>
      <c r="AD83" s="14">
        <f>IF(VLOOKUP(A83,Data_NV!$A:$I,7,0)="Không",0,IF(AND(Y83=0,Z83=0),0,IF(X83&lt;=Z83,0,ROUNDDOWN((X83-Z83)*24*60,0))))</f>
        <v>0</v>
      </c>
      <c r="AE83" s="14">
        <f>IF(VLOOKUP(A83,Data_NV!$A:$I,6,0)="Không",0,IF(Z83&lt;=X83,0,ROUNDDOWN((Z83-X83)*24*60,0)))</f>
        <v>0</v>
      </c>
      <c r="AF83" s="29">
        <f t="shared" si="11"/>
        <v>0</v>
      </c>
      <c r="AG83" s="30" t="str">
        <f>IF(AC83="","",IF(COUNTIFS($AC$3:AC83,"Quên chấm công",$S$3:S83,S83)&gt;3,"Không chấm công do vi phạm quá 3 lần",IF(COUNTIFS($AC$3:AC83,"Quên chấm công",$S$3:S83,S83)&gt;2,"Trừ toàn bộ chuyên cần tháng do vi phạm lần 3",IF(COUNTIFS($AC$3:AC83,"Quên chấm công",$S$3:S83,S83)&gt;1,"Trừ 1/2 ngày lương",50000))))</f>
        <v/>
      </c>
      <c r="AH83" s="14" t="str">
        <f>IF(AF83=0,"",IF(COUNTIFS($AF$3:AF83,"&gt;0",$S$3:S83,S83)&gt;3,"Trừ toàn bộ chuyên cần tháng",""))</f>
        <v/>
      </c>
      <c r="AI83" s="14"/>
      <c r="AJ83" s="14"/>
    </row>
    <row r="84" spans="1:36" x14ac:dyDescent="0.25">
      <c r="A84" s="4" t="s">
        <v>177</v>
      </c>
      <c r="B84" s="1" t="s">
        <v>178</v>
      </c>
      <c r="C84" s="1" t="s">
        <v>19</v>
      </c>
      <c r="D84" s="1" t="s">
        <v>52</v>
      </c>
      <c r="E84" s="1" t="s">
        <v>21</v>
      </c>
      <c r="F84" s="1" t="s">
        <v>22</v>
      </c>
      <c r="G84" s="1" t="s">
        <v>10</v>
      </c>
      <c r="H84" s="12" t="s">
        <v>225</v>
      </c>
      <c r="I84" s="1" t="s">
        <v>226</v>
      </c>
      <c r="J84" s="1" t="s">
        <v>109</v>
      </c>
      <c r="K84" s="1" t="s">
        <v>227</v>
      </c>
      <c r="L84" s="1" t="s">
        <v>24</v>
      </c>
      <c r="M84" s="1" t="s">
        <v>25</v>
      </c>
      <c r="N84" s="1" t="s">
        <v>24</v>
      </c>
      <c r="O84" s="1" t="s">
        <v>108</v>
      </c>
      <c r="P84" s="1" t="s">
        <v>24</v>
      </c>
      <c r="Q84" s="1" t="s">
        <v>24</v>
      </c>
      <c r="R84" s="75" t="str">
        <f t="shared" si="9"/>
        <v>3745922</v>
      </c>
      <c r="S84" t="str">
        <f>VLOOKUP(A84,Data_NV!$A:$C,3,0)</f>
        <v>Trần Bảo Trâm</v>
      </c>
      <c r="T84" t="str">
        <f>VLOOKUP(A84,Data_NV!$A:$E,4,0)</f>
        <v>Kinh doanh</v>
      </c>
      <c r="U84" s="72">
        <f>DATEVALUE(Table2[[#This Row],[Ngày]])</f>
        <v>45922</v>
      </c>
      <c r="V84" t="str">
        <f>VLOOKUP(A84,Data_NV!$A:$E,5,0)</f>
        <v>Đang làm việc</v>
      </c>
      <c r="W84" s="11">
        <f>VLOOKUP(A84,Data_NV!$A:$I,8,0)</f>
        <v>0.33333333333333331</v>
      </c>
      <c r="X84" s="11">
        <f>VLOOKUP(A84,Data_NV!$A:$I,9,0)</f>
        <v>0.70833333333333337</v>
      </c>
      <c r="Y84" s="11">
        <f>IFERROR(TIMEVALUE(Table2[[#This Row],[Vào]]),0)</f>
        <v>0.33454861111111112</v>
      </c>
      <c r="Z84" s="11">
        <f>IFERROR(TIMEVALUE(Table2[[#This Row],[Ra]]),0)</f>
        <v>0.72563657407407411</v>
      </c>
      <c r="AA84" t="str">
        <f t="shared" si="12"/>
        <v>x</v>
      </c>
      <c r="AB84" s="14">
        <f t="shared" si="10"/>
        <v>1</v>
      </c>
      <c r="AC84" s="14" t="str">
        <f>IF(VLOOKUP(A84,Data_NV!$A:$I,7,0)="Không","",IF(OR(AND(Y84=0,Z84=0),AND(Y84&lt;&gt;0,Z84&lt;&gt;0)),"","Quên chấm công"))</f>
        <v/>
      </c>
      <c r="AD84" s="14">
        <f>IF(VLOOKUP(A84,Data_NV!$A:$I,7,0)="Không",0,IF(AND(Y84=0,Z84=0),0,IF(X84&lt;=Z84,0,ROUNDDOWN((X84-Z84)*24*60,0))))</f>
        <v>0</v>
      </c>
      <c r="AE84" s="14">
        <f>IF(VLOOKUP(A84,Data_NV!$A:$I,6,0)="Không",0,IF(Z84&lt;=X84,0,ROUNDDOWN((Z84-X84)*24*60,0)))</f>
        <v>24</v>
      </c>
      <c r="AF84" s="29">
        <f t="shared" si="11"/>
        <v>0</v>
      </c>
      <c r="AG84" s="30" t="str">
        <f>IF(AC84="","",IF(COUNTIFS($AC$3:AC84,"Quên chấm công",$S$3:S84,S84)&gt;3,"Không chấm công do vi phạm quá 3 lần",IF(COUNTIFS($AC$3:AC84,"Quên chấm công",$S$3:S84,S84)&gt;2,"Trừ toàn bộ chuyên cần tháng do vi phạm lần 3",IF(COUNTIFS($AC$3:AC84,"Quên chấm công",$S$3:S84,S84)&gt;1,"Trừ 1/2 ngày lương",50000))))</f>
        <v/>
      </c>
      <c r="AH84" s="14" t="str">
        <f>IF(AF84=0,"",IF(COUNTIFS($AF$3:AF84,"&gt;0",$S$3:S84,S84)&gt;3,"Trừ toàn bộ chuyên cần tháng",""))</f>
        <v/>
      </c>
      <c r="AI84" s="14"/>
      <c r="AJ84" s="14"/>
    </row>
    <row r="85" spans="1:36" x14ac:dyDescent="0.25">
      <c r="A85" s="4" t="s">
        <v>177</v>
      </c>
      <c r="B85" s="1" t="s">
        <v>178</v>
      </c>
      <c r="C85" s="1" t="s">
        <v>19</v>
      </c>
      <c r="D85" s="1" t="s">
        <v>54</v>
      </c>
      <c r="E85" s="1" t="s">
        <v>21</v>
      </c>
      <c r="F85" s="1" t="s">
        <v>22</v>
      </c>
      <c r="G85" s="1" t="s">
        <v>10</v>
      </c>
      <c r="H85" s="12" t="s">
        <v>228</v>
      </c>
      <c r="I85" s="1" t="s">
        <v>229</v>
      </c>
      <c r="J85" s="1" t="s">
        <v>135</v>
      </c>
      <c r="K85" s="1" t="s">
        <v>34</v>
      </c>
      <c r="L85" s="1" t="s">
        <v>24</v>
      </c>
      <c r="M85" s="1" t="s">
        <v>25</v>
      </c>
      <c r="N85" s="1" t="s">
        <v>24</v>
      </c>
      <c r="O85" s="1" t="s">
        <v>182</v>
      </c>
      <c r="P85" s="1" t="s">
        <v>24</v>
      </c>
      <c r="Q85" s="1" t="s">
        <v>24</v>
      </c>
      <c r="R85" s="75" t="str">
        <f t="shared" si="9"/>
        <v>3745923</v>
      </c>
      <c r="S85" t="str">
        <f>VLOOKUP(A85,Data_NV!$A:$C,3,0)</f>
        <v>Trần Bảo Trâm</v>
      </c>
      <c r="T85" t="str">
        <f>VLOOKUP(A85,Data_NV!$A:$E,4,0)</f>
        <v>Kinh doanh</v>
      </c>
      <c r="U85" s="72">
        <f>DATEVALUE(Table2[[#This Row],[Ngày]])</f>
        <v>45923</v>
      </c>
      <c r="V85" t="str">
        <f>VLOOKUP(A85,Data_NV!$A:$E,5,0)</f>
        <v>Đang làm việc</v>
      </c>
      <c r="W85" s="11">
        <f>VLOOKUP(A85,Data_NV!$A:$I,8,0)</f>
        <v>0.33333333333333331</v>
      </c>
      <c r="X85" s="11">
        <f>VLOOKUP(A85,Data_NV!$A:$I,9,0)</f>
        <v>0.70833333333333337</v>
      </c>
      <c r="Y85" s="11">
        <f>IFERROR(TIMEVALUE(Table2[[#This Row],[Vào]]),0)</f>
        <v>0.33392361111111113</v>
      </c>
      <c r="Z85" s="11">
        <f>IFERROR(TIMEVALUE(Table2[[#This Row],[Ra]]),0)</f>
        <v>0.74353009259259262</v>
      </c>
      <c r="AA85" t="str">
        <f t="shared" si="12"/>
        <v>x</v>
      </c>
      <c r="AB85" s="14">
        <f t="shared" si="10"/>
        <v>0</v>
      </c>
      <c r="AC85" s="14" t="str">
        <f>IF(VLOOKUP(A85,Data_NV!$A:$I,7,0)="Không","",IF(OR(AND(Y85=0,Z85=0),AND(Y85&lt;&gt;0,Z85&lt;&gt;0)),"","Quên chấm công"))</f>
        <v/>
      </c>
      <c r="AD85" s="14">
        <f>IF(VLOOKUP(A85,Data_NV!$A:$I,7,0)="Không",0,IF(AND(Y85=0,Z85=0),0,IF(X85&lt;=Z85,0,ROUNDDOWN((X85-Z85)*24*60,0))))</f>
        <v>0</v>
      </c>
      <c r="AE85" s="14">
        <f>IF(VLOOKUP(A85,Data_NV!$A:$I,6,0)="Không",0,IF(Z85&lt;=X85,0,ROUNDDOWN((Z85-X85)*24*60,0)))</f>
        <v>50</v>
      </c>
      <c r="AF85" s="29">
        <f t="shared" si="11"/>
        <v>0</v>
      </c>
      <c r="AG85" s="30" t="str">
        <f>IF(AC85="","",IF(COUNTIFS($AC$3:AC85,"Quên chấm công",$S$3:S85,S85)&gt;3,"Không chấm công do vi phạm quá 3 lần",IF(COUNTIFS($AC$3:AC85,"Quên chấm công",$S$3:S85,S85)&gt;2,"Trừ toàn bộ chuyên cần tháng do vi phạm lần 3",IF(COUNTIFS($AC$3:AC85,"Quên chấm công",$S$3:S85,S85)&gt;1,"Trừ 1/2 ngày lương",50000))))</f>
        <v/>
      </c>
      <c r="AH85" s="14" t="str">
        <f>IF(AF85=0,"",IF(COUNTIFS($AF$3:AF85,"&gt;0",$S$3:S85,S85)&gt;3,"Trừ toàn bộ chuyên cần tháng",""))</f>
        <v/>
      </c>
      <c r="AI85" s="14"/>
      <c r="AJ85" s="14"/>
    </row>
    <row r="86" spans="1:36" x14ac:dyDescent="0.25">
      <c r="A86" s="4" t="s">
        <v>177</v>
      </c>
      <c r="B86" s="1" t="s">
        <v>178</v>
      </c>
      <c r="C86" s="1" t="s">
        <v>19</v>
      </c>
      <c r="D86" s="1" t="s">
        <v>55</v>
      </c>
      <c r="E86" s="1" t="s">
        <v>21</v>
      </c>
      <c r="F86" s="1" t="s">
        <v>22</v>
      </c>
      <c r="G86" s="1" t="s">
        <v>28</v>
      </c>
      <c r="H86" s="12" t="s">
        <v>230</v>
      </c>
      <c r="I86" s="1" t="s">
        <v>231</v>
      </c>
      <c r="J86" s="1" t="s">
        <v>24</v>
      </c>
      <c r="K86" s="1" t="s">
        <v>136</v>
      </c>
      <c r="L86" s="1" t="s">
        <v>24</v>
      </c>
      <c r="M86" s="1" t="s">
        <v>25</v>
      </c>
      <c r="N86" s="1" t="s">
        <v>24</v>
      </c>
      <c r="O86" s="1" t="s">
        <v>232</v>
      </c>
      <c r="P86" s="1" t="s">
        <v>24</v>
      </c>
      <c r="Q86" s="1" t="s">
        <v>24</v>
      </c>
      <c r="R86" s="75" t="str">
        <f t="shared" si="9"/>
        <v>3745924</v>
      </c>
      <c r="S86" t="str">
        <f>VLOOKUP(A86,Data_NV!$A:$C,3,0)</f>
        <v>Trần Bảo Trâm</v>
      </c>
      <c r="T86" t="str">
        <f>VLOOKUP(A86,Data_NV!$A:$E,4,0)</f>
        <v>Kinh doanh</v>
      </c>
      <c r="U86" s="72">
        <f>DATEVALUE(Table2[[#This Row],[Ngày]])</f>
        <v>45924</v>
      </c>
      <c r="V86" t="str">
        <f>VLOOKUP(A86,Data_NV!$A:$E,5,0)</f>
        <v>Đang làm việc</v>
      </c>
      <c r="W86" s="11">
        <f>VLOOKUP(A86,Data_NV!$A:$I,8,0)</f>
        <v>0.33333333333333331</v>
      </c>
      <c r="X86" s="11">
        <f>VLOOKUP(A86,Data_NV!$A:$I,9,0)</f>
        <v>0.70833333333333337</v>
      </c>
      <c r="Y86" s="11">
        <f>IFERROR(TIMEVALUE(Table2[[#This Row],[Vào]]),0)</f>
        <v>0.32966435185185183</v>
      </c>
      <c r="Z86" s="11">
        <f>IFERROR(TIMEVALUE(Table2[[#This Row],[Ra]]),0)</f>
        <v>0.78086805555555561</v>
      </c>
      <c r="AA86" t="str">
        <f t="shared" si="12"/>
        <v>x</v>
      </c>
      <c r="AB86" s="14">
        <f t="shared" si="10"/>
        <v>0</v>
      </c>
      <c r="AC86" s="14" t="str">
        <f>IF(VLOOKUP(A86,Data_NV!$A:$I,7,0)="Không","",IF(OR(AND(Y86=0,Z86=0),AND(Y86&lt;&gt;0,Z86&lt;&gt;0)),"","Quên chấm công"))</f>
        <v/>
      </c>
      <c r="AD86" s="14">
        <f>IF(VLOOKUP(A86,Data_NV!$A:$I,7,0)="Không",0,IF(AND(Y86=0,Z86=0),0,IF(X86&lt;=Z86,0,ROUNDDOWN((X86-Z86)*24*60,0))))</f>
        <v>0</v>
      </c>
      <c r="AE86" s="14">
        <f>IF(VLOOKUP(A86,Data_NV!$A:$I,6,0)="Không",0,IF(Z86&lt;=X86,0,ROUNDDOWN((Z86-X86)*24*60,0)))</f>
        <v>104</v>
      </c>
      <c r="AF86" s="29">
        <f t="shared" si="11"/>
        <v>0</v>
      </c>
      <c r="AG86" s="30" t="str">
        <f>IF(AC86="","",IF(COUNTIFS($AC$3:AC86,"Quên chấm công",$S$3:S86,S86)&gt;3,"Không chấm công do vi phạm quá 3 lần",IF(COUNTIFS($AC$3:AC86,"Quên chấm công",$S$3:S86,S86)&gt;2,"Trừ toàn bộ chuyên cần tháng do vi phạm lần 3",IF(COUNTIFS($AC$3:AC86,"Quên chấm công",$S$3:S86,S86)&gt;1,"Trừ 1/2 ngày lương",50000))))</f>
        <v/>
      </c>
      <c r="AH86" s="14" t="str">
        <f>IF(AF86=0,"",IF(COUNTIFS($AF$3:AF86,"&gt;0",$S$3:S86,S86)&gt;3,"Trừ toàn bộ chuyên cần tháng",""))</f>
        <v/>
      </c>
      <c r="AI86" s="14"/>
      <c r="AJ86" s="14"/>
    </row>
    <row r="87" spans="1:36" x14ac:dyDescent="0.25">
      <c r="A87" s="4" t="s">
        <v>177</v>
      </c>
      <c r="B87" s="1" t="s">
        <v>178</v>
      </c>
      <c r="C87" s="1" t="s">
        <v>19</v>
      </c>
      <c r="D87" s="1" t="s">
        <v>56</v>
      </c>
      <c r="E87" s="1" t="s">
        <v>21</v>
      </c>
      <c r="F87" s="1" t="s">
        <v>22</v>
      </c>
      <c r="G87" s="1" t="s">
        <v>10</v>
      </c>
      <c r="H87" s="12" t="s">
        <v>233</v>
      </c>
      <c r="I87" s="1" t="s">
        <v>234</v>
      </c>
      <c r="J87" s="1" t="s">
        <v>135</v>
      </c>
      <c r="K87" s="1" t="s">
        <v>235</v>
      </c>
      <c r="L87" s="1" t="s">
        <v>24</v>
      </c>
      <c r="M87" s="1" t="s">
        <v>25</v>
      </c>
      <c r="N87" s="1" t="s">
        <v>24</v>
      </c>
      <c r="O87" s="1" t="s">
        <v>106</v>
      </c>
      <c r="P87" s="1" t="s">
        <v>24</v>
      </c>
      <c r="Q87" s="1" t="s">
        <v>24</v>
      </c>
      <c r="R87" s="75" t="str">
        <f t="shared" si="9"/>
        <v>3745925</v>
      </c>
      <c r="S87" t="str">
        <f>VLOOKUP(A87,Data_NV!$A:$C,3,0)</f>
        <v>Trần Bảo Trâm</v>
      </c>
      <c r="T87" t="str">
        <f>VLOOKUP(A87,Data_NV!$A:$E,4,0)</f>
        <v>Kinh doanh</v>
      </c>
      <c r="U87" s="72">
        <f>DATEVALUE(Table2[[#This Row],[Ngày]])</f>
        <v>45925</v>
      </c>
      <c r="V87" t="str">
        <f>VLOOKUP(A87,Data_NV!$A:$E,5,0)</f>
        <v>Đang làm việc</v>
      </c>
      <c r="W87" s="11">
        <f>VLOOKUP(A87,Data_NV!$A:$I,8,0)</f>
        <v>0.33333333333333331</v>
      </c>
      <c r="X87" s="11">
        <f>VLOOKUP(A87,Data_NV!$A:$I,9,0)</f>
        <v>0.70833333333333337</v>
      </c>
      <c r="Y87" s="11">
        <f>IFERROR(TIMEVALUE(Table2[[#This Row],[Vào]]),0)</f>
        <v>0.33377314814814812</v>
      </c>
      <c r="Z87" s="11">
        <f>IFERROR(TIMEVALUE(Table2[[#This Row],[Ra]]),0)</f>
        <v>0.78197916666666667</v>
      </c>
      <c r="AA87" t="str">
        <f t="shared" si="12"/>
        <v>x</v>
      </c>
      <c r="AB87" s="14">
        <f t="shared" si="10"/>
        <v>0</v>
      </c>
      <c r="AC87" s="14" t="str">
        <f>IF(VLOOKUP(A87,Data_NV!$A:$I,7,0)="Không","",IF(OR(AND(Y87=0,Z87=0),AND(Y87&lt;&gt;0,Z87&lt;&gt;0)),"","Quên chấm công"))</f>
        <v/>
      </c>
      <c r="AD87" s="14">
        <f>IF(VLOOKUP(A87,Data_NV!$A:$I,7,0)="Không",0,IF(AND(Y87=0,Z87=0),0,IF(X87&lt;=Z87,0,ROUNDDOWN((X87-Z87)*24*60,0))))</f>
        <v>0</v>
      </c>
      <c r="AE87" s="14">
        <f>IF(VLOOKUP(A87,Data_NV!$A:$I,6,0)="Không",0,IF(Z87&lt;=X87,0,ROUNDDOWN((Z87-X87)*24*60,0)))</f>
        <v>106</v>
      </c>
      <c r="AF87" s="29">
        <f t="shared" si="11"/>
        <v>0</v>
      </c>
      <c r="AG87" s="30" t="str">
        <f>IF(AC87="","",IF(COUNTIFS($AC$3:AC87,"Quên chấm công",$S$3:S87,S87)&gt;3,"Không chấm công do vi phạm quá 3 lần",IF(COUNTIFS($AC$3:AC87,"Quên chấm công",$S$3:S87,S87)&gt;2,"Trừ toàn bộ chuyên cần tháng do vi phạm lần 3",IF(COUNTIFS($AC$3:AC87,"Quên chấm công",$S$3:S87,S87)&gt;1,"Trừ 1/2 ngày lương",50000))))</f>
        <v/>
      </c>
      <c r="AH87" s="14" t="str">
        <f>IF(AF87=0,"",IF(COUNTIFS($AF$3:AF87,"&gt;0",$S$3:S87,S87)&gt;3,"Trừ toàn bộ chuyên cần tháng",""))</f>
        <v/>
      </c>
      <c r="AI87" s="14"/>
      <c r="AJ87" s="14"/>
    </row>
    <row r="88" spans="1:36" x14ac:dyDescent="0.25">
      <c r="A88" s="4" t="s">
        <v>177</v>
      </c>
      <c r="B88" s="1" t="s">
        <v>178</v>
      </c>
      <c r="C88" s="1" t="s">
        <v>19</v>
      </c>
      <c r="D88" s="1" t="s">
        <v>57</v>
      </c>
      <c r="E88" s="1" t="s">
        <v>21</v>
      </c>
      <c r="F88" s="1" t="s">
        <v>22</v>
      </c>
      <c r="G88" s="1" t="s">
        <v>10</v>
      </c>
      <c r="H88" s="12" t="s">
        <v>236</v>
      </c>
      <c r="I88" s="1" t="s">
        <v>237</v>
      </c>
      <c r="J88" s="1" t="s">
        <v>181</v>
      </c>
      <c r="K88" s="1" t="s">
        <v>238</v>
      </c>
      <c r="L88" s="1" t="s">
        <v>24</v>
      </c>
      <c r="M88" s="1" t="s">
        <v>25</v>
      </c>
      <c r="N88" s="1" t="s">
        <v>24</v>
      </c>
      <c r="O88" s="1" t="s">
        <v>165</v>
      </c>
      <c r="P88" s="1" t="s">
        <v>24</v>
      </c>
      <c r="Q88" s="1" t="s">
        <v>24</v>
      </c>
      <c r="R88" s="75" t="str">
        <f t="shared" si="9"/>
        <v>3745926</v>
      </c>
      <c r="S88" t="str">
        <f>VLOOKUP(A88,Data_NV!$A:$C,3,0)</f>
        <v>Trần Bảo Trâm</v>
      </c>
      <c r="T88" t="str">
        <f>VLOOKUP(A88,Data_NV!$A:$E,4,0)</f>
        <v>Kinh doanh</v>
      </c>
      <c r="U88" s="72">
        <f>DATEVALUE(Table2[[#This Row],[Ngày]])</f>
        <v>45926</v>
      </c>
      <c r="V88" t="str">
        <f>VLOOKUP(A88,Data_NV!$A:$E,5,0)</f>
        <v>Đang làm việc</v>
      </c>
      <c r="W88" s="11">
        <f>VLOOKUP(A88,Data_NV!$A:$I,8,0)</f>
        <v>0.33333333333333331</v>
      </c>
      <c r="X88" s="11">
        <f>VLOOKUP(A88,Data_NV!$A:$I,9,0)</f>
        <v>0.70833333333333337</v>
      </c>
      <c r="Y88" s="11">
        <f>IFERROR(TIMEVALUE(Table2[[#This Row],[Vào]]),0)</f>
        <v>0.33684027777777775</v>
      </c>
      <c r="Z88" s="11">
        <f>IFERROR(TIMEVALUE(Table2[[#This Row],[Ra]]),0)</f>
        <v>0.72394675925925922</v>
      </c>
      <c r="AA88" t="str">
        <f t="shared" si="12"/>
        <v>x</v>
      </c>
      <c r="AB88" s="14">
        <f t="shared" si="10"/>
        <v>5</v>
      </c>
      <c r="AC88" s="14" t="str">
        <f>IF(VLOOKUP(A88,Data_NV!$A:$I,7,0)="Không","",IF(OR(AND(Y88=0,Z88=0),AND(Y88&lt;&gt;0,Z88&lt;&gt;0)),"","Quên chấm công"))</f>
        <v/>
      </c>
      <c r="AD88" s="14">
        <f>IF(VLOOKUP(A88,Data_NV!$A:$I,7,0)="Không",0,IF(AND(Y88=0,Z88=0),0,IF(X88&lt;=Z88,0,ROUNDDOWN((X88-Z88)*24*60,0))))</f>
        <v>0</v>
      </c>
      <c r="AE88" s="14">
        <f>IF(VLOOKUP(A88,Data_NV!$A:$I,6,0)="Không",0,IF(Z88&lt;=X88,0,ROUNDDOWN((Z88-X88)*24*60,0)))</f>
        <v>22</v>
      </c>
      <c r="AF88" s="29">
        <f t="shared" si="11"/>
        <v>0</v>
      </c>
      <c r="AG88" s="30" t="str">
        <f>IF(AC88="","",IF(COUNTIFS($AC$3:AC88,"Quên chấm công",$S$3:S88,S88)&gt;3,"Không chấm công do vi phạm quá 3 lần",IF(COUNTIFS($AC$3:AC88,"Quên chấm công",$S$3:S88,S88)&gt;2,"Trừ toàn bộ chuyên cần tháng do vi phạm lần 3",IF(COUNTIFS($AC$3:AC88,"Quên chấm công",$S$3:S88,S88)&gt;1,"Trừ 1/2 ngày lương",50000))))</f>
        <v/>
      </c>
      <c r="AH88" s="14" t="str">
        <f>IF(AF88=0,"",IF(COUNTIFS($AF$3:AF88,"&gt;0",$S$3:S88,S88)&gt;3,"Trừ toàn bộ chuyên cần tháng",""))</f>
        <v/>
      </c>
      <c r="AI88" s="14"/>
      <c r="AJ88" s="14"/>
    </row>
    <row r="89" spans="1:36" x14ac:dyDescent="0.25">
      <c r="A89" s="4" t="s">
        <v>177</v>
      </c>
      <c r="B89" s="1" t="s">
        <v>178</v>
      </c>
      <c r="C89" s="1" t="s">
        <v>19</v>
      </c>
      <c r="D89" s="1" t="s">
        <v>58</v>
      </c>
      <c r="E89" s="1" t="s">
        <v>21</v>
      </c>
      <c r="F89" s="1" t="s">
        <v>22</v>
      </c>
      <c r="G89" s="1" t="s">
        <v>10</v>
      </c>
      <c r="H89" s="12" t="s">
        <v>239</v>
      </c>
      <c r="I89" s="1" t="s">
        <v>240</v>
      </c>
      <c r="J89" s="1" t="s">
        <v>190</v>
      </c>
      <c r="K89" s="1" t="s">
        <v>110</v>
      </c>
      <c r="L89" s="1" t="s">
        <v>24</v>
      </c>
      <c r="M89" s="1" t="s">
        <v>25</v>
      </c>
      <c r="N89" s="1" t="s">
        <v>24</v>
      </c>
      <c r="O89" s="1" t="s">
        <v>241</v>
      </c>
      <c r="P89" s="1" t="s">
        <v>24</v>
      </c>
      <c r="Q89" s="1" t="s">
        <v>24</v>
      </c>
      <c r="R89" s="75" t="str">
        <f t="shared" si="9"/>
        <v>3745927</v>
      </c>
      <c r="S89" t="str">
        <f>VLOOKUP(A89,Data_NV!$A:$C,3,0)</f>
        <v>Trần Bảo Trâm</v>
      </c>
      <c r="T89" t="str">
        <f>VLOOKUP(A89,Data_NV!$A:$E,4,0)</f>
        <v>Kinh doanh</v>
      </c>
      <c r="U89" s="72">
        <f>DATEVALUE(Table2[[#This Row],[Ngày]])</f>
        <v>45927</v>
      </c>
      <c r="V89" t="str">
        <f>VLOOKUP(A89,Data_NV!$A:$E,5,0)</f>
        <v>Đang làm việc</v>
      </c>
      <c r="W89" s="11">
        <f>VLOOKUP(A89,Data_NV!$A:$I,8,0)</f>
        <v>0.33333333333333331</v>
      </c>
      <c r="X89" s="11">
        <f>VLOOKUP(A89,Data_NV!$A:$I,9,0)</f>
        <v>0.70833333333333337</v>
      </c>
      <c r="Y89" s="11">
        <f>IFERROR(TIMEVALUE(Table2[[#This Row],[Vào]]),0)</f>
        <v>0.33513888888888888</v>
      </c>
      <c r="Z89" s="11">
        <f>IFERROR(TIMEVALUE(Table2[[#This Row],[Ra]]),0)</f>
        <v>0.74918981481481484</v>
      </c>
      <c r="AA89" t="str">
        <f t="shared" si="12"/>
        <v>x</v>
      </c>
      <c r="AB89" s="14">
        <f t="shared" si="10"/>
        <v>2</v>
      </c>
      <c r="AC89" s="14" t="str">
        <f>IF(VLOOKUP(A89,Data_NV!$A:$I,7,0)="Không","",IF(OR(AND(Y89=0,Z89=0),AND(Y89&lt;&gt;0,Z89&lt;&gt;0)),"","Quên chấm công"))</f>
        <v/>
      </c>
      <c r="AD89" s="14">
        <f>IF(VLOOKUP(A89,Data_NV!$A:$I,7,0)="Không",0,IF(AND(Y89=0,Z89=0),0,IF(X89&lt;=Z89,0,ROUNDDOWN((X89-Z89)*24*60,0))))</f>
        <v>0</v>
      </c>
      <c r="AE89" s="14">
        <f>IF(VLOOKUP(A89,Data_NV!$A:$I,6,0)="Không",0,IF(Z89&lt;=X89,0,ROUNDDOWN((Z89-X89)*24*60,0)))</f>
        <v>58</v>
      </c>
      <c r="AF89" s="29">
        <f t="shared" si="11"/>
        <v>0</v>
      </c>
      <c r="AG89" s="30" t="str">
        <f>IF(AC89="","",IF(COUNTIFS($AC$3:AC89,"Quên chấm công",$S$3:S89,S89)&gt;3,"Không chấm công do vi phạm quá 3 lần",IF(COUNTIFS($AC$3:AC89,"Quên chấm công",$S$3:S89,S89)&gt;2,"Trừ toàn bộ chuyên cần tháng do vi phạm lần 3",IF(COUNTIFS($AC$3:AC89,"Quên chấm công",$S$3:S89,S89)&gt;1,"Trừ 1/2 ngày lương",50000))))</f>
        <v/>
      </c>
      <c r="AH89" s="14" t="str">
        <f>IF(AF89=0,"",IF(COUNTIFS($AF$3:AF89,"&gt;0",$S$3:S89,S89)&gt;3,"Trừ toàn bộ chuyên cần tháng",""))</f>
        <v/>
      </c>
      <c r="AI89" s="14"/>
      <c r="AJ89" s="14"/>
    </row>
    <row r="90" spans="1:36" x14ac:dyDescent="0.25">
      <c r="A90" s="4" t="s">
        <v>177</v>
      </c>
      <c r="B90" s="1" t="s">
        <v>178</v>
      </c>
      <c r="C90" s="1" t="s">
        <v>19</v>
      </c>
      <c r="D90" s="1" t="s">
        <v>59</v>
      </c>
      <c r="E90" s="1" t="s">
        <v>21</v>
      </c>
      <c r="F90" s="1" t="s">
        <v>22</v>
      </c>
      <c r="G90" s="1" t="s">
        <v>12</v>
      </c>
      <c r="H90" s="12" t="s">
        <v>23</v>
      </c>
      <c r="I90" s="1" t="s">
        <v>23</v>
      </c>
      <c r="J90" s="1" t="s">
        <v>24</v>
      </c>
      <c r="K90" s="1" t="s">
        <v>24</v>
      </c>
      <c r="L90" s="1" t="s">
        <v>25</v>
      </c>
      <c r="M90" s="1" t="s">
        <v>24</v>
      </c>
      <c r="N90" s="1" t="s">
        <v>24</v>
      </c>
      <c r="O90" s="1" t="s">
        <v>24</v>
      </c>
      <c r="P90" s="1" t="s">
        <v>24</v>
      </c>
      <c r="Q90" s="1" t="s">
        <v>24</v>
      </c>
      <c r="R90" s="75" t="str">
        <f t="shared" si="9"/>
        <v>3745928</v>
      </c>
      <c r="S90" t="str">
        <f>VLOOKUP(A90,Data_NV!$A:$C,3,0)</f>
        <v>Trần Bảo Trâm</v>
      </c>
      <c r="T90" t="str">
        <f>VLOOKUP(A90,Data_NV!$A:$E,4,0)</f>
        <v>Kinh doanh</v>
      </c>
      <c r="U90" s="72">
        <f>DATEVALUE(Table2[[#This Row],[Ngày]])</f>
        <v>45928</v>
      </c>
      <c r="V90" t="str">
        <f>VLOOKUP(A90,Data_NV!$A:$E,5,0)</f>
        <v>Đang làm việc</v>
      </c>
      <c r="W90" s="11">
        <f>VLOOKUP(A90,Data_NV!$A:$I,8,0)</f>
        <v>0.33333333333333331</v>
      </c>
      <c r="X90" s="11">
        <f>VLOOKUP(A90,Data_NV!$A:$I,9,0)</f>
        <v>0.70833333333333337</v>
      </c>
      <c r="Y90" s="11">
        <f>IFERROR(TIMEVALUE(Table2[[#This Row],[Vào]]),0)</f>
        <v>0</v>
      </c>
      <c r="Z90" s="11">
        <f>IFERROR(TIMEVALUE(Table2[[#This Row],[Ra]]),0)</f>
        <v>0</v>
      </c>
      <c r="AA90" t="str">
        <f t="shared" si="12"/>
        <v/>
      </c>
      <c r="AB90" s="14">
        <f t="shared" si="10"/>
        <v>0</v>
      </c>
      <c r="AC90" s="14" t="str">
        <f>IF(VLOOKUP(A90,Data_NV!$A:$I,7,0)="Không","",IF(OR(AND(Y90=0,Z90=0),AND(Y90&lt;&gt;0,Z90&lt;&gt;0)),"","Quên chấm công"))</f>
        <v/>
      </c>
      <c r="AD90" s="14">
        <f>IF(VLOOKUP(A90,Data_NV!$A:$I,7,0)="Không",0,IF(AND(Y90=0,Z90=0),0,IF(X90&lt;=Z90,0,ROUNDDOWN((X90-Z90)*24*60,0))))</f>
        <v>0</v>
      </c>
      <c r="AE90" s="14">
        <f>IF(VLOOKUP(A90,Data_NV!$A:$I,6,0)="Không",0,IF(Z90&lt;=X90,0,ROUNDDOWN((Z90-X90)*24*60,0)))</f>
        <v>0</v>
      </c>
      <c r="AF90" s="29">
        <f t="shared" si="11"/>
        <v>0</v>
      </c>
      <c r="AG90" s="30" t="str">
        <f>IF(AC90="","",IF(COUNTIFS($AC$3:AC90,"Quên chấm công",$S$3:S90,S90)&gt;3,"Không chấm công do vi phạm quá 3 lần",IF(COUNTIFS($AC$3:AC90,"Quên chấm công",$S$3:S90,S90)&gt;2,"Trừ toàn bộ chuyên cần tháng do vi phạm lần 3",IF(COUNTIFS($AC$3:AC90,"Quên chấm công",$S$3:S90,S90)&gt;1,"Trừ 1/2 ngày lương",50000))))</f>
        <v/>
      </c>
      <c r="AH90" s="14" t="str">
        <f>IF(AF90=0,"",IF(COUNTIFS($AF$3:AF90,"&gt;0",$S$3:S90,S90)&gt;3,"Trừ toàn bộ chuyên cần tháng",""))</f>
        <v/>
      </c>
      <c r="AI90" s="14"/>
      <c r="AJ90" s="14"/>
    </row>
    <row r="91" spans="1:36" x14ac:dyDescent="0.25">
      <c r="A91" s="4" t="s">
        <v>177</v>
      </c>
      <c r="B91" s="1" t="s">
        <v>178</v>
      </c>
      <c r="C91" s="1" t="s">
        <v>19</v>
      </c>
      <c r="D91" s="1" t="s">
        <v>60</v>
      </c>
      <c r="E91" s="1" t="s">
        <v>21</v>
      </c>
      <c r="F91" s="1" t="s">
        <v>22</v>
      </c>
      <c r="G91" s="1" t="s">
        <v>28</v>
      </c>
      <c r="H91" s="12" t="s">
        <v>242</v>
      </c>
      <c r="I91" s="1" t="s">
        <v>243</v>
      </c>
      <c r="J91" s="1" t="s">
        <v>24</v>
      </c>
      <c r="K91" s="1" t="s">
        <v>244</v>
      </c>
      <c r="L91" s="1" t="s">
        <v>24</v>
      </c>
      <c r="M91" s="1" t="s">
        <v>25</v>
      </c>
      <c r="N91" s="1" t="s">
        <v>24</v>
      </c>
      <c r="O91" s="1" t="s">
        <v>245</v>
      </c>
      <c r="P91" s="1" t="s">
        <v>24</v>
      </c>
      <c r="Q91" s="1" t="s">
        <v>24</v>
      </c>
      <c r="R91" s="75" t="str">
        <f t="shared" si="9"/>
        <v>3745929</v>
      </c>
      <c r="S91" t="str">
        <f>VLOOKUP(A91,Data_NV!$A:$C,3,0)</f>
        <v>Trần Bảo Trâm</v>
      </c>
      <c r="T91" t="str">
        <f>VLOOKUP(A91,Data_NV!$A:$E,4,0)</f>
        <v>Kinh doanh</v>
      </c>
      <c r="U91" s="72">
        <f>DATEVALUE(Table2[[#This Row],[Ngày]])</f>
        <v>45929</v>
      </c>
      <c r="V91" t="str">
        <f>VLOOKUP(A91,Data_NV!$A:$E,5,0)</f>
        <v>Đang làm việc</v>
      </c>
      <c r="W91" s="11">
        <f>VLOOKUP(A91,Data_NV!$A:$I,8,0)</f>
        <v>0.33333333333333331</v>
      </c>
      <c r="X91" s="11">
        <f>VLOOKUP(A91,Data_NV!$A:$I,9,0)</f>
        <v>0.70833333333333337</v>
      </c>
      <c r="Y91" s="11">
        <f>IFERROR(TIMEVALUE(Table2[[#This Row],[Vào]]),0)</f>
        <v>0.32884259259259258</v>
      </c>
      <c r="Z91" s="11">
        <f>IFERROR(TIMEVALUE(Table2[[#This Row],[Ra]]),0)</f>
        <v>0.76164351851851853</v>
      </c>
      <c r="AA91" t="str">
        <f t="shared" si="12"/>
        <v>x</v>
      </c>
      <c r="AB91" s="14">
        <f t="shared" si="10"/>
        <v>0</v>
      </c>
      <c r="AC91" s="14" t="str">
        <f>IF(VLOOKUP(A91,Data_NV!$A:$I,7,0)="Không","",IF(OR(AND(Y91=0,Z91=0),AND(Y91&lt;&gt;0,Z91&lt;&gt;0)),"","Quên chấm công"))</f>
        <v/>
      </c>
      <c r="AD91" s="14">
        <f>IF(VLOOKUP(A91,Data_NV!$A:$I,7,0)="Không",0,IF(AND(Y91=0,Z91=0),0,IF(X91&lt;=Z91,0,ROUNDDOWN((X91-Z91)*24*60,0))))</f>
        <v>0</v>
      </c>
      <c r="AE91" s="14">
        <f>IF(VLOOKUP(A91,Data_NV!$A:$I,6,0)="Không",0,IF(Z91&lt;=X91,0,ROUNDDOWN((Z91-X91)*24*60,0)))</f>
        <v>76</v>
      </c>
      <c r="AF91" s="29">
        <f t="shared" si="11"/>
        <v>0</v>
      </c>
      <c r="AG91" s="30" t="str">
        <f>IF(AC91="","",IF(COUNTIFS($AC$3:AC91,"Quên chấm công",$S$3:S91,S91)&gt;3,"Không chấm công do vi phạm quá 3 lần",IF(COUNTIFS($AC$3:AC91,"Quên chấm công",$S$3:S91,S91)&gt;2,"Trừ toàn bộ chuyên cần tháng do vi phạm lần 3",IF(COUNTIFS($AC$3:AC91,"Quên chấm công",$S$3:S91,S91)&gt;1,"Trừ 1/2 ngày lương",50000))))</f>
        <v/>
      </c>
      <c r="AH91" s="14" t="str">
        <f>IF(AF91=0,"",IF(COUNTIFS($AF$3:AF91,"&gt;0",$S$3:S91,S91)&gt;3,"Trừ toàn bộ chuyên cần tháng",""))</f>
        <v/>
      </c>
      <c r="AI91" s="14"/>
      <c r="AJ91" s="14"/>
    </row>
    <row r="92" spans="1:36" x14ac:dyDescent="0.25">
      <c r="A92" s="4" t="s">
        <v>177</v>
      </c>
      <c r="B92" s="1" t="s">
        <v>178</v>
      </c>
      <c r="C92" s="1" t="s">
        <v>19</v>
      </c>
      <c r="D92" s="1" t="s">
        <v>61</v>
      </c>
      <c r="E92" s="1" t="s">
        <v>21</v>
      </c>
      <c r="F92" s="1" t="s">
        <v>22</v>
      </c>
      <c r="G92" s="1" t="s">
        <v>246</v>
      </c>
      <c r="H92" s="12" t="s">
        <v>247</v>
      </c>
      <c r="I92" s="1" t="s">
        <v>248</v>
      </c>
      <c r="J92" s="1" t="s">
        <v>198</v>
      </c>
      <c r="K92" s="1" t="s">
        <v>166</v>
      </c>
      <c r="L92" s="1" t="s">
        <v>167</v>
      </c>
      <c r="M92" s="1" t="s">
        <v>166</v>
      </c>
      <c r="N92" s="1" t="s">
        <v>24</v>
      </c>
      <c r="O92" s="1" t="s">
        <v>24</v>
      </c>
      <c r="P92" s="1" t="s">
        <v>24</v>
      </c>
      <c r="Q92" s="1" t="s">
        <v>24</v>
      </c>
      <c r="R92" s="75" t="str">
        <f t="shared" si="9"/>
        <v>3745930</v>
      </c>
      <c r="S92" t="str">
        <f>VLOOKUP(A92,Data_NV!$A:$C,3,0)</f>
        <v>Trần Bảo Trâm</v>
      </c>
      <c r="T92" t="str">
        <f>VLOOKUP(A92,Data_NV!$A:$E,4,0)</f>
        <v>Kinh doanh</v>
      </c>
      <c r="U92" s="72">
        <f>DATEVALUE(Table2[[#This Row],[Ngày]])</f>
        <v>45930</v>
      </c>
      <c r="V92" t="str">
        <f>VLOOKUP(A92,Data_NV!$A:$E,5,0)</f>
        <v>Đang làm việc</v>
      </c>
      <c r="W92" s="11">
        <f>VLOOKUP(A92,Data_NV!$A:$I,8,0)</f>
        <v>0.33333333333333331</v>
      </c>
      <c r="X92" s="11">
        <f>VLOOKUP(A92,Data_NV!$A:$I,9,0)</f>
        <v>0.70833333333333337</v>
      </c>
      <c r="Y92" s="11">
        <f>IFERROR(TIMEVALUE(Table2[[#This Row],[Vào]]),0)</f>
        <v>0.33913194444444444</v>
      </c>
      <c r="Z92" s="11">
        <f>IFERROR(TIMEVALUE(Table2[[#This Row],[Ra]]),0)</f>
        <v>0.70577546296296301</v>
      </c>
      <c r="AA92" t="str">
        <f t="shared" si="12"/>
        <v>x</v>
      </c>
      <c r="AB92" s="14">
        <f t="shared" si="10"/>
        <v>8</v>
      </c>
      <c r="AC92" s="14" t="str">
        <f>IF(VLOOKUP(A92,Data_NV!$A:$I,7,0)="Không","",IF(OR(AND(Y92=0,Z92=0),AND(Y92&lt;&gt;0,Z92&lt;&gt;0)),"","Quên chấm công"))</f>
        <v/>
      </c>
      <c r="AD92" s="14">
        <f>IF(VLOOKUP(A92,Data_NV!$A:$I,7,0)="Không",0,IF(AND(Y92=0,Z92=0),0,IF(X92&lt;=Z92,0,ROUNDDOWN((X92-Z92)*24*60,0))))</f>
        <v>3</v>
      </c>
      <c r="AE92" s="14">
        <f>IF(VLOOKUP(A92,Data_NV!$A:$I,6,0)="Không",0,IF(Z92&lt;=X92,0,ROUNDDOWN((Z92-X92)*24*60,0)))</f>
        <v>0</v>
      </c>
      <c r="AF92" s="29">
        <f t="shared" si="11"/>
        <v>30000</v>
      </c>
      <c r="AG92" s="30" t="str">
        <f>IF(AC92="","",IF(COUNTIFS($AC$3:AC92,"Quên chấm công",$S$3:S92,S92)&gt;3,"Không chấm công do vi phạm quá 3 lần",IF(COUNTIFS($AC$3:AC92,"Quên chấm công",$S$3:S92,S92)&gt;2,"Trừ toàn bộ chuyên cần tháng do vi phạm lần 3",IF(COUNTIFS($AC$3:AC92,"Quên chấm công",$S$3:S92,S92)&gt;1,"Trừ 1/2 ngày lương",50000))))</f>
        <v/>
      </c>
      <c r="AH92" s="14" t="str">
        <f>IF(AF92=0,"",IF(COUNTIFS($AF$3:AF92,"&gt;0",$S$3:S92,S92)&gt;3,"Trừ toàn bộ chuyên cần tháng",""))</f>
        <v/>
      </c>
      <c r="AI92" s="14"/>
      <c r="AJ92" s="14"/>
    </row>
    <row r="93" spans="1:36" x14ac:dyDescent="0.25">
      <c r="A93" s="4" t="s">
        <v>249</v>
      </c>
      <c r="B93" s="1" t="s">
        <v>176</v>
      </c>
      <c r="C93" s="1" t="s">
        <v>19</v>
      </c>
      <c r="D93" s="1" t="s">
        <v>20</v>
      </c>
      <c r="E93" s="1" t="s">
        <v>21</v>
      </c>
      <c r="F93" s="1" t="s">
        <v>22</v>
      </c>
      <c r="G93" s="1" t="s">
        <v>12</v>
      </c>
      <c r="H93" s="12" t="s">
        <v>23</v>
      </c>
      <c r="I93" s="1" t="s">
        <v>23</v>
      </c>
      <c r="J93" s="1" t="s">
        <v>24</v>
      </c>
      <c r="K93" s="1" t="s">
        <v>24</v>
      </c>
      <c r="L93" s="1" t="s">
        <v>25</v>
      </c>
      <c r="M93" s="1" t="s">
        <v>24</v>
      </c>
      <c r="N93" s="1" t="s">
        <v>24</v>
      </c>
      <c r="O93" s="1" t="s">
        <v>24</v>
      </c>
      <c r="P93" s="1" t="s">
        <v>24</v>
      </c>
      <c r="Q93" s="1" t="s">
        <v>24</v>
      </c>
      <c r="R93" s="75" t="str">
        <f t="shared" si="9"/>
        <v>3845901</v>
      </c>
      <c r="S93" t="str">
        <f>VLOOKUP(A93,Data_NV!$A:$C,3,0)</f>
        <v>Nguyễn Quốc Thái</v>
      </c>
      <c r="T93" t="str">
        <f>VLOOKUP(A93,Data_NV!$A:$E,4,0)</f>
        <v>Kinh doanh</v>
      </c>
      <c r="U93" s="72">
        <f>DATEVALUE(Table2[[#This Row],[Ngày]])</f>
        <v>45901</v>
      </c>
      <c r="V93" t="str">
        <f>VLOOKUP(A93,Data_NV!$A:$E,5,0)</f>
        <v>Đang làm việc</v>
      </c>
      <c r="W93" s="11">
        <f>VLOOKUP(A93,Data_NV!$A:$I,8,0)</f>
        <v>0.33333333333333331</v>
      </c>
      <c r="X93" s="11">
        <f>VLOOKUP(A93,Data_NV!$A:$I,9,0)</f>
        <v>0.70833333333333337</v>
      </c>
      <c r="Y93" s="11">
        <f>IFERROR(TIMEVALUE(Table2[[#This Row],[Vào]]),0)</f>
        <v>0</v>
      </c>
      <c r="Z93" s="11">
        <f>IFERROR(TIMEVALUE(Table2[[#This Row],[Ra]]),0)</f>
        <v>0</v>
      </c>
      <c r="AA93" s="10" t="s">
        <v>508</v>
      </c>
      <c r="AB93" s="14">
        <f t="shared" si="10"/>
        <v>0</v>
      </c>
      <c r="AC93" s="14" t="str">
        <f>IF(VLOOKUP(A93,Data_NV!$A:$I,7,0)="Không","",IF(OR(AND(Y93=0,Z93=0),AND(Y93&lt;&gt;0,Z93&lt;&gt;0)),"","Quên chấm công"))</f>
        <v/>
      </c>
      <c r="AD93" s="14">
        <f>IF(VLOOKUP(A93,Data_NV!$A:$I,7,0)="Không",0,IF(AND(Y93=0,Z93=0),0,IF(X93&lt;=Z93,0,ROUNDDOWN((X93-Z93)*24*60,0))))</f>
        <v>0</v>
      </c>
      <c r="AE93" s="14">
        <f>IF(VLOOKUP(A93,Data_NV!$A:$I,6,0)="Không",0,IF(Z93&lt;=X93,0,ROUNDDOWN((Z93-X93)*24*60,0)))</f>
        <v>0</v>
      </c>
      <c r="AF93" s="29">
        <f t="shared" si="11"/>
        <v>0</v>
      </c>
      <c r="AG93" s="30" t="str">
        <f>IF(AC93="","",IF(COUNTIFS($AC$3:AC93,"Quên chấm công",$S$3:S93,S93)&gt;3,"Không chấm công do vi phạm quá 3 lần",IF(COUNTIFS($AC$3:AC93,"Quên chấm công",$S$3:S93,S93)&gt;2,"Trừ toàn bộ chuyên cần tháng do vi phạm lần 3",IF(COUNTIFS($AC$3:AC93,"Quên chấm công",$S$3:S93,S93)&gt;1,"Trừ 1/2 ngày lương",50000))))</f>
        <v/>
      </c>
      <c r="AH93" s="14" t="str">
        <f>IF(AF93=0,"",IF(COUNTIFS($AF$3:AF93,"&gt;0",$S$3:S93,S93)&gt;3,"Trừ toàn bộ chuyên cần tháng",""))</f>
        <v/>
      </c>
      <c r="AI93" s="14"/>
      <c r="AJ93" s="14"/>
    </row>
    <row r="94" spans="1:36" x14ac:dyDescent="0.25">
      <c r="A94" s="4" t="s">
        <v>249</v>
      </c>
      <c r="B94" s="1" t="s">
        <v>176</v>
      </c>
      <c r="C94" s="1" t="s">
        <v>19</v>
      </c>
      <c r="D94" s="1" t="s">
        <v>26</v>
      </c>
      <c r="E94" s="1" t="s">
        <v>21</v>
      </c>
      <c r="F94" s="1" t="s">
        <v>22</v>
      </c>
      <c r="G94" s="1" t="s">
        <v>12</v>
      </c>
      <c r="H94" s="12" t="s">
        <v>23</v>
      </c>
      <c r="I94" s="1" t="s">
        <v>23</v>
      </c>
      <c r="J94" s="1" t="s">
        <v>24</v>
      </c>
      <c r="K94" s="1" t="s">
        <v>24</v>
      </c>
      <c r="L94" s="1" t="s">
        <v>25</v>
      </c>
      <c r="M94" s="1" t="s">
        <v>24</v>
      </c>
      <c r="N94" s="1" t="s">
        <v>24</v>
      </c>
      <c r="O94" s="1" t="s">
        <v>24</v>
      </c>
      <c r="P94" s="1" t="s">
        <v>24</v>
      </c>
      <c r="Q94" s="1" t="s">
        <v>24</v>
      </c>
      <c r="R94" s="75" t="str">
        <f t="shared" si="9"/>
        <v>3845902</v>
      </c>
      <c r="S94" t="str">
        <f>VLOOKUP(A94,Data_NV!$A:$C,3,0)</f>
        <v>Nguyễn Quốc Thái</v>
      </c>
      <c r="T94" t="str">
        <f>VLOOKUP(A94,Data_NV!$A:$E,4,0)</f>
        <v>Kinh doanh</v>
      </c>
      <c r="U94" s="72">
        <f>DATEVALUE(Table2[[#This Row],[Ngày]])</f>
        <v>45902</v>
      </c>
      <c r="V94" t="str">
        <f>VLOOKUP(A94,Data_NV!$A:$E,5,0)</f>
        <v>Đang làm việc</v>
      </c>
      <c r="W94" s="11">
        <f>VLOOKUP(A94,Data_NV!$A:$I,8,0)</f>
        <v>0.33333333333333331</v>
      </c>
      <c r="X94" s="11">
        <f>VLOOKUP(A94,Data_NV!$A:$I,9,0)</f>
        <v>0.70833333333333337</v>
      </c>
      <c r="Y94" s="11">
        <f>IFERROR(TIMEVALUE(Table2[[#This Row],[Vào]]),0)</f>
        <v>0</v>
      </c>
      <c r="Z94" s="11">
        <f>IFERROR(TIMEVALUE(Table2[[#This Row],[Ra]]),0)</f>
        <v>0</v>
      </c>
      <c r="AA94" s="10" t="s">
        <v>508</v>
      </c>
      <c r="AB94" s="14">
        <f t="shared" si="10"/>
        <v>0</v>
      </c>
      <c r="AC94" s="14" t="str">
        <f>IF(VLOOKUP(A94,Data_NV!$A:$I,7,0)="Không","",IF(OR(AND(Y94=0,Z94=0),AND(Y94&lt;&gt;0,Z94&lt;&gt;0)),"","Quên chấm công"))</f>
        <v/>
      </c>
      <c r="AD94" s="14">
        <f>IF(VLOOKUP(A94,Data_NV!$A:$I,7,0)="Không",0,IF(AND(Y94=0,Z94=0),0,IF(X94&lt;=Z94,0,ROUNDDOWN((X94-Z94)*24*60,0))))</f>
        <v>0</v>
      </c>
      <c r="AE94" s="14">
        <f>IF(VLOOKUP(A94,Data_NV!$A:$I,6,0)="Không",0,IF(Z94&lt;=X94,0,ROUNDDOWN((Z94-X94)*24*60,0)))</f>
        <v>0</v>
      </c>
      <c r="AF94" s="29">
        <f t="shared" si="11"/>
        <v>0</v>
      </c>
      <c r="AG94" s="30" t="str">
        <f>IF(AC94="","",IF(COUNTIFS($AC$3:AC94,"Quên chấm công",$S$3:S94,S94)&gt;3,"Không chấm công do vi phạm quá 3 lần",IF(COUNTIFS($AC$3:AC94,"Quên chấm công",$S$3:S94,S94)&gt;2,"Trừ toàn bộ chuyên cần tháng do vi phạm lần 3",IF(COUNTIFS($AC$3:AC94,"Quên chấm công",$S$3:S94,S94)&gt;1,"Trừ 1/2 ngày lương",50000))))</f>
        <v/>
      </c>
      <c r="AH94" s="14" t="str">
        <f>IF(AF94=0,"",IF(COUNTIFS($AF$3:AF94,"&gt;0",$S$3:S94,S94)&gt;3,"Trừ toàn bộ chuyên cần tháng",""))</f>
        <v/>
      </c>
      <c r="AI94" s="14"/>
      <c r="AJ94" s="14"/>
    </row>
    <row r="95" spans="1:36" x14ac:dyDescent="0.25">
      <c r="A95" s="4" t="s">
        <v>249</v>
      </c>
      <c r="B95" s="1" t="s">
        <v>176</v>
      </c>
      <c r="C95" s="1" t="s">
        <v>19</v>
      </c>
      <c r="D95" s="1" t="s">
        <v>27</v>
      </c>
      <c r="E95" s="1" t="s">
        <v>21</v>
      </c>
      <c r="F95" s="1" t="s">
        <v>22</v>
      </c>
      <c r="G95" s="1" t="s">
        <v>12</v>
      </c>
      <c r="H95" s="12" t="s">
        <v>250</v>
      </c>
      <c r="I95" s="1" t="s">
        <v>23</v>
      </c>
      <c r="J95" s="1" t="s">
        <v>24</v>
      </c>
      <c r="K95" s="1" t="s">
        <v>24</v>
      </c>
      <c r="L95" s="1" t="s">
        <v>25</v>
      </c>
      <c r="M95" s="1" t="s">
        <v>24</v>
      </c>
      <c r="N95" s="1" t="s">
        <v>24</v>
      </c>
      <c r="O95" s="1" t="s">
        <v>24</v>
      </c>
      <c r="P95" s="1" t="s">
        <v>24</v>
      </c>
      <c r="Q95" s="1" t="s">
        <v>24</v>
      </c>
      <c r="R95" s="75" t="str">
        <f t="shared" si="9"/>
        <v>3845903</v>
      </c>
      <c r="S95" t="str">
        <f>VLOOKUP(A95,Data_NV!$A:$C,3,0)</f>
        <v>Nguyễn Quốc Thái</v>
      </c>
      <c r="T95" t="str">
        <f>VLOOKUP(A95,Data_NV!$A:$E,4,0)</f>
        <v>Kinh doanh</v>
      </c>
      <c r="U95" s="72">
        <f>DATEVALUE(Table2[[#This Row],[Ngày]])</f>
        <v>45903</v>
      </c>
      <c r="V95" t="str">
        <f>VLOOKUP(A95,Data_NV!$A:$E,5,0)</f>
        <v>Đang làm việc</v>
      </c>
      <c r="W95" s="11">
        <f>VLOOKUP(A95,Data_NV!$A:$I,8,0)</f>
        <v>0.33333333333333331</v>
      </c>
      <c r="X95" s="11">
        <f>VLOOKUP(A95,Data_NV!$A:$I,9,0)</f>
        <v>0.70833333333333337</v>
      </c>
      <c r="Y95" s="11">
        <f>IFERROR(TIMEVALUE(Table2[[#This Row],[Vào]]),0)</f>
        <v>0.33082175925925927</v>
      </c>
      <c r="Z95" s="11">
        <f>IFERROR(TIMEVALUE(Table2[[#This Row],[Ra]]),0)</f>
        <v>0</v>
      </c>
      <c r="AA95" t="str">
        <f t="shared" si="12"/>
        <v>x</v>
      </c>
      <c r="AB95" s="14">
        <f t="shared" si="10"/>
        <v>0</v>
      </c>
      <c r="AC95" s="14" t="str">
        <f>IF(VLOOKUP(A95,Data_NV!$A:$I,7,0)="Không","",IF(OR(AND(Y95=0,Z95=0),AND(Y95&lt;&gt;0,Z95&lt;&gt;0)),"","Quên chấm công"))</f>
        <v/>
      </c>
      <c r="AD95" s="14">
        <f>IF(VLOOKUP(A95,Data_NV!$A:$I,7,0)="Không",0,IF(AND(Y95=0,Z95=0),0,IF(X95&lt;=Z95,0,ROUNDDOWN((X95-Z95)*24*60,0))))</f>
        <v>0</v>
      </c>
      <c r="AE95" s="14">
        <f>IF(VLOOKUP(A95,Data_NV!$A:$I,6,0)="Không",0,IF(Z95&lt;=X95,0,ROUNDDOWN((Z95-X95)*24*60,0)))</f>
        <v>0</v>
      </c>
      <c r="AF95" s="29">
        <f t="shared" si="11"/>
        <v>0</v>
      </c>
      <c r="AG95" s="30" t="str">
        <f>IF(AC95="","",IF(COUNTIFS($AC$3:AC95,"Quên chấm công",$S$3:S95,S95)&gt;3,"Không chấm công do vi phạm quá 3 lần",IF(COUNTIFS($AC$3:AC95,"Quên chấm công",$S$3:S95,S95)&gt;2,"Trừ toàn bộ chuyên cần tháng do vi phạm lần 3",IF(COUNTIFS($AC$3:AC95,"Quên chấm công",$S$3:S95,S95)&gt;1,"Trừ 1/2 ngày lương",50000))))</f>
        <v/>
      </c>
      <c r="AH95" s="14" t="str">
        <f>IF(AF95=0,"",IF(COUNTIFS($AF$3:AF95,"&gt;0",$S$3:S95,S95)&gt;3,"Trừ toàn bộ chuyên cần tháng",""))</f>
        <v/>
      </c>
      <c r="AI95" s="14"/>
      <c r="AJ95" s="14"/>
    </row>
    <row r="96" spans="1:36" x14ac:dyDescent="0.25">
      <c r="A96" s="4" t="s">
        <v>249</v>
      </c>
      <c r="B96" s="1" t="s">
        <v>176</v>
      </c>
      <c r="C96" s="1" t="s">
        <v>19</v>
      </c>
      <c r="D96" s="1" t="s">
        <v>31</v>
      </c>
      <c r="E96" s="1" t="s">
        <v>21</v>
      </c>
      <c r="F96" s="1" t="s">
        <v>22</v>
      </c>
      <c r="G96" s="1" t="s">
        <v>12</v>
      </c>
      <c r="H96" s="12" t="s">
        <v>251</v>
      </c>
      <c r="I96" s="1" t="s">
        <v>23</v>
      </c>
      <c r="J96" s="1" t="s">
        <v>24</v>
      </c>
      <c r="K96" s="1" t="s">
        <v>24</v>
      </c>
      <c r="L96" s="1" t="s">
        <v>25</v>
      </c>
      <c r="M96" s="1" t="s">
        <v>24</v>
      </c>
      <c r="N96" s="1" t="s">
        <v>24</v>
      </c>
      <c r="O96" s="1" t="s">
        <v>24</v>
      </c>
      <c r="P96" s="1" t="s">
        <v>24</v>
      </c>
      <c r="Q96" s="1" t="s">
        <v>24</v>
      </c>
      <c r="R96" s="75" t="str">
        <f t="shared" si="9"/>
        <v>3845904</v>
      </c>
      <c r="S96" t="str">
        <f>VLOOKUP(A96,Data_NV!$A:$C,3,0)</f>
        <v>Nguyễn Quốc Thái</v>
      </c>
      <c r="T96" t="str">
        <f>VLOOKUP(A96,Data_NV!$A:$E,4,0)</f>
        <v>Kinh doanh</v>
      </c>
      <c r="U96" s="72">
        <f>DATEVALUE(Table2[[#This Row],[Ngày]])</f>
        <v>45904</v>
      </c>
      <c r="V96" t="str">
        <f>VLOOKUP(A96,Data_NV!$A:$E,5,0)</f>
        <v>Đang làm việc</v>
      </c>
      <c r="W96" s="11">
        <f>VLOOKUP(A96,Data_NV!$A:$I,8,0)</f>
        <v>0.33333333333333331</v>
      </c>
      <c r="X96" s="11">
        <f>VLOOKUP(A96,Data_NV!$A:$I,9,0)</f>
        <v>0.70833333333333337</v>
      </c>
      <c r="Y96" s="11">
        <f>IFERROR(TIMEVALUE(Table2[[#This Row],[Vào]]),0)</f>
        <v>0.33193287037037039</v>
      </c>
      <c r="Z96" s="11">
        <f>IFERROR(TIMEVALUE(Table2[[#This Row],[Ra]]),0)</f>
        <v>0</v>
      </c>
      <c r="AA96" t="str">
        <f t="shared" si="12"/>
        <v>x</v>
      </c>
      <c r="AB96" s="14">
        <f t="shared" si="10"/>
        <v>0</v>
      </c>
      <c r="AC96" s="14" t="str">
        <f>IF(VLOOKUP(A96,Data_NV!$A:$I,7,0)="Không","",IF(OR(AND(Y96=0,Z96=0),AND(Y96&lt;&gt;0,Z96&lt;&gt;0)),"","Quên chấm công"))</f>
        <v/>
      </c>
      <c r="AD96" s="14">
        <f>IF(VLOOKUP(A96,Data_NV!$A:$I,7,0)="Không",0,IF(AND(Y96=0,Z96=0),0,IF(X96&lt;=Z96,0,ROUNDDOWN((X96-Z96)*24*60,0))))</f>
        <v>0</v>
      </c>
      <c r="AE96" s="14">
        <f>IF(VLOOKUP(A96,Data_NV!$A:$I,6,0)="Không",0,IF(Z96&lt;=X96,0,ROUNDDOWN((Z96-X96)*24*60,0)))</f>
        <v>0</v>
      </c>
      <c r="AF96" s="29">
        <f t="shared" si="11"/>
        <v>0</v>
      </c>
      <c r="AG96" s="30" t="str">
        <f>IF(AC96="","",IF(COUNTIFS($AC$3:AC96,"Quên chấm công",$S$3:S96,S96)&gt;3,"Không chấm công do vi phạm quá 3 lần",IF(COUNTIFS($AC$3:AC96,"Quên chấm công",$S$3:S96,S96)&gt;2,"Trừ toàn bộ chuyên cần tháng do vi phạm lần 3",IF(COUNTIFS($AC$3:AC96,"Quên chấm công",$S$3:S96,S96)&gt;1,"Trừ 1/2 ngày lương",50000))))</f>
        <v/>
      </c>
      <c r="AH96" s="14" t="str">
        <f>IF(AF96=0,"",IF(COUNTIFS($AF$3:AF96,"&gt;0",$S$3:S96,S96)&gt;3,"Trừ toàn bộ chuyên cần tháng",""))</f>
        <v/>
      </c>
      <c r="AI96" s="14"/>
      <c r="AJ96" s="14"/>
    </row>
    <row r="97" spans="1:36" x14ac:dyDescent="0.25">
      <c r="A97" s="4" t="s">
        <v>249</v>
      </c>
      <c r="B97" s="1" t="s">
        <v>176</v>
      </c>
      <c r="C97" s="1" t="s">
        <v>19</v>
      </c>
      <c r="D97" s="1" t="s">
        <v>32</v>
      </c>
      <c r="E97" s="1" t="s">
        <v>21</v>
      </c>
      <c r="F97" s="1" t="s">
        <v>22</v>
      </c>
      <c r="G97" s="1" t="s">
        <v>12</v>
      </c>
      <c r="H97" s="12" t="s">
        <v>252</v>
      </c>
      <c r="I97" s="1" t="s">
        <v>23</v>
      </c>
      <c r="J97" s="1" t="s">
        <v>24</v>
      </c>
      <c r="K97" s="1" t="s">
        <v>24</v>
      </c>
      <c r="L97" s="1" t="s">
        <v>25</v>
      </c>
      <c r="M97" s="1" t="s">
        <v>24</v>
      </c>
      <c r="N97" s="1" t="s">
        <v>24</v>
      </c>
      <c r="O97" s="1" t="s">
        <v>24</v>
      </c>
      <c r="P97" s="1" t="s">
        <v>24</v>
      </c>
      <c r="Q97" s="1" t="s">
        <v>24</v>
      </c>
      <c r="R97" s="75" t="str">
        <f t="shared" si="9"/>
        <v>3845905</v>
      </c>
      <c r="S97" t="str">
        <f>VLOOKUP(A97,Data_NV!$A:$C,3,0)</f>
        <v>Nguyễn Quốc Thái</v>
      </c>
      <c r="T97" t="str">
        <f>VLOOKUP(A97,Data_NV!$A:$E,4,0)</f>
        <v>Kinh doanh</v>
      </c>
      <c r="U97" s="72">
        <f>DATEVALUE(Table2[[#This Row],[Ngày]])</f>
        <v>45905</v>
      </c>
      <c r="V97" t="str">
        <f>VLOOKUP(A97,Data_NV!$A:$E,5,0)</f>
        <v>Đang làm việc</v>
      </c>
      <c r="W97" s="11">
        <f>VLOOKUP(A97,Data_NV!$A:$I,8,0)</f>
        <v>0.33333333333333331</v>
      </c>
      <c r="X97" s="11">
        <f>VLOOKUP(A97,Data_NV!$A:$I,9,0)</f>
        <v>0.70833333333333337</v>
      </c>
      <c r="Y97" s="11">
        <f>IFERROR(TIMEVALUE(Table2[[#This Row],[Vào]]),0)</f>
        <v>0.32472222222222225</v>
      </c>
      <c r="Z97" s="11">
        <f>IFERROR(TIMEVALUE(Table2[[#This Row],[Ra]]),0)</f>
        <v>0</v>
      </c>
      <c r="AA97" t="str">
        <f t="shared" si="12"/>
        <v>x</v>
      </c>
      <c r="AB97" s="14">
        <f t="shared" si="10"/>
        <v>0</v>
      </c>
      <c r="AC97" s="14" t="str">
        <f>IF(VLOOKUP(A97,Data_NV!$A:$I,7,0)="Không","",IF(OR(AND(Y97=0,Z97=0),AND(Y97&lt;&gt;0,Z97&lt;&gt;0)),"","Quên chấm công"))</f>
        <v/>
      </c>
      <c r="AD97" s="14">
        <f>IF(VLOOKUP(A97,Data_NV!$A:$I,7,0)="Không",0,IF(AND(Y97=0,Z97=0),0,IF(X97&lt;=Z97,0,ROUNDDOWN((X97-Z97)*24*60,0))))</f>
        <v>0</v>
      </c>
      <c r="AE97" s="14">
        <f>IF(VLOOKUP(A97,Data_NV!$A:$I,6,0)="Không",0,IF(Z97&lt;=X97,0,ROUNDDOWN((Z97-X97)*24*60,0)))</f>
        <v>0</v>
      </c>
      <c r="AF97" s="29">
        <f t="shared" si="11"/>
        <v>0</v>
      </c>
      <c r="AG97" s="30" t="str">
        <f>IF(AC97="","",IF(COUNTIFS($AC$3:AC97,"Quên chấm công",$S$3:S97,S97)&gt;3,"Không chấm công do vi phạm quá 3 lần",IF(COUNTIFS($AC$3:AC97,"Quên chấm công",$S$3:S97,S97)&gt;2,"Trừ toàn bộ chuyên cần tháng do vi phạm lần 3",IF(COUNTIFS($AC$3:AC97,"Quên chấm công",$S$3:S97,S97)&gt;1,"Trừ 1/2 ngày lương",50000))))</f>
        <v/>
      </c>
      <c r="AH97" s="14" t="str">
        <f>IF(AF97=0,"",IF(COUNTIFS($AF$3:AF97,"&gt;0",$S$3:S97,S97)&gt;3,"Trừ toàn bộ chuyên cần tháng",""))</f>
        <v/>
      </c>
      <c r="AI97" s="14"/>
      <c r="AJ97" s="14"/>
    </row>
    <row r="98" spans="1:36" x14ac:dyDescent="0.25">
      <c r="A98" s="4" t="s">
        <v>249</v>
      </c>
      <c r="B98" s="1" t="s">
        <v>176</v>
      </c>
      <c r="C98" s="1" t="s">
        <v>19</v>
      </c>
      <c r="D98" s="1" t="s">
        <v>33</v>
      </c>
      <c r="E98" s="1" t="s">
        <v>21</v>
      </c>
      <c r="F98" s="1" t="s">
        <v>22</v>
      </c>
      <c r="G98" s="1" t="s">
        <v>12</v>
      </c>
      <c r="H98" s="12" t="s">
        <v>253</v>
      </c>
      <c r="I98" s="1" t="s">
        <v>23</v>
      </c>
      <c r="J98" s="1" t="s">
        <v>24</v>
      </c>
      <c r="K98" s="1" t="s">
        <v>24</v>
      </c>
      <c r="L98" s="1" t="s">
        <v>25</v>
      </c>
      <c r="M98" s="1" t="s">
        <v>24</v>
      </c>
      <c r="N98" s="1" t="s">
        <v>24</v>
      </c>
      <c r="O98" s="1" t="s">
        <v>24</v>
      </c>
      <c r="P98" s="1" t="s">
        <v>24</v>
      </c>
      <c r="Q98" s="1" t="s">
        <v>24</v>
      </c>
      <c r="R98" s="75" t="str">
        <f t="shared" si="9"/>
        <v>3845906</v>
      </c>
      <c r="S98" t="str">
        <f>VLOOKUP(A98,Data_NV!$A:$C,3,0)</f>
        <v>Nguyễn Quốc Thái</v>
      </c>
      <c r="T98" t="str">
        <f>VLOOKUP(A98,Data_NV!$A:$E,4,0)</f>
        <v>Kinh doanh</v>
      </c>
      <c r="U98" s="72">
        <f>DATEVALUE(Table2[[#This Row],[Ngày]])</f>
        <v>45906</v>
      </c>
      <c r="V98" t="str">
        <f>VLOOKUP(A98,Data_NV!$A:$E,5,0)</f>
        <v>Đang làm việc</v>
      </c>
      <c r="W98" s="11">
        <f>VLOOKUP(A98,Data_NV!$A:$I,8,0)</f>
        <v>0.33333333333333331</v>
      </c>
      <c r="X98" s="11">
        <f>VLOOKUP(A98,Data_NV!$A:$I,9,0)</f>
        <v>0.70833333333333337</v>
      </c>
      <c r="Y98" s="11">
        <f>IFERROR(TIMEVALUE(Table2[[#This Row],[Vào]]),0)</f>
        <v>0.32024305555555554</v>
      </c>
      <c r="Z98" s="11">
        <f>IFERROR(TIMEVALUE(Table2[[#This Row],[Ra]]),0)</f>
        <v>0</v>
      </c>
      <c r="AA98" t="str">
        <f t="shared" si="12"/>
        <v>x</v>
      </c>
      <c r="AB98" s="14">
        <f t="shared" si="10"/>
        <v>0</v>
      </c>
      <c r="AC98" s="14" t="str">
        <f>IF(VLOOKUP(A98,Data_NV!$A:$I,7,0)="Không","",IF(OR(AND(Y98=0,Z98=0),AND(Y98&lt;&gt;0,Z98&lt;&gt;0)),"","Quên chấm công"))</f>
        <v/>
      </c>
      <c r="AD98" s="14">
        <f>IF(VLOOKUP(A98,Data_NV!$A:$I,7,0)="Không",0,IF(AND(Y98=0,Z98=0),0,IF(X98&lt;=Z98,0,ROUNDDOWN((X98-Z98)*24*60,0))))</f>
        <v>0</v>
      </c>
      <c r="AE98" s="14">
        <f>IF(VLOOKUP(A98,Data_NV!$A:$I,6,0)="Không",0,IF(Z98&lt;=X98,0,ROUNDDOWN((Z98-X98)*24*60,0)))</f>
        <v>0</v>
      </c>
      <c r="AF98" s="29">
        <f t="shared" si="11"/>
        <v>0</v>
      </c>
      <c r="AG98" s="30" t="str">
        <f>IF(AC98="","",IF(COUNTIFS($AC$3:AC98,"Quên chấm công",$S$3:S98,S98)&gt;3,"Không chấm công do vi phạm quá 3 lần",IF(COUNTIFS($AC$3:AC98,"Quên chấm công",$S$3:S98,S98)&gt;2,"Trừ toàn bộ chuyên cần tháng do vi phạm lần 3",IF(COUNTIFS($AC$3:AC98,"Quên chấm công",$S$3:S98,S98)&gt;1,"Trừ 1/2 ngày lương",50000))))</f>
        <v/>
      </c>
      <c r="AH98" s="14" t="str">
        <f>IF(AF98=0,"",IF(COUNTIFS($AF$3:AF98,"&gt;0",$S$3:S98,S98)&gt;3,"Trừ toàn bộ chuyên cần tháng",""))</f>
        <v/>
      </c>
      <c r="AI98" s="14"/>
      <c r="AJ98" s="14"/>
    </row>
    <row r="99" spans="1:36" x14ac:dyDescent="0.25">
      <c r="A99" s="4" t="s">
        <v>249</v>
      </c>
      <c r="B99" s="1" t="s">
        <v>176</v>
      </c>
      <c r="C99" s="1" t="s">
        <v>19</v>
      </c>
      <c r="D99" s="1" t="s">
        <v>35</v>
      </c>
      <c r="E99" s="1" t="s">
        <v>21</v>
      </c>
      <c r="F99" s="1" t="s">
        <v>22</v>
      </c>
      <c r="G99" s="1" t="s">
        <v>12</v>
      </c>
      <c r="H99" s="12" t="s">
        <v>23</v>
      </c>
      <c r="I99" s="1" t="s">
        <v>23</v>
      </c>
      <c r="J99" s="1" t="s">
        <v>24</v>
      </c>
      <c r="K99" s="1" t="s">
        <v>24</v>
      </c>
      <c r="L99" s="1" t="s">
        <v>25</v>
      </c>
      <c r="M99" s="1" t="s">
        <v>24</v>
      </c>
      <c r="N99" s="1" t="s">
        <v>24</v>
      </c>
      <c r="O99" s="1" t="s">
        <v>24</v>
      </c>
      <c r="P99" s="1" t="s">
        <v>24</v>
      </c>
      <c r="Q99" s="1" t="s">
        <v>24</v>
      </c>
      <c r="R99" s="75" t="str">
        <f t="shared" si="9"/>
        <v>3845907</v>
      </c>
      <c r="S99" t="str">
        <f>VLOOKUP(A99,Data_NV!$A:$C,3,0)</f>
        <v>Nguyễn Quốc Thái</v>
      </c>
      <c r="T99" t="str">
        <f>VLOOKUP(A99,Data_NV!$A:$E,4,0)</f>
        <v>Kinh doanh</v>
      </c>
      <c r="U99" s="72">
        <f>DATEVALUE(Table2[[#This Row],[Ngày]])</f>
        <v>45907</v>
      </c>
      <c r="V99" t="str">
        <f>VLOOKUP(A99,Data_NV!$A:$E,5,0)</f>
        <v>Đang làm việc</v>
      </c>
      <c r="W99" s="11">
        <f>VLOOKUP(A99,Data_NV!$A:$I,8,0)</f>
        <v>0.33333333333333331</v>
      </c>
      <c r="X99" s="11">
        <f>VLOOKUP(A99,Data_NV!$A:$I,9,0)</f>
        <v>0.70833333333333337</v>
      </c>
      <c r="Y99" s="11">
        <f>IFERROR(TIMEVALUE(Table2[[#This Row],[Vào]]),0)</f>
        <v>0</v>
      </c>
      <c r="Z99" s="11">
        <f>IFERROR(TIMEVALUE(Table2[[#This Row],[Ra]]),0)</f>
        <v>0</v>
      </c>
      <c r="AA99" t="str">
        <f t="shared" si="12"/>
        <v/>
      </c>
      <c r="AB99" s="14">
        <f t="shared" si="10"/>
        <v>0</v>
      </c>
      <c r="AC99" s="14" t="str">
        <f>IF(VLOOKUP(A99,Data_NV!$A:$I,7,0)="Không","",IF(OR(AND(Y99=0,Z99=0),AND(Y99&lt;&gt;0,Z99&lt;&gt;0)),"","Quên chấm công"))</f>
        <v/>
      </c>
      <c r="AD99" s="14">
        <f>IF(VLOOKUP(A99,Data_NV!$A:$I,7,0)="Không",0,IF(AND(Y99=0,Z99=0),0,IF(X99&lt;=Z99,0,ROUNDDOWN((X99-Z99)*24*60,0))))</f>
        <v>0</v>
      </c>
      <c r="AE99" s="14">
        <f>IF(VLOOKUP(A99,Data_NV!$A:$I,6,0)="Không",0,IF(Z99&lt;=X99,0,ROUNDDOWN((Z99-X99)*24*60,0)))</f>
        <v>0</v>
      </c>
      <c r="AF99" s="29">
        <f t="shared" si="11"/>
        <v>0</v>
      </c>
      <c r="AG99" s="30" t="str">
        <f>IF(AC99="","",IF(COUNTIFS($AC$3:AC99,"Quên chấm công",$S$3:S99,S99)&gt;3,"Không chấm công do vi phạm quá 3 lần",IF(COUNTIFS($AC$3:AC99,"Quên chấm công",$S$3:S99,S99)&gt;2,"Trừ toàn bộ chuyên cần tháng do vi phạm lần 3",IF(COUNTIFS($AC$3:AC99,"Quên chấm công",$S$3:S99,S99)&gt;1,"Trừ 1/2 ngày lương",50000))))</f>
        <v/>
      </c>
      <c r="AH99" s="14" t="str">
        <f>IF(AF99=0,"",IF(COUNTIFS($AF$3:AF99,"&gt;0",$S$3:S99,S99)&gt;3,"Trừ toàn bộ chuyên cần tháng",""))</f>
        <v/>
      </c>
      <c r="AI99" s="14"/>
      <c r="AJ99" s="14"/>
    </row>
    <row r="100" spans="1:36" x14ac:dyDescent="0.25">
      <c r="A100" s="4" t="s">
        <v>249</v>
      </c>
      <c r="B100" s="1" t="s">
        <v>176</v>
      </c>
      <c r="C100" s="1" t="s">
        <v>19</v>
      </c>
      <c r="D100" s="1" t="s">
        <v>36</v>
      </c>
      <c r="E100" s="1" t="s">
        <v>21</v>
      </c>
      <c r="F100" s="1" t="s">
        <v>22</v>
      </c>
      <c r="G100" s="1" t="s">
        <v>12</v>
      </c>
      <c r="H100" s="12" t="s">
        <v>254</v>
      </c>
      <c r="I100" s="1" t="s">
        <v>23</v>
      </c>
      <c r="J100" s="1" t="s">
        <v>135</v>
      </c>
      <c r="K100" s="1" t="s">
        <v>24</v>
      </c>
      <c r="L100" s="1" t="s">
        <v>25</v>
      </c>
      <c r="M100" s="1" t="s">
        <v>24</v>
      </c>
      <c r="N100" s="1" t="s">
        <v>24</v>
      </c>
      <c r="O100" s="1" t="s">
        <v>24</v>
      </c>
      <c r="P100" s="1" t="s">
        <v>24</v>
      </c>
      <c r="Q100" s="1" t="s">
        <v>24</v>
      </c>
      <c r="R100" s="75" t="str">
        <f t="shared" si="9"/>
        <v>3845908</v>
      </c>
      <c r="S100" t="str">
        <f>VLOOKUP(A100,Data_NV!$A:$C,3,0)</f>
        <v>Nguyễn Quốc Thái</v>
      </c>
      <c r="T100" t="str">
        <f>VLOOKUP(A100,Data_NV!$A:$E,4,0)</f>
        <v>Kinh doanh</v>
      </c>
      <c r="U100" s="72">
        <f>DATEVALUE(Table2[[#This Row],[Ngày]])</f>
        <v>45908</v>
      </c>
      <c r="V100" t="str">
        <f>VLOOKUP(A100,Data_NV!$A:$E,5,0)</f>
        <v>Đang làm việc</v>
      </c>
      <c r="W100" s="11">
        <f>VLOOKUP(A100,Data_NV!$A:$I,8,0)</f>
        <v>0.33333333333333331</v>
      </c>
      <c r="X100" s="11">
        <f>VLOOKUP(A100,Data_NV!$A:$I,9,0)</f>
        <v>0.70833333333333337</v>
      </c>
      <c r="Y100" s="11">
        <f>IFERROR(TIMEVALUE(Table2[[#This Row],[Vào]]),0)</f>
        <v>0.3338888888888889</v>
      </c>
      <c r="Z100" s="11">
        <f>IFERROR(TIMEVALUE(Table2[[#This Row],[Ra]]),0)</f>
        <v>0</v>
      </c>
      <c r="AA100" t="str">
        <f t="shared" si="12"/>
        <v>x</v>
      </c>
      <c r="AB100" s="14">
        <f t="shared" si="10"/>
        <v>0</v>
      </c>
      <c r="AC100" s="14" t="str">
        <f>IF(VLOOKUP(A100,Data_NV!$A:$I,7,0)="Không","",IF(OR(AND(Y100=0,Z100=0),AND(Y100&lt;&gt;0,Z100&lt;&gt;0)),"","Quên chấm công"))</f>
        <v/>
      </c>
      <c r="AD100" s="14">
        <f>IF(VLOOKUP(A100,Data_NV!$A:$I,7,0)="Không",0,IF(AND(Y100=0,Z100=0),0,IF(X100&lt;=Z100,0,ROUNDDOWN((X100-Z100)*24*60,0))))</f>
        <v>0</v>
      </c>
      <c r="AE100" s="14">
        <f>IF(VLOOKUP(A100,Data_NV!$A:$I,6,0)="Không",0,IF(Z100&lt;=X100,0,ROUNDDOWN((Z100-X100)*24*60,0)))</f>
        <v>0</v>
      </c>
      <c r="AF100" s="29">
        <f t="shared" si="11"/>
        <v>0</v>
      </c>
      <c r="AG100" s="30" t="str">
        <f>IF(AC100="","",IF(COUNTIFS($AC$3:AC100,"Quên chấm công",$S$3:S100,S100)&gt;3,"Không chấm công do vi phạm quá 3 lần",IF(COUNTIFS($AC$3:AC100,"Quên chấm công",$S$3:S100,S100)&gt;2,"Trừ toàn bộ chuyên cần tháng do vi phạm lần 3",IF(COUNTIFS($AC$3:AC100,"Quên chấm công",$S$3:S100,S100)&gt;1,"Trừ 1/2 ngày lương",50000))))</f>
        <v/>
      </c>
      <c r="AH100" s="14" t="str">
        <f>IF(AF100=0,"",IF(COUNTIFS($AF$3:AF100,"&gt;0",$S$3:S100,S100)&gt;3,"Trừ toàn bộ chuyên cần tháng",""))</f>
        <v/>
      </c>
      <c r="AI100" s="14"/>
      <c r="AJ100" s="14"/>
    </row>
    <row r="101" spans="1:36" x14ac:dyDescent="0.25">
      <c r="A101" s="4" t="s">
        <v>249</v>
      </c>
      <c r="B101" s="1" t="s">
        <v>176</v>
      </c>
      <c r="C101" s="1" t="s">
        <v>19</v>
      </c>
      <c r="D101" s="1" t="s">
        <v>37</v>
      </c>
      <c r="E101" s="1" t="s">
        <v>21</v>
      </c>
      <c r="F101" s="1" t="s">
        <v>22</v>
      </c>
      <c r="G101" s="1" t="s">
        <v>12</v>
      </c>
      <c r="H101" s="12" t="s">
        <v>255</v>
      </c>
      <c r="I101" s="1" t="s">
        <v>23</v>
      </c>
      <c r="J101" s="1" t="s">
        <v>181</v>
      </c>
      <c r="K101" s="1" t="s">
        <v>24</v>
      </c>
      <c r="L101" s="1" t="s">
        <v>25</v>
      </c>
      <c r="M101" s="1" t="s">
        <v>24</v>
      </c>
      <c r="N101" s="1" t="s">
        <v>24</v>
      </c>
      <c r="O101" s="1" t="s">
        <v>24</v>
      </c>
      <c r="P101" s="1" t="s">
        <v>24</v>
      </c>
      <c r="Q101" s="1" t="s">
        <v>24</v>
      </c>
      <c r="R101" s="75" t="str">
        <f t="shared" si="9"/>
        <v>3845909</v>
      </c>
      <c r="S101" t="str">
        <f>VLOOKUP(A101,Data_NV!$A:$C,3,0)</f>
        <v>Nguyễn Quốc Thái</v>
      </c>
      <c r="T101" t="str">
        <f>VLOOKUP(A101,Data_NV!$A:$E,4,0)</f>
        <v>Kinh doanh</v>
      </c>
      <c r="U101" s="72">
        <f>DATEVALUE(Table2[[#This Row],[Ngày]])</f>
        <v>45909</v>
      </c>
      <c r="V101" t="str">
        <f>VLOOKUP(A101,Data_NV!$A:$E,5,0)</f>
        <v>Đang làm việc</v>
      </c>
      <c r="W101" s="11">
        <f>VLOOKUP(A101,Data_NV!$A:$I,8,0)</f>
        <v>0.33333333333333331</v>
      </c>
      <c r="X101" s="11">
        <f>VLOOKUP(A101,Data_NV!$A:$I,9,0)</f>
        <v>0.70833333333333337</v>
      </c>
      <c r="Y101" s="11">
        <f>IFERROR(TIMEVALUE(Table2[[#This Row],[Vào]]),0)</f>
        <v>0.33696759259259257</v>
      </c>
      <c r="Z101" s="11">
        <f>IFERROR(TIMEVALUE(Table2[[#This Row],[Ra]]),0)</f>
        <v>0</v>
      </c>
      <c r="AA101" t="str">
        <f t="shared" si="12"/>
        <v>x</v>
      </c>
      <c r="AB101" s="14">
        <f t="shared" si="10"/>
        <v>5</v>
      </c>
      <c r="AC101" s="14" t="str">
        <f>IF(VLOOKUP(A101,Data_NV!$A:$I,7,0)="Không","",IF(OR(AND(Y101=0,Z101=0),AND(Y101&lt;&gt;0,Z101&lt;&gt;0)),"","Quên chấm công"))</f>
        <v/>
      </c>
      <c r="AD101" s="14">
        <f>IF(VLOOKUP(A101,Data_NV!$A:$I,7,0)="Không",0,IF(AND(Y101=0,Z101=0),0,IF(X101&lt;=Z101,0,ROUNDDOWN((X101-Z101)*24*60,0))))</f>
        <v>0</v>
      </c>
      <c r="AE101" s="14">
        <f>IF(VLOOKUP(A101,Data_NV!$A:$I,6,0)="Không",0,IF(Z101&lt;=X101,0,ROUNDDOWN((Z101-X101)*24*60,0)))</f>
        <v>0</v>
      </c>
      <c r="AF101" s="29">
        <f t="shared" si="11"/>
        <v>0</v>
      </c>
      <c r="AG101" s="30" t="str">
        <f>IF(AC101="","",IF(COUNTIFS($AC$3:AC101,"Quên chấm công",$S$3:S101,S101)&gt;3,"Không chấm công do vi phạm quá 3 lần",IF(COUNTIFS($AC$3:AC101,"Quên chấm công",$S$3:S101,S101)&gt;2,"Trừ toàn bộ chuyên cần tháng do vi phạm lần 3",IF(COUNTIFS($AC$3:AC101,"Quên chấm công",$S$3:S101,S101)&gt;1,"Trừ 1/2 ngày lương",50000))))</f>
        <v/>
      </c>
      <c r="AH101" s="14" t="str">
        <f>IF(AF101=0,"",IF(COUNTIFS($AF$3:AF101,"&gt;0",$S$3:S101,S101)&gt;3,"Trừ toàn bộ chuyên cần tháng",""))</f>
        <v/>
      </c>
      <c r="AI101" s="14"/>
      <c r="AJ101" s="14"/>
    </row>
    <row r="102" spans="1:36" x14ac:dyDescent="0.25">
      <c r="A102" s="4" t="s">
        <v>249</v>
      </c>
      <c r="B102" s="1" t="s">
        <v>176</v>
      </c>
      <c r="C102" s="1" t="s">
        <v>19</v>
      </c>
      <c r="D102" s="1" t="s">
        <v>38</v>
      </c>
      <c r="E102" s="1" t="s">
        <v>21</v>
      </c>
      <c r="F102" s="1" t="s">
        <v>22</v>
      </c>
      <c r="G102" s="1" t="s">
        <v>12</v>
      </c>
      <c r="H102" s="12" t="s">
        <v>256</v>
      </c>
      <c r="I102" s="1" t="s">
        <v>23</v>
      </c>
      <c r="J102" s="1" t="s">
        <v>190</v>
      </c>
      <c r="K102" s="1" t="s">
        <v>24</v>
      </c>
      <c r="L102" s="1" t="s">
        <v>25</v>
      </c>
      <c r="M102" s="1" t="s">
        <v>24</v>
      </c>
      <c r="N102" s="1" t="s">
        <v>24</v>
      </c>
      <c r="O102" s="1" t="s">
        <v>24</v>
      </c>
      <c r="P102" s="1" t="s">
        <v>24</v>
      </c>
      <c r="Q102" s="1" t="s">
        <v>24</v>
      </c>
      <c r="R102" s="75" t="str">
        <f t="shared" si="9"/>
        <v>3845910</v>
      </c>
      <c r="S102" t="str">
        <f>VLOOKUP(A102,Data_NV!$A:$C,3,0)</f>
        <v>Nguyễn Quốc Thái</v>
      </c>
      <c r="T102" t="str">
        <f>VLOOKUP(A102,Data_NV!$A:$E,4,0)</f>
        <v>Kinh doanh</v>
      </c>
      <c r="U102" s="72">
        <f>DATEVALUE(Table2[[#This Row],[Ngày]])</f>
        <v>45910</v>
      </c>
      <c r="V102" t="str">
        <f>VLOOKUP(A102,Data_NV!$A:$E,5,0)</f>
        <v>Đang làm việc</v>
      </c>
      <c r="W102" s="11">
        <f>VLOOKUP(A102,Data_NV!$A:$I,8,0)</f>
        <v>0.33333333333333331</v>
      </c>
      <c r="X102" s="11">
        <f>VLOOKUP(A102,Data_NV!$A:$I,9,0)</f>
        <v>0.70833333333333337</v>
      </c>
      <c r="Y102" s="11">
        <f>IFERROR(TIMEVALUE(Table2[[#This Row],[Vào]]),0)</f>
        <v>0.3351851851851852</v>
      </c>
      <c r="Z102" s="11">
        <f>IFERROR(TIMEVALUE(Table2[[#This Row],[Ra]]),0)</f>
        <v>0</v>
      </c>
      <c r="AA102" t="str">
        <f t="shared" si="12"/>
        <v>x</v>
      </c>
      <c r="AB102" s="14">
        <f t="shared" si="10"/>
        <v>2</v>
      </c>
      <c r="AC102" s="14" t="str">
        <f>IF(VLOOKUP(A102,Data_NV!$A:$I,7,0)="Không","",IF(OR(AND(Y102=0,Z102=0),AND(Y102&lt;&gt;0,Z102&lt;&gt;0)),"","Quên chấm công"))</f>
        <v/>
      </c>
      <c r="AD102" s="14">
        <f>IF(VLOOKUP(A102,Data_NV!$A:$I,7,0)="Không",0,IF(AND(Y102=0,Z102=0),0,IF(X102&lt;=Z102,0,ROUNDDOWN((X102-Z102)*24*60,0))))</f>
        <v>0</v>
      </c>
      <c r="AE102" s="14">
        <f>IF(VLOOKUP(A102,Data_NV!$A:$I,6,0)="Không",0,IF(Z102&lt;=X102,0,ROUNDDOWN((Z102-X102)*24*60,0)))</f>
        <v>0</v>
      </c>
      <c r="AF102" s="29">
        <f t="shared" si="11"/>
        <v>0</v>
      </c>
      <c r="AG102" s="30" t="str">
        <f>IF(AC102="","",IF(COUNTIFS($AC$3:AC102,"Quên chấm công",$S$3:S102,S102)&gt;3,"Không chấm công do vi phạm quá 3 lần",IF(COUNTIFS($AC$3:AC102,"Quên chấm công",$S$3:S102,S102)&gt;2,"Trừ toàn bộ chuyên cần tháng do vi phạm lần 3",IF(COUNTIFS($AC$3:AC102,"Quên chấm công",$S$3:S102,S102)&gt;1,"Trừ 1/2 ngày lương",50000))))</f>
        <v/>
      </c>
      <c r="AH102" s="14" t="str">
        <f>IF(AF102=0,"",IF(COUNTIFS($AF$3:AF102,"&gt;0",$S$3:S102,S102)&gt;3,"Trừ toàn bộ chuyên cần tháng",""))</f>
        <v/>
      </c>
      <c r="AI102" s="14"/>
      <c r="AJ102" s="14"/>
    </row>
    <row r="103" spans="1:36" x14ac:dyDescent="0.25">
      <c r="A103" s="4" t="s">
        <v>249</v>
      </c>
      <c r="B103" s="1" t="s">
        <v>176</v>
      </c>
      <c r="C103" s="1" t="s">
        <v>19</v>
      </c>
      <c r="D103" s="1" t="s">
        <v>39</v>
      </c>
      <c r="E103" s="1" t="s">
        <v>21</v>
      </c>
      <c r="F103" s="1" t="s">
        <v>22</v>
      </c>
      <c r="G103" s="1" t="s">
        <v>12</v>
      </c>
      <c r="H103" s="12" t="s">
        <v>257</v>
      </c>
      <c r="I103" s="1" t="s">
        <v>23</v>
      </c>
      <c r="J103" s="1" t="s">
        <v>24</v>
      </c>
      <c r="K103" s="1" t="s">
        <v>24</v>
      </c>
      <c r="L103" s="1" t="s">
        <v>25</v>
      </c>
      <c r="M103" s="1" t="s">
        <v>24</v>
      </c>
      <c r="N103" s="1" t="s">
        <v>24</v>
      </c>
      <c r="O103" s="1" t="s">
        <v>24</v>
      </c>
      <c r="P103" s="1" t="s">
        <v>24</v>
      </c>
      <c r="Q103" s="1" t="s">
        <v>24</v>
      </c>
      <c r="R103" s="75" t="str">
        <f t="shared" si="9"/>
        <v>3845911</v>
      </c>
      <c r="S103" t="str">
        <f>VLOOKUP(A103,Data_NV!$A:$C,3,0)</f>
        <v>Nguyễn Quốc Thái</v>
      </c>
      <c r="T103" t="str">
        <f>VLOOKUP(A103,Data_NV!$A:$E,4,0)</f>
        <v>Kinh doanh</v>
      </c>
      <c r="U103" s="72">
        <f>DATEVALUE(Table2[[#This Row],[Ngày]])</f>
        <v>45911</v>
      </c>
      <c r="V103" t="str">
        <f>VLOOKUP(A103,Data_NV!$A:$E,5,0)</f>
        <v>Đang làm việc</v>
      </c>
      <c r="W103" s="11">
        <f>VLOOKUP(A103,Data_NV!$A:$I,8,0)</f>
        <v>0.33333333333333331</v>
      </c>
      <c r="X103" s="11">
        <f>VLOOKUP(A103,Data_NV!$A:$I,9,0)</f>
        <v>0.70833333333333337</v>
      </c>
      <c r="Y103" s="11">
        <f>IFERROR(TIMEVALUE(Table2[[#This Row],[Vào]]),0)</f>
        <v>0.33013888888888887</v>
      </c>
      <c r="Z103" s="11">
        <f>IFERROR(TIMEVALUE(Table2[[#This Row],[Ra]]),0)</f>
        <v>0</v>
      </c>
      <c r="AA103" t="str">
        <f t="shared" si="12"/>
        <v>x</v>
      </c>
      <c r="AB103" s="14">
        <f t="shared" si="10"/>
        <v>0</v>
      </c>
      <c r="AC103" s="14" t="str">
        <f>IF(VLOOKUP(A103,Data_NV!$A:$I,7,0)="Không","",IF(OR(AND(Y103=0,Z103=0),AND(Y103&lt;&gt;0,Z103&lt;&gt;0)),"","Quên chấm công"))</f>
        <v/>
      </c>
      <c r="AD103" s="14">
        <f>IF(VLOOKUP(A103,Data_NV!$A:$I,7,0)="Không",0,IF(AND(Y103=0,Z103=0),0,IF(X103&lt;=Z103,0,ROUNDDOWN((X103-Z103)*24*60,0))))</f>
        <v>0</v>
      </c>
      <c r="AE103" s="14">
        <f>IF(VLOOKUP(A103,Data_NV!$A:$I,6,0)="Không",0,IF(Z103&lt;=X103,0,ROUNDDOWN((Z103-X103)*24*60,0)))</f>
        <v>0</v>
      </c>
      <c r="AF103" s="29">
        <f t="shared" si="11"/>
        <v>0</v>
      </c>
      <c r="AG103" s="30" t="str">
        <f>IF(AC103="","",IF(COUNTIFS($AC$3:AC103,"Quên chấm công",$S$3:S103,S103)&gt;3,"Không chấm công do vi phạm quá 3 lần",IF(COUNTIFS($AC$3:AC103,"Quên chấm công",$S$3:S103,S103)&gt;2,"Trừ toàn bộ chuyên cần tháng do vi phạm lần 3",IF(COUNTIFS($AC$3:AC103,"Quên chấm công",$S$3:S103,S103)&gt;1,"Trừ 1/2 ngày lương",50000))))</f>
        <v/>
      </c>
      <c r="AH103" s="14" t="str">
        <f>IF(AF103=0,"",IF(COUNTIFS($AF$3:AF103,"&gt;0",$S$3:S103,S103)&gt;3,"Trừ toàn bộ chuyên cần tháng",""))</f>
        <v/>
      </c>
      <c r="AI103" s="14"/>
      <c r="AJ103" s="14"/>
    </row>
    <row r="104" spans="1:36" x14ac:dyDescent="0.25">
      <c r="A104" s="4" t="s">
        <v>249</v>
      </c>
      <c r="B104" s="1" t="s">
        <v>176</v>
      </c>
      <c r="C104" s="1" t="s">
        <v>19</v>
      </c>
      <c r="D104" s="1" t="s">
        <v>40</v>
      </c>
      <c r="E104" s="1" t="s">
        <v>21</v>
      </c>
      <c r="F104" s="1" t="s">
        <v>22</v>
      </c>
      <c r="G104" s="1" t="s">
        <v>12</v>
      </c>
      <c r="H104" s="12" t="s">
        <v>258</v>
      </c>
      <c r="I104" s="1" t="s">
        <v>23</v>
      </c>
      <c r="J104" s="1" t="s">
        <v>65</v>
      </c>
      <c r="K104" s="1" t="s">
        <v>24</v>
      </c>
      <c r="L104" s="1" t="s">
        <v>25</v>
      </c>
      <c r="M104" s="1" t="s">
        <v>24</v>
      </c>
      <c r="N104" s="1" t="s">
        <v>24</v>
      </c>
      <c r="O104" s="1" t="s">
        <v>24</v>
      </c>
      <c r="P104" s="1" t="s">
        <v>24</v>
      </c>
      <c r="Q104" s="1" t="s">
        <v>24</v>
      </c>
      <c r="R104" s="75" t="str">
        <f t="shared" si="9"/>
        <v>3845912</v>
      </c>
      <c r="S104" t="str">
        <f>VLOOKUP(A104,Data_NV!$A:$C,3,0)</f>
        <v>Nguyễn Quốc Thái</v>
      </c>
      <c r="T104" t="str">
        <f>VLOOKUP(A104,Data_NV!$A:$E,4,0)</f>
        <v>Kinh doanh</v>
      </c>
      <c r="U104" s="72">
        <f>DATEVALUE(Table2[[#This Row],[Ngày]])</f>
        <v>45912</v>
      </c>
      <c r="V104" t="str">
        <f>VLOOKUP(A104,Data_NV!$A:$E,5,0)</f>
        <v>Đang làm việc</v>
      </c>
      <c r="W104" s="11">
        <f>VLOOKUP(A104,Data_NV!$A:$I,8,0)</f>
        <v>0.33333333333333331</v>
      </c>
      <c r="X104" s="11">
        <f>VLOOKUP(A104,Data_NV!$A:$I,9,0)</f>
        <v>0.70833333333333337</v>
      </c>
      <c r="Y104" s="11">
        <f>IFERROR(TIMEVALUE(Table2[[#This Row],[Vào]]),0)</f>
        <v>0.33763888888888888</v>
      </c>
      <c r="Z104" s="11">
        <f>IFERROR(TIMEVALUE(Table2[[#This Row],[Ra]]),0)</f>
        <v>0</v>
      </c>
      <c r="AA104" t="str">
        <f t="shared" si="12"/>
        <v>x</v>
      </c>
      <c r="AB104" s="14">
        <f t="shared" si="10"/>
        <v>6</v>
      </c>
      <c r="AC104" s="14" t="str">
        <f>IF(VLOOKUP(A104,Data_NV!$A:$I,7,0)="Không","",IF(OR(AND(Y104=0,Z104=0),AND(Y104&lt;&gt;0,Z104&lt;&gt;0)),"","Quên chấm công"))</f>
        <v/>
      </c>
      <c r="AD104" s="14">
        <f>IF(VLOOKUP(A104,Data_NV!$A:$I,7,0)="Không",0,IF(AND(Y104=0,Z104=0),0,IF(X104&lt;=Z104,0,ROUNDDOWN((X104-Z104)*24*60,0))))</f>
        <v>0</v>
      </c>
      <c r="AE104" s="14">
        <f>IF(VLOOKUP(A104,Data_NV!$A:$I,6,0)="Không",0,IF(Z104&lt;=X104,0,ROUNDDOWN((Z104-X104)*24*60,0)))</f>
        <v>0</v>
      </c>
      <c r="AF104" s="29">
        <f t="shared" si="11"/>
        <v>0</v>
      </c>
      <c r="AG104" s="30" t="str">
        <f>IF(AC104="","",IF(COUNTIFS($AC$3:AC104,"Quên chấm công",$S$3:S104,S104)&gt;3,"Không chấm công do vi phạm quá 3 lần",IF(COUNTIFS($AC$3:AC104,"Quên chấm công",$S$3:S104,S104)&gt;2,"Trừ toàn bộ chuyên cần tháng do vi phạm lần 3",IF(COUNTIFS($AC$3:AC104,"Quên chấm công",$S$3:S104,S104)&gt;1,"Trừ 1/2 ngày lương",50000))))</f>
        <v/>
      </c>
      <c r="AH104" s="14" t="str">
        <f>IF(AF104=0,"",IF(COUNTIFS($AF$3:AF104,"&gt;0",$S$3:S104,S104)&gt;3,"Trừ toàn bộ chuyên cần tháng",""))</f>
        <v/>
      </c>
      <c r="AI104" s="14"/>
      <c r="AJ104" s="14"/>
    </row>
    <row r="105" spans="1:36" x14ac:dyDescent="0.25">
      <c r="A105" s="4" t="s">
        <v>249</v>
      </c>
      <c r="B105" s="1" t="s">
        <v>176</v>
      </c>
      <c r="C105" s="1" t="s">
        <v>19</v>
      </c>
      <c r="D105" s="1" t="s">
        <v>41</v>
      </c>
      <c r="E105" s="1" t="s">
        <v>21</v>
      </c>
      <c r="F105" s="1" t="s">
        <v>22</v>
      </c>
      <c r="G105" s="1" t="s">
        <v>12</v>
      </c>
      <c r="H105" s="12" t="s">
        <v>259</v>
      </c>
      <c r="I105" s="1" t="s">
        <v>23</v>
      </c>
      <c r="J105" s="1" t="s">
        <v>24</v>
      </c>
      <c r="K105" s="1" t="s">
        <v>24</v>
      </c>
      <c r="L105" s="1" t="s">
        <v>25</v>
      </c>
      <c r="M105" s="1" t="s">
        <v>24</v>
      </c>
      <c r="N105" s="1" t="s">
        <v>24</v>
      </c>
      <c r="O105" s="1" t="s">
        <v>24</v>
      </c>
      <c r="P105" s="1" t="s">
        <v>24</v>
      </c>
      <c r="Q105" s="1" t="s">
        <v>24</v>
      </c>
      <c r="R105" s="75" t="str">
        <f t="shared" si="9"/>
        <v>3845913</v>
      </c>
      <c r="S105" t="str">
        <f>VLOOKUP(A105,Data_NV!$A:$C,3,0)</f>
        <v>Nguyễn Quốc Thái</v>
      </c>
      <c r="T105" t="str">
        <f>VLOOKUP(A105,Data_NV!$A:$E,4,0)</f>
        <v>Kinh doanh</v>
      </c>
      <c r="U105" s="72">
        <f>DATEVALUE(Table2[[#This Row],[Ngày]])</f>
        <v>45913</v>
      </c>
      <c r="V105" t="str">
        <f>VLOOKUP(A105,Data_NV!$A:$E,5,0)</f>
        <v>Đang làm việc</v>
      </c>
      <c r="W105" s="11">
        <f>VLOOKUP(A105,Data_NV!$A:$I,8,0)</f>
        <v>0.33333333333333331</v>
      </c>
      <c r="X105" s="11">
        <f>VLOOKUP(A105,Data_NV!$A:$I,9,0)</f>
        <v>0.70833333333333337</v>
      </c>
      <c r="Y105" s="11">
        <f>IFERROR(TIMEVALUE(Table2[[#This Row],[Vào]]),0)</f>
        <v>0.32596064814814812</v>
      </c>
      <c r="Z105" s="11">
        <f>IFERROR(TIMEVALUE(Table2[[#This Row],[Ra]]),0)</f>
        <v>0</v>
      </c>
      <c r="AA105" t="str">
        <f t="shared" si="12"/>
        <v>x</v>
      </c>
      <c r="AB105" s="14">
        <f t="shared" si="10"/>
        <v>0</v>
      </c>
      <c r="AC105" s="14" t="str">
        <f>IF(VLOOKUP(A105,Data_NV!$A:$I,7,0)="Không","",IF(OR(AND(Y105=0,Z105=0),AND(Y105&lt;&gt;0,Z105&lt;&gt;0)),"","Quên chấm công"))</f>
        <v/>
      </c>
      <c r="AD105" s="14">
        <f>IF(VLOOKUP(A105,Data_NV!$A:$I,7,0)="Không",0,IF(AND(Y105=0,Z105=0),0,IF(X105&lt;=Z105,0,ROUNDDOWN((X105-Z105)*24*60,0))))</f>
        <v>0</v>
      </c>
      <c r="AE105" s="14">
        <f>IF(VLOOKUP(A105,Data_NV!$A:$I,6,0)="Không",0,IF(Z105&lt;=X105,0,ROUNDDOWN((Z105-X105)*24*60,0)))</f>
        <v>0</v>
      </c>
      <c r="AF105" s="29">
        <f t="shared" si="11"/>
        <v>0</v>
      </c>
      <c r="AG105" s="30" t="str">
        <f>IF(AC105="","",IF(COUNTIFS($AC$3:AC105,"Quên chấm công",$S$3:S105,S105)&gt;3,"Không chấm công do vi phạm quá 3 lần",IF(COUNTIFS($AC$3:AC105,"Quên chấm công",$S$3:S105,S105)&gt;2,"Trừ toàn bộ chuyên cần tháng do vi phạm lần 3",IF(COUNTIFS($AC$3:AC105,"Quên chấm công",$S$3:S105,S105)&gt;1,"Trừ 1/2 ngày lương",50000))))</f>
        <v/>
      </c>
      <c r="AH105" s="14" t="str">
        <f>IF(AF105=0,"",IF(COUNTIFS($AF$3:AF105,"&gt;0",$S$3:S105,S105)&gt;3,"Trừ toàn bộ chuyên cần tháng",""))</f>
        <v/>
      </c>
      <c r="AI105" s="14"/>
      <c r="AJ105" s="14"/>
    </row>
    <row r="106" spans="1:36" x14ac:dyDescent="0.25">
      <c r="A106" s="4" t="s">
        <v>249</v>
      </c>
      <c r="B106" s="1" t="s">
        <v>176</v>
      </c>
      <c r="C106" s="1" t="s">
        <v>19</v>
      </c>
      <c r="D106" s="1" t="s">
        <v>42</v>
      </c>
      <c r="E106" s="1" t="s">
        <v>21</v>
      </c>
      <c r="F106" s="1" t="s">
        <v>22</v>
      </c>
      <c r="G106" s="1" t="s">
        <v>12</v>
      </c>
      <c r="H106" s="12" t="s">
        <v>23</v>
      </c>
      <c r="I106" s="1" t="s">
        <v>23</v>
      </c>
      <c r="J106" s="1" t="s">
        <v>24</v>
      </c>
      <c r="K106" s="1" t="s">
        <v>24</v>
      </c>
      <c r="L106" s="1" t="s">
        <v>25</v>
      </c>
      <c r="M106" s="1" t="s">
        <v>24</v>
      </c>
      <c r="N106" s="1" t="s">
        <v>24</v>
      </c>
      <c r="O106" s="1" t="s">
        <v>24</v>
      </c>
      <c r="P106" s="1" t="s">
        <v>24</v>
      </c>
      <c r="Q106" s="1" t="s">
        <v>24</v>
      </c>
      <c r="R106" s="75" t="str">
        <f t="shared" si="9"/>
        <v>3845914</v>
      </c>
      <c r="S106" t="str">
        <f>VLOOKUP(A106,Data_NV!$A:$C,3,0)</f>
        <v>Nguyễn Quốc Thái</v>
      </c>
      <c r="T106" t="str">
        <f>VLOOKUP(A106,Data_NV!$A:$E,4,0)</f>
        <v>Kinh doanh</v>
      </c>
      <c r="U106" s="72">
        <f>DATEVALUE(Table2[[#This Row],[Ngày]])</f>
        <v>45914</v>
      </c>
      <c r="V106" t="str">
        <f>VLOOKUP(A106,Data_NV!$A:$E,5,0)</f>
        <v>Đang làm việc</v>
      </c>
      <c r="W106" s="11">
        <f>VLOOKUP(A106,Data_NV!$A:$I,8,0)</f>
        <v>0.33333333333333331</v>
      </c>
      <c r="X106" s="11">
        <f>VLOOKUP(A106,Data_NV!$A:$I,9,0)</f>
        <v>0.70833333333333337</v>
      </c>
      <c r="Y106" s="11">
        <f>IFERROR(TIMEVALUE(Table2[[#This Row],[Vào]]),0)</f>
        <v>0</v>
      </c>
      <c r="Z106" s="11">
        <f>IFERROR(TIMEVALUE(Table2[[#This Row],[Ra]]),0)</f>
        <v>0</v>
      </c>
      <c r="AA106" t="str">
        <f t="shared" si="12"/>
        <v/>
      </c>
      <c r="AB106" s="14">
        <f t="shared" si="10"/>
        <v>0</v>
      </c>
      <c r="AC106" s="14" t="str">
        <f>IF(VLOOKUP(A106,Data_NV!$A:$I,7,0)="Không","",IF(OR(AND(Y106=0,Z106=0),AND(Y106&lt;&gt;0,Z106&lt;&gt;0)),"","Quên chấm công"))</f>
        <v/>
      </c>
      <c r="AD106" s="14">
        <f>IF(VLOOKUP(A106,Data_NV!$A:$I,7,0)="Không",0,IF(AND(Y106=0,Z106=0),0,IF(X106&lt;=Z106,0,ROUNDDOWN((X106-Z106)*24*60,0))))</f>
        <v>0</v>
      </c>
      <c r="AE106" s="14">
        <f>IF(VLOOKUP(A106,Data_NV!$A:$I,6,0)="Không",0,IF(Z106&lt;=X106,0,ROUNDDOWN((Z106-X106)*24*60,0)))</f>
        <v>0</v>
      </c>
      <c r="AF106" s="29">
        <f t="shared" si="11"/>
        <v>0</v>
      </c>
      <c r="AG106" s="30" t="str">
        <f>IF(AC106="","",IF(COUNTIFS($AC$3:AC106,"Quên chấm công",$S$3:S106,S106)&gt;3,"Không chấm công do vi phạm quá 3 lần",IF(COUNTIFS($AC$3:AC106,"Quên chấm công",$S$3:S106,S106)&gt;2,"Trừ toàn bộ chuyên cần tháng do vi phạm lần 3",IF(COUNTIFS($AC$3:AC106,"Quên chấm công",$S$3:S106,S106)&gt;1,"Trừ 1/2 ngày lương",50000))))</f>
        <v/>
      </c>
      <c r="AH106" s="14" t="str">
        <f>IF(AF106=0,"",IF(COUNTIFS($AF$3:AF106,"&gt;0",$S$3:S106,S106)&gt;3,"Trừ toàn bộ chuyên cần tháng",""))</f>
        <v/>
      </c>
      <c r="AI106" s="14"/>
      <c r="AJ106" s="14"/>
    </row>
    <row r="107" spans="1:36" x14ac:dyDescent="0.25">
      <c r="A107" s="4" t="s">
        <v>249</v>
      </c>
      <c r="B107" s="1" t="s">
        <v>176</v>
      </c>
      <c r="C107" s="1" t="s">
        <v>19</v>
      </c>
      <c r="D107" s="1" t="s">
        <v>43</v>
      </c>
      <c r="E107" s="1" t="s">
        <v>21</v>
      </c>
      <c r="F107" s="1" t="s">
        <v>22</v>
      </c>
      <c r="G107" s="1" t="s">
        <v>12</v>
      </c>
      <c r="H107" s="12" t="s">
        <v>260</v>
      </c>
      <c r="I107" s="1" t="s">
        <v>23</v>
      </c>
      <c r="J107" s="1" t="s">
        <v>135</v>
      </c>
      <c r="K107" s="1" t="s">
        <v>24</v>
      </c>
      <c r="L107" s="1" t="s">
        <v>25</v>
      </c>
      <c r="M107" s="1" t="s">
        <v>24</v>
      </c>
      <c r="N107" s="1" t="s">
        <v>24</v>
      </c>
      <c r="O107" s="1" t="s">
        <v>24</v>
      </c>
      <c r="P107" s="1" t="s">
        <v>24</v>
      </c>
      <c r="Q107" s="1" t="s">
        <v>24</v>
      </c>
      <c r="R107" s="75" t="str">
        <f t="shared" si="9"/>
        <v>3845915</v>
      </c>
      <c r="S107" t="str">
        <f>VLOOKUP(A107,Data_NV!$A:$C,3,0)</f>
        <v>Nguyễn Quốc Thái</v>
      </c>
      <c r="T107" t="str">
        <f>VLOOKUP(A107,Data_NV!$A:$E,4,0)</f>
        <v>Kinh doanh</v>
      </c>
      <c r="U107" s="72">
        <f>DATEVALUE(Table2[[#This Row],[Ngày]])</f>
        <v>45915</v>
      </c>
      <c r="V107" t="str">
        <f>VLOOKUP(A107,Data_NV!$A:$E,5,0)</f>
        <v>Đang làm việc</v>
      </c>
      <c r="W107" s="11">
        <f>VLOOKUP(A107,Data_NV!$A:$I,8,0)</f>
        <v>0.33333333333333331</v>
      </c>
      <c r="X107" s="11">
        <f>VLOOKUP(A107,Data_NV!$A:$I,9,0)</f>
        <v>0.70833333333333337</v>
      </c>
      <c r="Y107" s="11">
        <f>IFERROR(TIMEVALUE(Table2[[#This Row],[Vào]]),0)</f>
        <v>0.33410879629629631</v>
      </c>
      <c r="Z107" s="11">
        <f>IFERROR(TIMEVALUE(Table2[[#This Row],[Ra]]),0)</f>
        <v>0</v>
      </c>
      <c r="AA107" t="str">
        <f t="shared" si="12"/>
        <v>x</v>
      </c>
      <c r="AB107" s="14">
        <f t="shared" si="10"/>
        <v>1</v>
      </c>
      <c r="AC107" s="14" t="str">
        <f>IF(VLOOKUP(A107,Data_NV!$A:$I,7,0)="Không","",IF(OR(AND(Y107=0,Z107=0),AND(Y107&lt;&gt;0,Z107&lt;&gt;0)),"","Quên chấm công"))</f>
        <v/>
      </c>
      <c r="AD107" s="14">
        <f>IF(VLOOKUP(A107,Data_NV!$A:$I,7,0)="Không",0,IF(AND(Y107=0,Z107=0),0,IF(X107&lt;=Z107,0,ROUNDDOWN((X107-Z107)*24*60,0))))</f>
        <v>0</v>
      </c>
      <c r="AE107" s="14">
        <f>IF(VLOOKUP(A107,Data_NV!$A:$I,6,0)="Không",0,IF(Z107&lt;=X107,0,ROUNDDOWN((Z107-X107)*24*60,0)))</f>
        <v>0</v>
      </c>
      <c r="AF107" s="29">
        <f t="shared" si="11"/>
        <v>0</v>
      </c>
      <c r="AG107" s="30" t="str">
        <f>IF(AC107="","",IF(COUNTIFS($AC$3:AC107,"Quên chấm công",$S$3:S107,S107)&gt;3,"Không chấm công do vi phạm quá 3 lần",IF(COUNTIFS($AC$3:AC107,"Quên chấm công",$S$3:S107,S107)&gt;2,"Trừ toàn bộ chuyên cần tháng do vi phạm lần 3",IF(COUNTIFS($AC$3:AC107,"Quên chấm công",$S$3:S107,S107)&gt;1,"Trừ 1/2 ngày lương",50000))))</f>
        <v/>
      </c>
      <c r="AH107" s="14" t="str">
        <f>IF(AF107=0,"",IF(COUNTIFS($AF$3:AF107,"&gt;0",$S$3:S107,S107)&gt;3,"Trừ toàn bộ chuyên cần tháng",""))</f>
        <v/>
      </c>
      <c r="AI107" s="14"/>
      <c r="AJ107" s="14"/>
    </row>
    <row r="108" spans="1:36" x14ac:dyDescent="0.25">
      <c r="A108" s="4" t="s">
        <v>249</v>
      </c>
      <c r="B108" s="1" t="s">
        <v>176</v>
      </c>
      <c r="C108" s="1" t="s">
        <v>19</v>
      </c>
      <c r="D108" s="1" t="s">
        <v>44</v>
      </c>
      <c r="E108" s="1" t="s">
        <v>21</v>
      </c>
      <c r="F108" s="1" t="s">
        <v>22</v>
      </c>
      <c r="G108" s="1" t="s">
        <v>12</v>
      </c>
      <c r="H108" s="12" t="s">
        <v>261</v>
      </c>
      <c r="I108" s="1" t="s">
        <v>23</v>
      </c>
      <c r="J108" s="1" t="s">
        <v>24</v>
      </c>
      <c r="K108" s="1" t="s">
        <v>24</v>
      </c>
      <c r="L108" s="1" t="s">
        <v>25</v>
      </c>
      <c r="M108" s="1" t="s">
        <v>24</v>
      </c>
      <c r="N108" s="1" t="s">
        <v>24</v>
      </c>
      <c r="O108" s="1" t="s">
        <v>24</v>
      </c>
      <c r="P108" s="1" t="s">
        <v>24</v>
      </c>
      <c r="Q108" s="1" t="s">
        <v>24</v>
      </c>
      <c r="R108" s="75" t="str">
        <f t="shared" si="9"/>
        <v>3845916</v>
      </c>
      <c r="S108" t="str">
        <f>VLOOKUP(A108,Data_NV!$A:$C,3,0)</f>
        <v>Nguyễn Quốc Thái</v>
      </c>
      <c r="T108" t="str">
        <f>VLOOKUP(A108,Data_NV!$A:$E,4,0)</f>
        <v>Kinh doanh</v>
      </c>
      <c r="U108" s="72">
        <f>DATEVALUE(Table2[[#This Row],[Ngày]])</f>
        <v>45916</v>
      </c>
      <c r="V108" t="str">
        <f>VLOOKUP(A108,Data_NV!$A:$E,5,0)</f>
        <v>Đang làm việc</v>
      </c>
      <c r="W108" s="11">
        <f>VLOOKUP(A108,Data_NV!$A:$I,8,0)</f>
        <v>0.33333333333333331</v>
      </c>
      <c r="X108" s="11">
        <f>VLOOKUP(A108,Data_NV!$A:$I,9,0)</f>
        <v>0.70833333333333337</v>
      </c>
      <c r="Y108" s="11">
        <f>IFERROR(TIMEVALUE(Table2[[#This Row],[Vào]]),0)</f>
        <v>0.32937499999999997</v>
      </c>
      <c r="Z108" s="11">
        <f>IFERROR(TIMEVALUE(Table2[[#This Row],[Ra]]),0)</f>
        <v>0</v>
      </c>
      <c r="AA108" t="str">
        <f t="shared" si="12"/>
        <v>x</v>
      </c>
      <c r="AB108" s="14">
        <f t="shared" si="10"/>
        <v>0</v>
      </c>
      <c r="AC108" s="14" t="str">
        <f>IF(VLOOKUP(A108,Data_NV!$A:$I,7,0)="Không","",IF(OR(AND(Y108=0,Z108=0),AND(Y108&lt;&gt;0,Z108&lt;&gt;0)),"","Quên chấm công"))</f>
        <v/>
      </c>
      <c r="AD108" s="14">
        <f>IF(VLOOKUP(A108,Data_NV!$A:$I,7,0)="Không",0,IF(AND(Y108=0,Z108=0),0,IF(X108&lt;=Z108,0,ROUNDDOWN((X108-Z108)*24*60,0))))</f>
        <v>0</v>
      </c>
      <c r="AE108" s="14">
        <f>IF(VLOOKUP(A108,Data_NV!$A:$I,6,0)="Không",0,IF(Z108&lt;=X108,0,ROUNDDOWN((Z108-X108)*24*60,0)))</f>
        <v>0</v>
      </c>
      <c r="AF108" s="29">
        <f t="shared" si="11"/>
        <v>0</v>
      </c>
      <c r="AG108" s="30" t="str">
        <f>IF(AC108="","",IF(COUNTIFS($AC$3:AC108,"Quên chấm công",$S$3:S108,S108)&gt;3,"Không chấm công do vi phạm quá 3 lần",IF(COUNTIFS($AC$3:AC108,"Quên chấm công",$S$3:S108,S108)&gt;2,"Trừ toàn bộ chuyên cần tháng do vi phạm lần 3",IF(COUNTIFS($AC$3:AC108,"Quên chấm công",$S$3:S108,S108)&gt;1,"Trừ 1/2 ngày lương",50000))))</f>
        <v/>
      </c>
      <c r="AH108" s="14" t="str">
        <f>IF(AF108=0,"",IF(COUNTIFS($AF$3:AF108,"&gt;0",$S$3:S108,S108)&gt;3,"Trừ toàn bộ chuyên cần tháng",""))</f>
        <v/>
      </c>
      <c r="AI108" s="14"/>
      <c r="AJ108" s="14"/>
    </row>
    <row r="109" spans="1:36" x14ac:dyDescent="0.25">
      <c r="A109" s="4" t="s">
        <v>249</v>
      </c>
      <c r="B109" s="1" t="s">
        <v>176</v>
      </c>
      <c r="C109" s="1" t="s">
        <v>19</v>
      </c>
      <c r="D109" s="1" t="s">
        <v>45</v>
      </c>
      <c r="E109" s="1" t="s">
        <v>21</v>
      </c>
      <c r="F109" s="1" t="s">
        <v>22</v>
      </c>
      <c r="G109" s="1" t="s">
        <v>12</v>
      </c>
      <c r="H109" s="12" t="s">
        <v>262</v>
      </c>
      <c r="I109" s="1" t="s">
        <v>23</v>
      </c>
      <c r="J109" s="1" t="s">
        <v>24</v>
      </c>
      <c r="K109" s="1" t="s">
        <v>24</v>
      </c>
      <c r="L109" s="1" t="s">
        <v>25</v>
      </c>
      <c r="M109" s="1" t="s">
        <v>24</v>
      </c>
      <c r="N109" s="1" t="s">
        <v>24</v>
      </c>
      <c r="O109" s="1" t="s">
        <v>24</v>
      </c>
      <c r="P109" s="1" t="s">
        <v>24</v>
      </c>
      <c r="Q109" s="1" t="s">
        <v>24</v>
      </c>
      <c r="R109" s="75" t="str">
        <f t="shared" si="9"/>
        <v>3845917</v>
      </c>
      <c r="S109" t="str">
        <f>VLOOKUP(A109,Data_NV!$A:$C,3,0)</f>
        <v>Nguyễn Quốc Thái</v>
      </c>
      <c r="T109" t="str">
        <f>VLOOKUP(A109,Data_NV!$A:$E,4,0)</f>
        <v>Kinh doanh</v>
      </c>
      <c r="U109" s="72">
        <f>DATEVALUE(Table2[[#This Row],[Ngày]])</f>
        <v>45917</v>
      </c>
      <c r="V109" t="str">
        <f>VLOOKUP(A109,Data_NV!$A:$E,5,0)</f>
        <v>Đang làm việc</v>
      </c>
      <c r="W109" s="11">
        <f>VLOOKUP(A109,Data_NV!$A:$I,8,0)</f>
        <v>0.33333333333333331</v>
      </c>
      <c r="X109" s="11">
        <f>VLOOKUP(A109,Data_NV!$A:$I,9,0)</f>
        <v>0.70833333333333337</v>
      </c>
      <c r="Y109" s="11">
        <f>IFERROR(TIMEVALUE(Table2[[#This Row],[Vào]]),0)</f>
        <v>0.32971064814814816</v>
      </c>
      <c r="Z109" s="11">
        <f>IFERROR(TIMEVALUE(Table2[[#This Row],[Ra]]),0)</f>
        <v>0</v>
      </c>
      <c r="AA109" t="str">
        <f t="shared" si="12"/>
        <v>x</v>
      </c>
      <c r="AB109" s="14">
        <f t="shared" si="10"/>
        <v>0</v>
      </c>
      <c r="AC109" s="14" t="str">
        <f>IF(VLOOKUP(A109,Data_NV!$A:$I,7,0)="Không","",IF(OR(AND(Y109=0,Z109=0),AND(Y109&lt;&gt;0,Z109&lt;&gt;0)),"","Quên chấm công"))</f>
        <v/>
      </c>
      <c r="AD109" s="14">
        <f>IF(VLOOKUP(A109,Data_NV!$A:$I,7,0)="Không",0,IF(AND(Y109=0,Z109=0),0,IF(X109&lt;=Z109,0,ROUNDDOWN((X109-Z109)*24*60,0))))</f>
        <v>0</v>
      </c>
      <c r="AE109" s="14">
        <f>IF(VLOOKUP(A109,Data_NV!$A:$I,6,0)="Không",0,IF(Z109&lt;=X109,0,ROUNDDOWN((Z109-X109)*24*60,0)))</f>
        <v>0</v>
      </c>
      <c r="AF109" s="29">
        <f t="shared" si="11"/>
        <v>0</v>
      </c>
      <c r="AG109" s="30" t="str">
        <f>IF(AC109="","",IF(COUNTIFS($AC$3:AC109,"Quên chấm công",$S$3:S109,S109)&gt;3,"Không chấm công do vi phạm quá 3 lần",IF(COUNTIFS($AC$3:AC109,"Quên chấm công",$S$3:S109,S109)&gt;2,"Trừ toàn bộ chuyên cần tháng do vi phạm lần 3",IF(COUNTIFS($AC$3:AC109,"Quên chấm công",$S$3:S109,S109)&gt;1,"Trừ 1/2 ngày lương",50000))))</f>
        <v/>
      </c>
      <c r="AH109" s="14" t="str">
        <f>IF(AF109=0,"",IF(COUNTIFS($AF$3:AF109,"&gt;0",$S$3:S109,S109)&gt;3,"Trừ toàn bộ chuyên cần tháng",""))</f>
        <v/>
      </c>
      <c r="AI109" s="14"/>
      <c r="AJ109" s="14"/>
    </row>
    <row r="110" spans="1:36" x14ac:dyDescent="0.25">
      <c r="A110" s="4" t="s">
        <v>249</v>
      </c>
      <c r="B110" s="1" t="s">
        <v>176</v>
      </c>
      <c r="C110" s="1" t="s">
        <v>19</v>
      </c>
      <c r="D110" s="1" t="s">
        <v>46</v>
      </c>
      <c r="E110" s="1" t="s">
        <v>21</v>
      </c>
      <c r="F110" s="1" t="s">
        <v>22</v>
      </c>
      <c r="G110" s="1" t="s">
        <v>12</v>
      </c>
      <c r="H110" s="12" t="s">
        <v>263</v>
      </c>
      <c r="I110" s="1" t="s">
        <v>23</v>
      </c>
      <c r="J110" s="1" t="s">
        <v>24</v>
      </c>
      <c r="K110" s="1" t="s">
        <v>24</v>
      </c>
      <c r="L110" s="1" t="s">
        <v>25</v>
      </c>
      <c r="M110" s="1" t="s">
        <v>24</v>
      </c>
      <c r="N110" s="1" t="s">
        <v>24</v>
      </c>
      <c r="O110" s="1" t="s">
        <v>24</v>
      </c>
      <c r="P110" s="1" t="s">
        <v>24</v>
      </c>
      <c r="Q110" s="1" t="s">
        <v>24</v>
      </c>
      <c r="R110" s="75" t="str">
        <f t="shared" si="9"/>
        <v>3845918</v>
      </c>
      <c r="S110" t="str">
        <f>VLOOKUP(A110,Data_NV!$A:$C,3,0)</f>
        <v>Nguyễn Quốc Thái</v>
      </c>
      <c r="T110" t="str">
        <f>VLOOKUP(A110,Data_NV!$A:$E,4,0)</f>
        <v>Kinh doanh</v>
      </c>
      <c r="U110" s="72">
        <f>DATEVALUE(Table2[[#This Row],[Ngày]])</f>
        <v>45918</v>
      </c>
      <c r="V110" t="str">
        <f>VLOOKUP(A110,Data_NV!$A:$E,5,0)</f>
        <v>Đang làm việc</v>
      </c>
      <c r="W110" s="11">
        <f>VLOOKUP(A110,Data_NV!$A:$I,8,0)</f>
        <v>0.33333333333333331</v>
      </c>
      <c r="X110" s="11">
        <f>VLOOKUP(A110,Data_NV!$A:$I,9,0)</f>
        <v>0.70833333333333337</v>
      </c>
      <c r="Y110" s="11">
        <f>IFERROR(TIMEVALUE(Table2[[#This Row],[Vào]]),0)</f>
        <v>0.33282407407407405</v>
      </c>
      <c r="Z110" s="11">
        <f>IFERROR(TIMEVALUE(Table2[[#This Row],[Ra]]),0)</f>
        <v>0</v>
      </c>
      <c r="AA110" t="str">
        <f t="shared" si="12"/>
        <v>x</v>
      </c>
      <c r="AB110" s="14">
        <f t="shared" si="10"/>
        <v>0</v>
      </c>
      <c r="AC110" s="14" t="str">
        <f>IF(VLOOKUP(A110,Data_NV!$A:$I,7,0)="Không","",IF(OR(AND(Y110=0,Z110=0),AND(Y110&lt;&gt;0,Z110&lt;&gt;0)),"","Quên chấm công"))</f>
        <v/>
      </c>
      <c r="AD110" s="14">
        <f>IF(VLOOKUP(A110,Data_NV!$A:$I,7,0)="Không",0,IF(AND(Y110=0,Z110=0),0,IF(X110&lt;=Z110,0,ROUNDDOWN((X110-Z110)*24*60,0))))</f>
        <v>0</v>
      </c>
      <c r="AE110" s="14">
        <f>IF(VLOOKUP(A110,Data_NV!$A:$I,6,0)="Không",0,IF(Z110&lt;=X110,0,ROUNDDOWN((Z110-X110)*24*60,0)))</f>
        <v>0</v>
      </c>
      <c r="AF110" s="29">
        <f t="shared" si="11"/>
        <v>0</v>
      </c>
      <c r="AG110" s="30" t="str">
        <f>IF(AC110="","",IF(COUNTIFS($AC$3:AC110,"Quên chấm công",$S$3:S110,S110)&gt;3,"Không chấm công do vi phạm quá 3 lần",IF(COUNTIFS($AC$3:AC110,"Quên chấm công",$S$3:S110,S110)&gt;2,"Trừ toàn bộ chuyên cần tháng do vi phạm lần 3",IF(COUNTIFS($AC$3:AC110,"Quên chấm công",$S$3:S110,S110)&gt;1,"Trừ 1/2 ngày lương",50000))))</f>
        <v/>
      </c>
      <c r="AH110" s="14" t="str">
        <f>IF(AF110=0,"",IF(COUNTIFS($AF$3:AF110,"&gt;0",$S$3:S110,S110)&gt;3,"Trừ toàn bộ chuyên cần tháng",""))</f>
        <v/>
      </c>
      <c r="AI110" s="14"/>
      <c r="AJ110" s="14"/>
    </row>
    <row r="111" spans="1:36" x14ac:dyDescent="0.25">
      <c r="A111" s="4" t="s">
        <v>249</v>
      </c>
      <c r="B111" s="1" t="s">
        <v>176</v>
      </c>
      <c r="C111" s="1" t="s">
        <v>19</v>
      </c>
      <c r="D111" s="1" t="s">
        <v>48</v>
      </c>
      <c r="E111" s="1" t="s">
        <v>21</v>
      </c>
      <c r="F111" s="1" t="s">
        <v>22</v>
      </c>
      <c r="G111" s="1" t="s">
        <v>12</v>
      </c>
      <c r="H111" s="12" t="s">
        <v>264</v>
      </c>
      <c r="I111" s="1" t="s">
        <v>23</v>
      </c>
      <c r="J111" s="1" t="s">
        <v>24</v>
      </c>
      <c r="K111" s="1" t="s">
        <v>24</v>
      </c>
      <c r="L111" s="1" t="s">
        <v>25</v>
      </c>
      <c r="M111" s="1" t="s">
        <v>24</v>
      </c>
      <c r="N111" s="1" t="s">
        <v>24</v>
      </c>
      <c r="O111" s="1" t="s">
        <v>24</v>
      </c>
      <c r="P111" s="1" t="s">
        <v>24</v>
      </c>
      <c r="Q111" s="1" t="s">
        <v>24</v>
      </c>
      <c r="R111" s="75" t="str">
        <f t="shared" si="9"/>
        <v>3845919</v>
      </c>
      <c r="S111" t="str">
        <f>VLOOKUP(A111,Data_NV!$A:$C,3,0)</f>
        <v>Nguyễn Quốc Thái</v>
      </c>
      <c r="T111" t="str">
        <f>VLOOKUP(A111,Data_NV!$A:$E,4,0)</f>
        <v>Kinh doanh</v>
      </c>
      <c r="U111" s="72">
        <f>DATEVALUE(Table2[[#This Row],[Ngày]])</f>
        <v>45919</v>
      </c>
      <c r="V111" t="str">
        <f>VLOOKUP(A111,Data_NV!$A:$E,5,0)</f>
        <v>Đang làm việc</v>
      </c>
      <c r="W111" s="11">
        <f>VLOOKUP(A111,Data_NV!$A:$I,8,0)</f>
        <v>0.33333333333333331</v>
      </c>
      <c r="X111" s="11">
        <f>VLOOKUP(A111,Data_NV!$A:$I,9,0)</f>
        <v>0.70833333333333337</v>
      </c>
      <c r="Y111" s="11">
        <f>IFERROR(TIMEVALUE(Table2[[#This Row],[Vào]]),0)</f>
        <v>0.32643518518518516</v>
      </c>
      <c r="Z111" s="11">
        <f>IFERROR(TIMEVALUE(Table2[[#This Row],[Ra]]),0)</f>
        <v>0</v>
      </c>
      <c r="AA111" t="str">
        <f t="shared" si="12"/>
        <v>x</v>
      </c>
      <c r="AB111" s="14">
        <f t="shared" si="10"/>
        <v>0</v>
      </c>
      <c r="AC111" s="14" t="str">
        <f>IF(VLOOKUP(A111,Data_NV!$A:$I,7,0)="Không","",IF(OR(AND(Y111=0,Z111=0),AND(Y111&lt;&gt;0,Z111&lt;&gt;0)),"","Quên chấm công"))</f>
        <v/>
      </c>
      <c r="AD111" s="14">
        <f>IF(VLOOKUP(A111,Data_NV!$A:$I,7,0)="Không",0,IF(AND(Y111=0,Z111=0),0,IF(X111&lt;=Z111,0,ROUNDDOWN((X111-Z111)*24*60,0))))</f>
        <v>0</v>
      </c>
      <c r="AE111" s="14">
        <f>IF(VLOOKUP(A111,Data_NV!$A:$I,6,0)="Không",0,IF(Z111&lt;=X111,0,ROUNDDOWN((Z111-X111)*24*60,0)))</f>
        <v>0</v>
      </c>
      <c r="AF111" s="29">
        <f t="shared" si="11"/>
        <v>0</v>
      </c>
      <c r="AG111" s="30" t="str">
        <f>IF(AC111="","",IF(COUNTIFS($AC$3:AC111,"Quên chấm công",$S$3:S111,S111)&gt;3,"Không chấm công do vi phạm quá 3 lần",IF(COUNTIFS($AC$3:AC111,"Quên chấm công",$S$3:S111,S111)&gt;2,"Trừ toàn bộ chuyên cần tháng do vi phạm lần 3",IF(COUNTIFS($AC$3:AC111,"Quên chấm công",$S$3:S111,S111)&gt;1,"Trừ 1/2 ngày lương",50000))))</f>
        <v/>
      </c>
      <c r="AH111" s="14" t="str">
        <f>IF(AF111=0,"",IF(COUNTIFS($AF$3:AF111,"&gt;0",$S$3:S111,S111)&gt;3,"Trừ toàn bộ chuyên cần tháng",""))</f>
        <v/>
      </c>
      <c r="AI111" s="14"/>
      <c r="AJ111" s="14"/>
    </row>
    <row r="112" spans="1:36" x14ac:dyDescent="0.25">
      <c r="A112" s="4" t="s">
        <v>249</v>
      </c>
      <c r="B112" s="1" t="s">
        <v>176</v>
      </c>
      <c r="C112" s="1" t="s">
        <v>19</v>
      </c>
      <c r="D112" s="1" t="s">
        <v>50</v>
      </c>
      <c r="E112" s="1" t="s">
        <v>21</v>
      </c>
      <c r="F112" s="1" t="s">
        <v>22</v>
      </c>
      <c r="G112" s="1" t="s">
        <v>12</v>
      </c>
      <c r="H112" s="12" t="s">
        <v>23</v>
      </c>
      <c r="I112" s="1" t="s">
        <v>23</v>
      </c>
      <c r="J112" s="1" t="s">
        <v>24</v>
      </c>
      <c r="K112" s="1" t="s">
        <v>24</v>
      </c>
      <c r="L112" s="1" t="s">
        <v>25</v>
      </c>
      <c r="M112" s="1" t="s">
        <v>24</v>
      </c>
      <c r="N112" s="1" t="s">
        <v>24</v>
      </c>
      <c r="O112" s="1" t="s">
        <v>24</v>
      </c>
      <c r="P112" s="1" t="s">
        <v>24</v>
      </c>
      <c r="Q112" s="1" t="s">
        <v>24</v>
      </c>
      <c r="R112" s="75" t="str">
        <f t="shared" si="9"/>
        <v>3845920</v>
      </c>
      <c r="S112" t="str">
        <f>VLOOKUP(A112,Data_NV!$A:$C,3,0)</f>
        <v>Nguyễn Quốc Thái</v>
      </c>
      <c r="T112" t="str">
        <f>VLOOKUP(A112,Data_NV!$A:$E,4,0)</f>
        <v>Kinh doanh</v>
      </c>
      <c r="U112" s="72">
        <f>DATEVALUE(Table2[[#This Row],[Ngày]])</f>
        <v>45920</v>
      </c>
      <c r="V112" t="str">
        <f>VLOOKUP(A112,Data_NV!$A:$E,5,0)</f>
        <v>Đang làm việc</v>
      </c>
      <c r="W112" s="11">
        <f>VLOOKUP(A112,Data_NV!$A:$I,8,0)</f>
        <v>0.33333333333333331</v>
      </c>
      <c r="X112" s="11">
        <f>VLOOKUP(A112,Data_NV!$A:$I,9,0)</f>
        <v>0.70833333333333337</v>
      </c>
      <c r="Y112" s="11">
        <f>IFERROR(TIMEVALUE(Table2[[#This Row],[Vào]]),0)</f>
        <v>0</v>
      </c>
      <c r="Z112" s="11">
        <f>IFERROR(TIMEVALUE(Table2[[#This Row],[Ra]]),0)</f>
        <v>0</v>
      </c>
      <c r="AA112" t="str">
        <f t="shared" si="12"/>
        <v/>
      </c>
      <c r="AB112" s="14">
        <f t="shared" si="10"/>
        <v>0</v>
      </c>
      <c r="AC112" s="14" t="str">
        <f>IF(VLOOKUP(A112,Data_NV!$A:$I,7,0)="Không","",IF(OR(AND(Y112=0,Z112=0),AND(Y112&lt;&gt;0,Z112&lt;&gt;0)),"","Quên chấm công"))</f>
        <v/>
      </c>
      <c r="AD112" s="14">
        <f>IF(VLOOKUP(A112,Data_NV!$A:$I,7,0)="Không",0,IF(AND(Y112=0,Z112=0),0,IF(X112&lt;=Z112,0,ROUNDDOWN((X112-Z112)*24*60,0))))</f>
        <v>0</v>
      </c>
      <c r="AE112" s="14">
        <f>IF(VLOOKUP(A112,Data_NV!$A:$I,6,0)="Không",0,IF(Z112&lt;=X112,0,ROUNDDOWN((Z112-X112)*24*60,0)))</f>
        <v>0</v>
      </c>
      <c r="AF112" s="29">
        <f t="shared" si="11"/>
        <v>0</v>
      </c>
      <c r="AG112" s="30" t="str">
        <f>IF(AC112="","",IF(COUNTIFS($AC$3:AC112,"Quên chấm công",$S$3:S112,S112)&gt;3,"Không chấm công do vi phạm quá 3 lần",IF(COUNTIFS($AC$3:AC112,"Quên chấm công",$S$3:S112,S112)&gt;2,"Trừ toàn bộ chuyên cần tháng do vi phạm lần 3",IF(COUNTIFS($AC$3:AC112,"Quên chấm công",$S$3:S112,S112)&gt;1,"Trừ 1/2 ngày lương",50000))))</f>
        <v/>
      </c>
      <c r="AH112" s="14" t="str">
        <f>IF(AF112=0,"",IF(COUNTIFS($AF$3:AF112,"&gt;0",$S$3:S112,S112)&gt;3,"Trừ toàn bộ chuyên cần tháng",""))</f>
        <v/>
      </c>
      <c r="AI112" s="14"/>
      <c r="AJ112" s="14"/>
    </row>
    <row r="113" spans="1:36" x14ac:dyDescent="0.25">
      <c r="A113" s="4" t="s">
        <v>249</v>
      </c>
      <c r="B113" s="1" t="s">
        <v>176</v>
      </c>
      <c r="C113" s="1" t="s">
        <v>19</v>
      </c>
      <c r="D113" s="1" t="s">
        <v>51</v>
      </c>
      <c r="E113" s="1" t="s">
        <v>21</v>
      </c>
      <c r="F113" s="1" t="s">
        <v>22</v>
      </c>
      <c r="G113" s="1" t="s">
        <v>12</v>
      </c>
      <c r="H113" s="12" t="s">
        <v>23</v>
      </c>
      <c r="I113" s="1" t="s">
        <v>23</v>
      </c>
      <c r="J113" s="1" t="s">
        <v>24</v>
      </c>
      <c r="K113" s="1" t="s">
        <v>24</v>
      </c>
      <c r="L113" s="1" t="s">
        <v>25</v>
      </c>
      <c r="M113" s="1" t="s">
        <v>24</v>
      </c>
      <c r="N113" s="1" t="s">
        <v>24</v>
      </c>
      <c r="O113" s="1" t="s">
        <v>24</v>
      </c>
      <c r="P113" s="1" t="s">
        <v>24</v>
      </c>
      <c r="Q113" s="1" t="s">
        <v>24</v>
      </c>
      <c r="R113" s="75" t="str">
        <f t="shared" si="9"/>
        <v>3845921</v>
      </c>
      <c r="S113" t="str">
        <f>VLOOKUP(A113,Data_NV!$A:$C,3,0)</f>
        <v>Nguyễn Quốc Thái</v>
      </c>
      <c r="T113" t="str">
        <f>VLOOKUP(A113,Data_NV!$A:$E,4,0)</f>
        <v>Kinh doanh</v>
      </c>
      <c r="U113" s="72">
        <f>DATEVALUE(Table2[[#This Row],[Ngày]])</f>
        <v>45921</v>
      </c>
      <c r="V113" t="str">
        <f>VLOOKUP(A113,Data_NV!$A:$E,5,0)</f>
        <v>Đang làm việc</v>
      </c>
      <c r="W113" s="11">
        <f>VLOOKUP(A113,Data_NV!$A:$I,8,0)</f>
        <v>0.33333333333333331</v>
      </c>
      <c r="X113" s="11">
        <f>VLOOKUP(A113,Data_NV!$A:$I,9,0)</f>
        <v>0.70833333333333337</v>
      </c>
      <c r="Y113" s="11">
        <f>IFERROR(TIMEVALUE(Table2[[#This Row],[Vào]]),0)</f>
        <v>0</v>
      </c>
      <c r="Z113" s="11">
        <f>IFERROR(TIMEVALUE(Table2[[#This Row],[Ra]]),0)</f>
        <v>0</v>
      </c>
      <c r="AA113" t="str">
        <f t="shared" si="12"/>
        <v/>
      </c>
      <c r="AB113" s="14">
        <f t="shared" si="10"/>
        <v>0</v>
      </c>
      <c r="AC113" s="14" t="str">
        <f>IF(VLOOKUP(A113,Data_NV!$A:$I,7,0)="Không","",IF(OR(AND(Y113=0,Z113=0),AND(Y113&lt;&gt;0,Z113&lt;&gt;0)),"","Quên chấm công"))</f>
        <v/>
      </c>
      <c r="AD113" s="14">
        <f>IF(VLOOKUP(A113,Data_NV!$A:$I,7,0)="Không",0,IF(AND(Y113=0,Z113=0),0,IF(X113&lt;=Z113,0,ROUNDDOWN((X113-Z113)*24*60,0))))</f>
        <v>0</v>
      </c>
      <c r="AE113" s="14">
        <f>IF(VLOOKUP(A113,Data_NV!$A:$I,6,0)="Không",0,IF(Z113&lt;=X113,0,ROUNDDOWN((Z113-X113)*24*60,0)))</f>
        <v>0</v>
      </c>
      <c r="AF113" s="29">
        <f t="shared" si="11"/>
        <v>0</v>
      </c>
      <c r="AG113" s="30" t="str">
        <f>IF(AC113="","",IF(COUNTIFS($AC$3:AC113,"Quên chấm công",$S$3:S113,S113)&gt;3,"Không chấm công do vi phạm quá 3 lần",IF(COUNTIFS($AC$3:AC113,"Quên chấm công",$S$3:S113,S113)&gt;2,"Trừ toàn bộ chuyên cần tháng do vi phạm lần 3",IF(COUNTIFS($AC$3:AC113,"Quên chấm công",$S$3:S113,S113)&gt;1,"Trừ 1/2 ngày lương",50000))))</f>
        <v/>
      </c>
      <c r="AH113" s="14" t="str">
        <f>IF(AF113=0,"",IF(COUNTIFS($AF$3:AF113,"&gt;0",$S$3:S113,S113)&gt;3,"Trừ toàn bộ chuyên cần tháng",""))</f>
        <v/>
      </c>
      <c r="AI113" s="14"/>
      <c r="AJ113" s="14"/>
    </row>
    <row r="114" spans="1:36" x14ac:dyDescent="0.25">
      <c r="A114" s="4" t="s">
        <v>249</v>
      </c>
      <c r="B114" s="1" t="s">
        <v>176</v>
      </c>
      <c r="C114" s="1" t="s">
        <v>19</v>
      </c>
      <c r="D114" s="1" t="s">
        <v>52</v>
      </c>
      <c r="E114" s="1" t="s">
        <v>21</v>
      </c>
      <c r="F114" s="1" t="s">
        <v>22</v>
      </c>
      <c r="G114" s="1" t="s">
        <v>12</v>
      </c>
      <c r="H114" s="12" t="s">
        <v>265</v>
      </c>
      <c r="I114" s="1" t="s">
        <v>23</v>
      </c>
      <c r="J114" s="1" t="s">
        <v>24</v>
      </c>
      <c r="K114" s="1" t="s">
        <v>24</v>
      </c>
      <c r="L114" s="1" t="s">
        <v>25</v>
      </c>
      <c r="M114" s="1" t="s">
        <v>24</v>
      </c>
      <c r="N114" s="1" t="s">
        <v>24</v>
      </c>
      <c r="O114" s="1" t="s">
        <v>24</v>
      </c>
      <c r="P114" s="1" t="s">
        <v>24</v>
      </c>
      <c r="Q114" s="1" t="s">
        <v>24</v>
      </c>
      <c r="R114" s="75" t="str">
        <f t="shared" si="9"/>
        <v>3845922</v>
      </c>
      <c r="S114" t="str">
        <f>VLOOKUP(A114,Data_NV!$A:$C,3,0)</f>
        <v>Nguyễn Quốc Thái</v>
      </c>
      <c r="T114" t="str">
        <f>VLOOKUP(A114,Data_NV!$A:$E,4,0)</f>
        <v>Kinh doanh</v>
      </c>
      <c r="U114" s="72">
        <f>DATEVALUE(Table2[[#This Row],[Ngày]])</f>
        <v>45922</v>
      </c>
      <c r="V114" t="str">
        <f>VLOOKUP(A114,Data_NV!$A:$E,5,0)</f>
        <v>Đang làm việc</v>
      </c>
      <c r="W114" s="11">
        <f>VLOOKUP(A114,Data_NV!$A:$I,8,0)</f>
        <v>0.33333333333333331</v>
      </c>
      <c r="X114" s="11">
        <f>VLOOKUP(A114,Data_NV!$A:$I,9,0)</f>
        <v>0.70833333333333337</v>
      </c>
      <c r="Y114" s="11">
        <f>IFERROR(TIMEVALUE(Table2[[#This Row],[Vào]]),0)</f>
        <v>0.32677083333333334</v>
      </c>
      <c r="Z114" s="11">
        <f>IFERROR(TIMEVALUE(Table2[[#This Row],[Ra]]),0)</f>
        <v>0</v>
      </c>
      <c r="AA114" t="str">
        <f t="shared" si="12"/>
        <v>x</v>
      </c>
      <c r="AB114" s="14">
        <f t="shared" si="10"/>
        <v>0</v>
      </c>
      <c r="AC114" s="14" t="str">
        <f>IF(VLOOKUP(A114,Data_NV!$A:$I,7,0)="Không","",IF(OR(AND(Y114=0,Z114=0),AND(Y114&lt;&gt;0,Z114&lt;&gt;0)),"","Quên chấm công"))</f>
        <v/>
      </c>
      <c r="AD114" s="14">
        <f>IF(VLOOKUP(A114,Data_NV!$A:$I,7,0)="Không",0,IF(AND(Y114=0,Z114=0),0,IF(X114&lt;=Z114,0,ROUNDDOWN((X114-Z114)*24*60,0))))</f>
        <v>0</v>
      </c>
      <c r="AE114" s="14">
        <f>IF(VLOOKUP(A114,Data_NV!$A:$I,6,0)="Không",0,IF(Z114&lt;=X114,0,ROUNDDOWN((Z114-X114)*24*60,0)))</f>
        <v>0</v>
      </c>
      <c r="AF114" s="29">
        <f t="shared" si="11"/>
        <v>0</v>
      </c>
      <c r="AG114" s="30" t="str">
        <f>IF(AC114="","",IF(COUNTIFS($AC$3:AC114,"Quên chấm công",$S$3:S114,S114)&gt;3,"Không chấm công do vi phạm quá 3 lần",IF(COUNTIFS($AC$3:AC114,"Quên chấm công",$S$3:S114,S114)&gt;2,"Trừ toàn bộ chuyên cần tháng do vi phạm lần 3",IF(COUNTIFS($AC$3:AC114,"Quên chấm công",$S$3:S114,S114)&gt;1,"Trừ 1/2 ngày lương",50000))))</f>
        <v/>
      </c>
      <c r="AH114" s="14" t="str">
        <f>IF(AF114=0,"",IF(COUNTIFS($AF$3:AF114,"&gt;0",$S$3:S114,S114)&gt;3,"Trừ toàn bộ chuyên cần tháng",""))</f>
        <v/>
      </c>
      <c r="AI114" s="14"/>
      <c r="AJ114" s="14"/>
    </row>
    <row r="115" spans="1:36" x14ac:dyDescent="0.25">
      <c r="A115" s="4" t="s">
        <v>249</v>
      </c>
      <c r="B115" s="1" t="s">
        <v>176</v>
      </c>
      <c r="C115" s="1" t="s">
        <v>19</v>
      </c>
      <c r="D115" s="1" t="s">
        <v>54</v>
      </c>
      <c r="E115" s="1" t="s">
        <v>21</v>
      </c>
      <c r="F115" s="1" t="s">
        <v>22</v>
      </c>
      <c r="G115" s="1" t="s">
        <v>12</v>
      </c>
      <c r="H115" s="12" t="s">
        <v>266</v>
      </c>
      <c r="I115" s="1" t="s">
        <v>23</v>
      </c>
      <c r="J115" s="1" t="s">
        <v>24</v>
      </c>
      <c r="K115" s="1" t="s">
        <v>24</v>
      </c>
      <c r="L115" s="1" t="s">
        <v>25</v>
      </c>
      <c r="M115" s="1" t="s">
        <v>24</v>
      </c>
      <c r="N115" s="1" t="s">
        <v>24</v>
      </c>
      <c r="O115" s="1" t="s">
        <v>24</v>
      </c>
      <c r="P115" s="1" t="s">
        <v>24</v>
      </c>
      <c r="Q115" s="1" t="s">
        <v>24</v>
      </c>
      <c r="R115" s="75" t="str">
        <f t="shared" si="9"/>
        <v>3845923</v>
      </c>
      <c r="S115" t="str">
        <f>VLOOKUP(A115,Data_NV!$A:$C,3,0)</f>
        <v>Nguyễn Quốc Thái</v>
      </c>
      <c r="T115" t="str">
        <f>VLOOKUP(A115,Data_NV!$A:$E,4,0)</f>
        <v>Kinh doanh</v>
      </c>
      <c r="U115" s="72">
        <f>DATEVALUE(Table2[[#This Row],[Ngày]])</f>
        <v>45923</v>
      </c>
      <c r="V115" t="str">
        <f>VLOOKUP(A115,Data_NV!$A:$E,5,0)</f>
        <v>Đang làm việc</v>
      </c>
      <c r="W115" s="11">
        <f>VLOOKUP(A115,Data_NV!$A:$I,8,0)</f>
        <v>0.33333333333333331</v>
      </c>
      <c r="X115" s="11">
        <f>VLOOKUP(A115,Data_NV!$A:$I,9,0)</f>
        <v>0.70833333333333337</v>
      </c>
      <c r="Y115" s="11">
        <f>IFERROR(TIMEVALUE(Table2[[#This Row],[Vào]]),0)</f>
        <v>0.33127314814814812</v>
      </c>
      <c r="Z115" s="11">
        <f>IFERROR(TIMEVALUE(Table2[[#This Row],[Ra]]),0)</f>
        <v>0</v>
      </c>
      <c r="AA115" t="str">
        <f t="shared" si="12"/>
        <v>x</v>
      </c>
      <c r="AB115" s="14">
        <f t="shared" si="10"/>
        <v>0</v>
      </c>
      <c r="AC115" s="14" t="str">
        <f>IF(VLOOKUP(A115,Data_NV!$A:$I,7,0)="Không","",IF(OR(AND(Y115=0,Z115=0),AND(Y115&lt;&gt;0,Z115&lt;&gt;0)),"","Quên chấm công"))</f>
        <v/>
      </c>
      <c r="AD115" s="14">
        <f>IF(VLOOKUP(A115,Data_NV!$A:$I,7,0)="Không",0,IF(AND(Y115=0,Z115=0),0,IF(X115&lt;=Z115,0,ROUNDDOWN((X115-Z115)*24*60,0))))</f>
        <v>0</v>
      </c>
      <c r="AE115" s="14">
        <f>IF(VLOOKUP(A115,Data_NV!$A:$I,6,0)="Không",0,IF(Z115&lt;=X115,0,ROUNDDOWN((Z115-X115)*24*60,0)))</f>
        <v>0</v>
      </c>
      <c r="AF115" s="29">
        <f t="shared" si="11"/>
        <v>0</v>
      </c>
      <c r="AG115" s="30" t="str">
        <f>IF(AC115="","",IF(COUNTIFS($AC$3:AC115,"Quên chấm công",$S$3:S115,S115)&gt;3,"Không chấm công do vi phạm quá 3 lần",IF(COUNTIFS($AC$3:AC115,"Quên chấm công",$S$3:S115,S115)&gt;2,"Trừ toàn bộ chuyên cần tháng do vi phạm lần 3",IF(COUNTIFS($AC$3:AC115,"Quên chấm công",$S$3:S115,S115)&gt;1,"Trừ 1/2 ngày lương",50000))))</f>
        <v/>
      </c>
      <c r="AH115" s="14" t="str">
        <f>IF(AF115=0,"",IF(COUNTIFS($AF$3:AF115,"&gt;0",$S$3:S115,S115)&gt;3,"Trừ toàn bộ chuyên cần tháng",""))</f>
        <v/>
      </c>
      <c r="AI115" s="14"/>
      <c r="AJ115" s="14"/>
    </row>
    <row r="116" spans="1:36" x14ac:dyDescent="0.25">
      <c r="A116" s="4" t="s">
        <v>249</v>
      </c>
      <c r="B116" s="1" t="s">
        <v>176</v>
      </c>
      <c r="C116" s="1" t="s">
        <v>19</v>
      </c>
      <c r="D116" s="1" t="s">
        <v>55</v>
      </c>
      <c r="E116" s="1" t="s">
        <v>21</v>
      </c>
      <c r="F116" s="1" t="s">
        <v>22</v>
      </c>
      <c r="G116" s="1" t="s">
        <v>12</v>
      </c>
      <c r="H116" s="12" t="s">
        <v>267</v>
      </c>
      <c r="I116" s="1" t="s">
        <v>23</v>
      </c>
      <c r="J116" s="1" t="s">
        <v>24</v>
      </c>
      <c r="K116" s="1" t="s">
        <v>24</v>
      </c>
      <c r="L116" s="1" t="s">
        <v>25</v>
      </c>
      <c r="M116" s="1" t="s">
        <v>24</v>
      </c>
      <c r="N116" s="1" t="s">
        <v>24</v>
      </c>
      <c r="O116" s="1" t="s">
        <v>24</v>
      </c>
      <c r="P116" s="1" t="s">
        <v>24</v>
      </c>
      <c r="Q116" s="1" t="s">
        <v>24</v>
      </c>
      <c r="R116" s="75" t="str">
        <f t="shared" si="9"/>
        <v>3845924</v>
      </c>
      <c r="S116" t="str">
        <f>VLOOKUP(A116,Data_NV!$A:$C,3,0)</f>
        <v>Nguyễn Quốc Thái</v>
      </c>
      <c r="T116" t="str">
        <f>VLOOKUP(A116,Data_NV!$A:$E,4,0)</f>
        <v>Kinh doanh</v>
      </c>
      <c r="U116" s="72">
        <f>DATEVALUE(Table2[[#This Row],[Ngày]])</f>
        <v>45924</v>
      </c>
      <c r="V116" t="str">
        <f>VLOOKUP(A116,Data_NV!$A:$E,5,0)</f>
        <v>Đang làm việc</v>
      </c>
      <c r="W116" s="11">
        <f>VLOOKUP(A116,Data_NV!$A:$I,8,0)</f>
        <v>0.33333333333333331</v>
      </c>
      <c r="X116" s="11">
        <f>VLOOKUP(A116,Data_NV!$A:$I,9,0)</f>
        <v>0.70833333333333337</v>
      </c>
      <c r="Y116" s="11">
        <f>IFERROR(TIMEVALUE(Table2[[#This Row],[Vào]]),0)</f>
        <v>0.32503472222222224</v>
      </c>
      <c r="Z116" s="11">
        <f>IFERROR(TIMEVALUE(Table2[[#This Row],[Ra]]),0)</f>
        <v>0</v>
      </c>
      <c r="AA116" t="str">
        <f t="shared" si="12"/>
        <v>x</v>
      </c>
      <c r="AB116" s="14">
        <f t="shared" si="10"/>
        <v>0</v>
      </c>
      <c r="AC116" s="14" t="str">
        <f>IF(VLOOKUP(A116,Data_NV!$A:$I,7,0)="Không","",IF(OR(AND(Y116=0,Z116=0),AND(Y116&lt;&gt;0,Z116&lt;&gt;0)),"","Quên chấm công"))</f>
        <v/>
      </c>
      <c r="AD116" s="14">
        <f>IF(VLOOKUP(A116,Data_NV!$A:$I,7,0)="Không",0,IF(AND(Y116=0,Z116=0),0,IF(X116&lt;=Z116,0,ROUNDDOWN((X116-Z116)*24*60,0))))</f>
        <v>0</v>
      </c>
      <c r="AE116" s="14">
        <f>IF(VLOOKUP(A116,Data_NV!$A:$I,6,0)="Không",0,IF(Z116&lt;=X116,0,ROUNDDOWN((Z116-X116)*24*60,0)))</f>
        <v>0</v>
      </c>
      <c r="AF116" s="29">
        <f t="shared" si="11"/>
        <v>0</v>
      </c>
      <c r="AG116" s="30" t="str">
        <f>IF(AC116="","",IF(COUNTIFS($AC$3:AC116,"Quên chấm công",$S$3:S116,S116)&gt;3,"Không chấm công do vi phạm quá 3 lần",IF(COUNTIFS($AC$3:AC116,"Quên chấm công",$S$3:S116,S116)&gt;2,"Trừ toàn bộ chuyên cần tháng do vi phạm lần 3",IF(COUNTIFS($AC$3:AC116,"Quên chấm công",$S$3:S116,S116)&gt;1,"Trừ 1/2 ngày lương",50000))))</f>
        <v/>
      </c>
      <c r="AH116" s="14" t="str">
        <f>IF(AF116=0,"",IF(COUNTIFS($AF$3:AF116,"&gt;0",$S$3:S116,S116)&gt;3,"Trừ toàn bộ chuyên cần tháng",""))</f>
        <v/>
      </c>
      <c r="AI116" s="14"/>
      <c r="AJ116" s="14"/>
    </row>
    <row r="117" spans="1:36" x14ac:dyDescent="0.25">
      <c r="A117" s="4" t="s">
        <v>249</v>
      </c>
      <c r="B117" s="1" t="s">
        <v>176</v>
      </c>
      <c r="C117" s="1" t="s">
        <v>19</v>
      </c>
      <c r="D117" s="1" t="s">
        <v>56</v>
      </c>
      <c r="E117" s="1" t="s">
        <v>21</v>
      </c>
      <c r="F117" s="1" t="s">
        <v>22</v>
      </c>
      <c r="G117" s="1" t="s">
        <v>12</v>
      </c>
      <c r="H117" s="12" t="s">
        <v>268</v>
      </c>
      <c r="I117" s="1" t="s">
        <v>23</v>
      </c>
      <c r="J117" s="1" t="s">
        <v>181</v>
      </c>
      <c r="K117" s="1" t="s">
        <v>24</v>
      </c>
      <c r="L117" s="1" t="s">
        <v>25</v>
      </c>
      <c r="M117" s="1" t="s">
        <v>24</v>
      </c>
      <c r="N117" s="1" t="s">
        <v>24</v>
      </c>
      <c r="O117" s="1" t="s">
        <v>24</v>
      </c>
      <c r="P117" s="1" t="s">
        <v>24</v>
      </c>
      <c r="Q117" s="1" t="s">
        <v>24</v>
      </c>
      <c r="R117" s="75" t="str">
        <f t="shared" si="9"/>
        <v>3845925</v>
      </c>
      <c r="S117" t="str">
        <f>VLOOKUP(A117,Data_NV!$A:$C,3,0)</f>
        <v>Nguyễn Quốc Thái</v>
      </c>
      <c r="T117" t="str">
        <f>VLOOKUP(A117,Data_NV!$A:$E,4,0)</f>
        <v>Kinh doanh</v>
      </c>
      <c r="U117" s="72">
        <f>DATEVALUE(Table2[[#This Row],[Ngày]])</f>
        <v>45925</v>
      </c>
      <c r="V117" t="str">
        <f>VLOOKUP(A117,Data_NV!$A:$E,5,0)</f>
        <v>Đang làm việc</v>
      </c>
      <c r="W117" s="11">
        <f>VLOOKUP(A117,Data_NV!$A:$I,8,0)</f>
        <v>0.33333333333333331</v>
      </c>
      <c r="X117" s="11">
        <f>VLOOKUP(A117,Data_NV!$A:$I,9,0)</f>
        <v>0.70833333333333337</v>
      </c>
      <c r="Y117" s="11">
        <f>IFERROR(TIMEVALUE(Table2[[#This Row],[Vào]]),0)</f>
        <v>0.33656249999999999</v>
      </c>
      <c r="Z117" s="11">
        <f>IFERROR(TIMEVALUE(Table2[[#This Row],[Ra]]),0)</f>
        <v>0</v>
      </c>
      <c r="AA117" t="str">
        <f t="shared" si="12"/>
        <v>x</v>
      </c>
      <c r="AB117" s="14">
        <f t="shared" si="10"/>
        <v>4</v>
      </c>
      <c r="AC117" s="14" t="str">
        <f>IF(VLOOKUP(A117,Data_NV!$A:$I,7,0)="Không","",IF(OR(AND(Y117=0,Z117=0),AND(Y117&lt;&gt;0,Z117&lt;&gt;0)),"","Quên chấm công"))</f>
        <v/>
      </c>
      <c r="AD117" s="14">
        <f>IF(VLOOKUP(A117,Data_NV!$A:$I,7,0)="Không",0,IF(AND(Y117=0,Z117=0),0,IF(X117&lt;=Z117,0,ROUNDDOWN((X117-Z117)*24*60,0))))</f>
        <v>0</v>
      </c>
      <c r="AE117" s="14">
        <f>IF(VLOOKUP(A117,Data_NV!$A:$I,6,0)="Không",0,IF(Z117&lt;=X117,0,ROUNDDOWN((Z117-X117)*24*60,0)))</f>
        <v>0</v>
      </c>
      <c r="AF117" s="29">
        <f t="shared" si="11"/>
        <v>0</v>
      </c>
      <c r="AG117" s="30" t="str">
        <f>IF(AC117="","",IF(COUNTIFS($AC$3:AC117,"Quên chấm công",$S$3:S117,S117)&gt;3,"Không chấm công do vi phạm quá 3 lần",IF(COUNTIFS($AC$3:AC117,"Quên chấm công",$S$3:S117,S117)&gt;2,"Trừ toàn bộ chuyên cần tháng do vi phạm lần 3",IF(COUNTIFS($AC$3:AC117,"Quên chấm công",$S$3:S117,S117)&gt;1,"Trừ 1/2 ngày lương",50000))))</f>
        <v/>
      </c>
      <c r="AH117" s="14" t="str">
        <f>IF(AF117=0,"",IF(COUNTIFS($AF$3:AF117,"&gt;0",$S$3:S117,S117)&gt;3,"Trừ toàn bộ chuyên cần tháng",""))</f>
        <v/>
      </c>
      <c r="AI117" s="14"/>
      <c r="AJ117" s="14"/>
    </row>
    <row r="118" spans="1:36" x14ac:dyDescent="0.25">
      <c r="A118" s="4" t="s">
        <v>249</v>
      </c>
      <c r="B118" s="1" t="s">
        <v>176</v>
      </c>
      <c r="C118" s="1" t="s">
        <v>19</v>
      </c>
      <c r="D118" s="1" t="s">
        <v>57</v>
      </c>
      <c r="E118" s="1" t="s">
        <v>21</v>
      </c>
      <c r="F118" s="1" t="s">
        <v>22</v>
      </c>
      <c r="G118" s="1" t="s">
        <v>12</v>
      </c>
      <c r="H118" s="12" t="s">
        <v>269</v>
      </c>
      <c r="I118" s="1" t="s">
        <v>23</v>
      </c>
      <c r="J118" s="1" t="s">
        <v>109</v>
      </c>
      <c r="K118" s="1" t="s">
        <v>24</v>
      </c>
      <c r="L118" s="1" t="s">
        <v>25</v>
      </c>
      <c r="M118" s="1" t="s">
        <v>24</v>
      </c>
      <c r="N118" s="1" t="s">
        <v>24</v>
      </c>
      <c r="O118" s="1" t="s">
        <v>24</v>
      </c>
      <c r="P118" s="1" t="s">
        <v>24</v>
      </c>
      <c r="Q118" s="1" t="s">
        <v>24</v>
      </c>
      <c r="R118" s="75" t="str">
        <f t="shared" si="9"/>
        <v>3845926</v>
      </c>
      <c r="S118" t="str">
        <f>VLOOKUP(A118,Data_NV!$A:$C,3,0)</f>
        <v>Nguyễn Quốc Thái</v>
      </c>
      <c r="T118" t="str">
        <f>VLOOKUP(A118,Data_NV!$A:$E,4,0)</f>
        <v>Kinh doanh</v>
      </c>
      <c r="U118" s="72">
        <f>DATEVALUE(Table2[[#This Row],[Ngày]])</f>
        <v>45926</v>
      </c>
      <c r="V118" t="str">
        <f>VLOOKUP(A118,Data_NV!$A:$E,5,0)</f>
        <v>Đang làm việc</v>
      </c>
      <c r="W118" s="11">
        <f>VLOOKUP(A118,Data_NV!$A:$I,8,0)</f>
        <v>0.33333333333333331</v>
      </c>
      <c r="X118" s="11">
        <f>VLOOKUP(A118,Data_NV!$A:$I,9,0)</f>
        <v>0.70833333333333337</v>
      </c>
      <c r="Y118" s="11">
        <f>IFERROR(TIMEVALUE(Table2[[#This Row],[Vào]]),0)</f>
        <v>0.3344212962962963</v>
      </c>
      <c r="Z118" s="11">
        <f>IFERROR(TIMEVALUE(Table2[[#This Row],[Ra]]),0)</f>
        <v>0</v>
      </c>
      <c r="AA118" t="str">
        <f t="shared" si="12"/>
        <v>x</v>
      </c>
      <c r="AB118" s="14">
        <f t="shared" si="10"/>
        <v>1</v>
      </c>
      <c r="AC118" s="14" t="str">
        <f>IF(VLOOKUP(A118,Data_NV!$A:$I,7,0)="Không","",IF(OR(AND(Y118=0,Z118=0),AND(Y118&lt;&gt;0,Z118&lt;&gt;0)),"","Quên chấm công"))</f>
        <v/>
      </c>
      <c r="AD118" s="14">
        <f>IF(VLOOKUP(A118,Data_NV!$A:$I,7,0)="Không",0,IF(AND(Y118=0,Z118=0),0,IF(X118&lt;=Z118,0,ROUNDDOWN((X118-Z118)*24*60,0))))</f>
        <v>0</v>
      </c>
      <c r="AE118" s="14">
        <f>IF(VLOOKUP(A118,Data_NV!$A:$I,6,0)="Không",0,IF(Z118&lt;=X118,0,ROUNDDOWN((Z118-X118)*24*60,0)))</f>
        <v>0</v>
      </c>
      <c r="AF118" s="29">
        <f t="shared" si="11"/>
        <v>0</v>
      </c>
      <c r="AG118" s="30" t="str">
        <f>IF(AC118="","",IF(COUNTIFS($AC$3:AC118,"Quên chấm công",$S$3:S118,S118)&gt;3,"Không chấm công do vi phạm quá 3 lần",IF(COUNTIFS($AC$3:AC118,"Quên chấm công",$S$3:S118,S118)&gt;2,"Trừ toàn bộ chuyên cần tháng do vi phạm lần 3",IF(COUNTIFS($AC$3:AC118,"Quên chấm công",$S$3:S118,S118)&gt;1,"Trừ 1/2 ngày lương",50000))))</f>
        <v/>
      </c>
      <c r="AH118" s="14" t="str">
        <f>IF(AF118=0,"",IF(COUNTIFS($AF$3:AF118,"&gt;0",$S$3:S118,S118)&gt;3,"Trừ toàn bộ chuyên cần tháng",""))</f>
        <v/>
      </c>
      <c r="AI118" s="14"/>
      <c r="AJ118" s="14"/>
    </row>
    <row r="119" spans="1:36" x14ac:dyDescent="0.25">
      <c r="A119" s="4" t="s">
        <v>249</v>
      </c>
      <c r="B119" s="1" t="s">
        <v>176</v>
      </c>
      <c r="C119" s="1" t="s">
        <v>19</v>
      </c>
      <c r="D119" s="1" t="s">
        <v>58</v>
      </c>
      <c r="E119" s="1" t="s">
        <v>21</v>
      </c>
      <c r="F119" s="1" t="s">
        <v>22</v>
      </c>
      <c r="G119" s="1" t="s">
        <v>12</v>
      </c>
      <c r="H119" s="12" t="s">
        <v>23</v>
      </c>
      <c r="I119" s="1" t="s">
        <v>23</v>
      </c>
      <c r="J119" s="1" t="s">
        <v>24</v>
      </c>
      <c r="K119" s="1" t="s">
        <v>24</v>
      </c>
      <c r="L119" s="1" t="s">
        <v>25</v>
      </c>
      <c r="M119" s="1" t="s">
        <v>24</v>
      </c>
      <c r="N119" s="1" t="s">
        <v>24</v>
      </c>
      <c r="O119" s="1" t="s">
        <v>24</v>
      </c>
      <c r="P119" s="1" t="s">
        <v>24</v>
      </c>
      <c r="Q119" s="1" t="s">
        <v>24</v>
      </c>
      <c r="R119" s="75" t="str">
        <f t="shared" si="9"/>
        <v>3845927</v>
      </c>
      <c r="S119" t="str">
        <f>VLOOKUP(A119,Data_NV!$A:$C,3,0)</f>
        <v>Nguyễn Quốc Thái</v>
      </c>
      <c r="T119" t="str">
        <f>VLOOKUP(A119,Data_NV!$A:$E,4,0)</f>
        <v>Kinh doanh</v>
      </c>
      <c r="U119" s="72">
        <f>DATEVALUE(Table2[[#This Row],[Ngày]])</f>
        <v>45927</v>
      </c>
      <c r="V119" t="str">
        <f>VLOOKUP(A119,Data_NV!$A:$E,5,0)</f>
        <v>Đang làm việc</v>
      </c>
      <c r="W119" s="11">
        <f>VLOOKUP(A119,Data_NV!$A:$I,8,0)</f>
        <v>0.33333333333333331</v>
      </c>
      <c r="X119" s="11">
        <f>VLOOKUP(A119,Data_NV!$A:$I,9,0)</f>
        <v>0.70833333333333337</v>
      </c>
      <c r="Y119" s="11">
        <f>IFERROR(TIMEVALUE(Table2[[#This Row],[Vào]]),0)</f>
        <v>0</v>
      </c>
      <c r="Z119" s="11">
        <f>IFERROR(TIMEVALUE(Table2[[#This Row],[Ra]]),0)</f>
        <v>0</v>
      </c>
      <c r="AA119" t="str">
        <f t="shared" si="12"/>
        <v/>
      </c>
      <c r="AB119" s="14">
        <f t="shared" si="10"/>
        <v>0</v>
      </c>
      <c r="AC119" s="14" t="str">
        <f>IF(VLOOKUP(A119,Data_NV!$A:$I,7,0)="Không","",IF(OR(AND(Y119=0,Z119=0),AND(Y119&lt;&gt;0,Z119&lt;&gt;0)),"","Quên chấm công"))</f>
        <v/>
      </c>
      <c r="AD119" s="14">
        <f>IF(VLOOKUP(A119,Data_NV!$A:$I,7,0)="Không",0,IF(AND(Y119=0,Z119=0),0,IF(X119&lt;=Z119,0,ROUNDDOWN((X119-Z119)*24*60,0))))</f>
        <v>0</v>
      </c>
      <c r="AE119" s="14">
        <f>IF(VLOOKUP(A119,Data_NV!$A:$I,6,0)="Không",0,IF(Z119&lt;=X119,0,ROUNDDOWN((Z119-X119)*24*60,0)))</f>
        <v>0</v>
      </c>
      <c r="AF119" s="29">
        <f t="shared" si="11"/>
        <v>0</v>
      </c>
      <c r="AG119" s="30" t="str">
        <f>IF(AC119="","",IF(COUNTIFS($AC$3:AC119,"Quên chấm công",$S$3:S119,S119)&gt;3,"Không chấm công do vi phạm quá 3 lần",IF(COUNTIFS($AC$3:AC119,"Quên chấm công",$S$3:S119,S119)&gt;2,"Trừ toàn bộ chuyên cần tháng do vi phạm lần 3",IF(COUNTIFS($AC$3:AC119,"Quên chấm công",$S$3:S119,S119)&gt;1,"Trừ 1/2 ngày lương",50000))))</f>
        <v/>
      </c>
      <c r="AH119" s="14" t="str">
        <f>IF(AF119=0,"",IF(COUNTIFS($AF$3:AF119,"&gt;0",$S$3:S119,S119)&gt;3,"Trừ toàn bộ chuyên cần tháng",""))</f>
        <v/>
      </c>
      <c r="AI119" s="14"/>
      <c r="AJ119" s="14"/>
    </row>
    <row r="120" spans="1:36" x14ac:dyDescent="0.25">
      <c r="A120" s="4" t="s">
        <v>249</v>
      </c>
      <c r="B120" s="1" t="s">
        <v>176</v>
      </c>
      <c r="C120" s="1" t="s">
        <v>19</v>
      </c>
      <c r="D120" s="1" t="s">
        <v>59</v>
      </c>
      <c r="E120" s="1" t="s">
        <v>21</v>
      </c>
      <c r="F120" s="1" t="s">
        <v>22</v>
      </c>
      <c r="G120" s="1" t="s">
        <v>12</v>
      </c>
      <c r="H120" s="12" t="s">
        <v>23</v>
      </c>
      <c r="I120" s="1" t="s">
        <v>23</v>
      </c>
      <c r="J120" s="1" t="s">
        <v>24</v>
      </c>
      <c r="K120" s="1" t="s">
        <v>24</v>
      </c>
      <c r="L120" s="1" t="s">
        <v>25</v>
      </c>
      <c r="M120" s="1" t="s">
        <v>24</v>
      </c>
      <c r="N120" s="1" t="s">
        <v>24</v>
      </c>
      <c r="O120" s="1" t="s">
        <v>24</v>
      </c>
      <c r="P120" s="1" t="s">
        <v>24</v>
      </c>
      <c r="Q120" s="1" t="s">
        <v>24</v>
      </c>
      <c r="R120" s="75" t="str">
        <f t="shared" si="9"/>
        <v>3845928</v>
      </c>
      <c r="S120" t="str">
        <f>VLOOKUP(A120,Data_NV!$A:$C,3,0)</f>
        <v>Nguyễn Quốc Thái</v>
      </c>
      <c r="T120" t="str">
        <f>VLOOKUP(A120,Data_NV!$A:$E,4,0)</f>
        <v>Kinh doanh</v>
      </c>
      <c r="U120" s="72">
        <f>DATEVALUE(Table2[[#This Row],[Ngày]])</f>
        <v>45928</v>
      </c>
      <c r="V120" t="str">
        <f>VLOOKUP(A120,Data_NV!$A:$E,5,0)</f>
        <v>Đang làm việc</v>
      </c>
      <c r="W120" s="11">
        <f>VLOOKUP(A120,Data_NV!$A:$I,8,0)</f>
        <v>0.33333333333333331</v>
      </c>
      <c r="X120" s="11">
        <f>VLOOKUP(A120,Data_NV!$A:$I,9,0)</f>
        <v>0.70833333333333337</v>
      </c>
      <c r="Y120" s="11">
        <f>IFERROR(TIMEVALUE(Table2[[#This Row],[Vào]]),0)</f>
        <v>0</v>
      </c>
      <c r="Z120" s="11">
        <f>IFERROR(TIMEVALUE(Table2[[#This Row],[Ra]]),0)</f>
        <v>0</v>
      </c>
      <c r="AA120" t="str">
        <f t="shared" si="12"/>
        <v/>
      </c>
      <c r="AB120" s="14">
        <f t="shared" si="10"/>
        <v>0</v>
      </c>
      <c r="AC120" s="14" t="str">
        <f>IF(VLOOKUP(A120,Data_NV!$A:$I,7,0)="Không","",IF(OR(AND(Y120=0,Z120=0),AND(Y120&lt;&gt;0,Z120&lt;&gt;0)),"","Quên chấm công"))</f>
        <v/>
      </c>
      <c r="AD120" s="14">
        <f>IF(VLOOKUP(A120,Data_NV!$A:$I,7,0)="Không",0,IF(AND(Y120=0,Z120=0),0,IF(X120&lt;=Z120,0,ROUNDDOWN((X120-Z120)*24*60,0))))</f>
        <v>0</v>
      </c>
      <c r="AE120" s="14">
        <f>IF(VLOOKUP(A120,Data_NV!$A:$I,6,0)="Không",0,IF(Z120&lt;=X120,0,ROUNDDOWN((Z120-X120)*24*60,0)))</f>
        <v>0</v>
      </c>
      <c r="AF120" s="29">
        <f t="shared" si="11"/>
        <v>0</v>
      </c>
      <c r="AG120" s="30" t="str">
        <f>IF(AC120="","",IF(COUNTIFS($AC$3:AC120,"Quên chấm công",$S$3:S120,S120)&gt;3,"Không chấm công do vi phạm quá 3 lần",IF(COUNTIFS($AC$3:AC120,"Quên chấm công",$S$3:S120,S120)&gt;2,"Trừ toàn bộ chuyên cần tháng do vi phạm lần 3",IF(COUNTIFS($AC$3:AC120,"Quên chấm công",$S$3:S120,S120)&gt;1,"Trừ 1/2 ngày lương",50000))))</f>
        <v/>
      </c>
      <c r="AH120" s="14" t="str">
        <f>IF(AF120=0,"",IF(COUNTIFS($AF$3:AF120,"&gt;0",$S$3:S120,S120)&gt;3,"Trừ toàn bộ chuyên cần tháng",""))</f>
        <v/>
      </c>
      <c r="AI120" s="14"/>
      <c r="AJ120" s="14"/>
    </row>
    <row r="121" spans="1:36" x14ac:dyDescent="0.25">
      <c r="A121" s="4" t="s">
        <v>249</v>
      </c>
      <c r="B121" s="1" t="s">
        <v>176</v>
      </c>
      <c r="C121" s="1" t="s">
        <v>19</v>
      </c>
      <c r="D121" s="1" t="s">
        <v>60</v>
      </c>
      <c r="E121" s="1" t="s">
        <v>21</v>
      </c>
      <c r="F121" s="1" t="s">
        <v>22</v>
      </c>
      <c r="G121" s="1" t="s">
        <v>12</v>
      </c>
      <c r="H121" s="12" t="s">
        <v>270</v>
      </c>
      <c r="I121" s="1" t="s">
        <v>23</v>
      </c>
      <c r="J121" s="1" t="s">
        <v>24</v>
      </c>
      <c r="K121" s="1" t="s">
        <v>24</v>
      </c>
      <c r="L121" s="1" t="s">
        <v>25</v>
      </c>
      <c r="M121" s="1" t="s">
        <v>24</v>
      </c>
      <c r="N121" s="1" t="s">
        <v>24</v>
      </c>
      <c r="O121" s="1" t="s">
        <v>24</v>
      </c>
      <c r="P121" s="1" t="s">
        <v>24</v>
      </c>
      <c r="Q121" s="1" t="s">
        <v>24</v>
      </c>
      <c r="R121" s="75" t="str">
        <f t="shared" ref="R121:R182" si="13">A121&amp;U121</f>
        <v>3845929</v>
      </c>
      <c r="S121" t="str">
        <f>VLOOKUP(A121,Data_NV!$A:$C,3,0)</f>
        <v>Nguyễn Quốc Thái</v>
      </c>
      <c r="T121" t="str">
        <f>VLOOKUP(A121,Data_NV!$A:$E,4,0)</f>
        <v>Kinh doanh</v>
      </c>
      <c r="U121" s="72">
        <f>DATEVALUE(Table2[[#This Row],[Ngày]])</f>
        <v>45929</v>
      </c>
      <c r="V121" t="str">
        <f>VLOOKUP(A121,Data_NV!$A:$E,5,0)</f>
        <v>Đang làm việc</v>
      </c>
      <c r="W121" s="11">
        <f>VLOOKUP(A121,Data_NV!$A:$I,8,0)</f>
        <v>0.33333333333333331</v>
      </c>
      <c r="X121" s="11">
        <f>VLOOKUP(A121,Data_NV!$A:$I,9,0)</f>
        <v>0.70833333333333337</v>
      </c>
      <c r="Y121" s="11">
        <f>IFERROR(TIMEVALUE(Table2[[#This Row],[Vào]]),0)</f>
        <v>0.31967592592592592</v>
      </c>
      <c r="Z121" s="11">
        <f>IFERROR(TIMEVALUE(Table2[[#This Row],[Ra]]),0)</f>
        <v>0</v>
      </c>
      <c r="AA121" t="str">
        <f t="shared" ref="AA121:AA182" si="14">IF(OR(AND(Y121=0,Z121=0),AG121="Không chấm công do vi phạm quá 3 lần"),"",IF(OR(AG121="Trừ 1/2 ngày lương",AF121="Trừ 1/2 ngày lương",AB121&gt;=60),"1/2","x"))</f>
        <v>x</v>
      </c>
      <c r="AB121" s="14">
        <f t="shared" si="10"/>
        <v>0</v>
      </c>
      <c r="AC121" s="14" t="str">
        <f>IF(VLOOKUP(A121,Data_NV!$A:$I,7,0)="Không","",IF(OR(AND(Y121=0,Z121=0),AND(Y121&lt;&gt;0,Z121&lt;&gt;0)),"","Quên chấm công"))</f>
        <v/>
      </c>
      <c r="AD121" s="14">
        <f>IF(VLOOKUP(A121,Data_NV!$A:$I,7,0)="Không",0,IF(AND(Y121=0,Z121=0),0,IF(X121&lt;=Z121,0,ROUNDDOWN((X121-Z121)*24*60,0))))</f>
        <v>0</v>
      </c>
      <c r="AE121" s="14">
        <f>IF(VLOOKUP(A121,Data_NV!$A:$I,6,0)="Không",0,IF(Z121&lt;=X121,0,ROUNDDOWN((Z121-X121)*24*60,0)))</f>
        <v>0</v>
      </c>
      <c r="AF121" s="29">
        <f t="shared" ref="AF121:AF182" si="15">IF(AB121&gt;60,"Trừ 1/2 ngày lương",IF(AB121&gt;15,50000,IF(AB121&gt;6,30000,0)))</f>
        <v>0</v>
      </c>
      <c r="AG121" s="30" t="str">
        <f>IF(AC121="","",IF(COUNTIFS($AC$3:AC121,"Quên chấm công",$S$3:S121,S121)&gt;3,"Không chấm công do vi phạm quá 3 lần",IF(COUNTIFS($AC$3:AC121,"Quên chấm công",$S$3:S121,S121)&gt;2,"Trừ toàn bộ chuyên cần tháng do vi phạm lần 3",IF(COUNTIFS($AC$3:AC121,"Quên chấm công",$S$3:S121,S121)&gt;1,"Trừ 1/2 ngày lương",50000))))</f>
        <v/>
      </c>
      <c r="AH121" s="14" t="str">
        <f>IF(AF121=0,"",IF(COUNTIFS($AF$3:AF121,"&gt;0",$S$3:S121,S121)&gt;3,"Trừ toàn bộ chuyên cần tháng",""))</f>
        <v/>
      </c>
      <c r="AI121" s="14"/>
      <c r="AJ121" s="14"/>
    </row>
    <row r="122" spans="1:36" x14ac:dyDescent="0.25">
      <c r="A122" s="4" t="s">
        <v>249</v>
      </c>
      <c r="B122" s="1" t="s">
        <v>176</v>
      </c>
      <c r="C122" s="1" t="s">
        <v>19</v>
      </c>
      <c r="D122" s="1" t="s">
        <v>61</v>
      </c>
      <c r="E122" s="1" t="s">
        <v>21</v>
      </c>
      <c r="F122" s="1" t="s">
        <v>22</v>
      </c>
      <c r="G122" s="1" t="s">
        <v>12</v>
      </c>
      <c r="H122" s="12" t="s">
        <v>271</v>
      </c>
      <c r="I122" s="1" t="s">
        <v>23</v>
      </c>
      <c r="J122" s="1" t="s">
        <v>98</v>
      </c>
      <c r="K122" s="1" t="s">
        <v>24</v>
      </c>
      <c r="L122" s="1" t="s">
        <v>25</v>
      </c>
      <c r="M122" s="1" t="s">
        <v>24</v>
      </c>
      <c r="N122" s="1" t="s">
        <v>24</v>
      </c>
      <c r="O122" s="1" t="s">
        <v>24</v>
      </c>
      <c r="P122" s="1" t="s">
        <v>24</v>
      </c>
      <c r="Q122" s="1" t="s">
        <v>24</v>
      </c>
      <c r="R122" s="75" t="str">
        <f t="shared" si="13"/>
        <v>3845930</v>
      </c>
      <c r="S122" t="str">
        <f>VLOOKUP(A122,Data_NV!$A:$C,3,0)</f>
        <v>Nguyễn Quốc Thái</v>
      </c>
      <c r="T122" t="str">
        <f>VLOOKUP(A122,Data_NV!$A:$E,4,0)</f>
        <v>Kinh doanh</v>
      </c>
      <c r="U122" s="72">
        <f>DATEVALUE(Table2[[#This Row],[Ngày]])</f>
        <v>45930</v>
      </c>
      <c r="V122" t="str">
        <f>VLOOKUP(A122,Data_NV!$A:$E,5,0)</f>
        <v>Đang làm việc</v>
      </c>
      <c r="W122" s="11">
        <f>VLOOKUP(A122,Data_NV!$A:$I,8,0)</f>
        <v>0.33333333333333331</v>
      </c>
      <c r="X122" s="11">
        <f>VLOOKUP(A122,Data_NV!$A:$I,9,0)</f>
        <v>0.70833333333333337</v>
      </c>
      <c r="Y122" s="11">
        <f>IFERROR(TIMEVALUE(Table2[[#This Row],[Vào]]),0)</f>
        <v>0.33641203703703704</v>
      </c>
      <c r="Z122" s="11">
        <f>IFERROR(TIMEVALUE(Table2[[#This Row],[Ra]]),0)</f>
        <v>0</v>
      </c>
      <c r="AA122" t="str">
        <f t="shared" si="14"/>
        <v>x</v>
      </c>
      <c r="AB122" s="14">
        <f t="shared" si="10"/>
        <v>4</v>
      </c>
      <c r="AC122" s="14" t="str">
        <f>IF(VLOOKUP(A122,Data_NV!$A:$I,7,0)="Không","",IF(OR(AND(Y122=0,Z122=0),AND(Y122&lt;&gt;0,Z122&lt;&gt;0)),"","Quên chấm công"))</f>
        <v/>
      </c>
      <c r="AD122" s="14">
        <f>IF(VLOOKUP(A122,Data_NV!$A:$I,7,0)="Không",0,IF(AND(Y122=0,Z122=0),0,IF(X122&lt;=Z122,0,ROUNDDOWN((X122-Z122)*24*60,0))))</f>
        <v>0</v>
      </c>
      <c r="AE122" s="14">
        <f>IF(VLOOKUP(A122,Data_NV!$A:$I,6,0)="Không",0,IF(Z122&lt;=X122,0,ROUNDDOWN((Z122-X122)*24*60,0)))</f>
        <v>0</v>
      </c>
      <c r="AF122" s="29">
        <f t="shared" si="15"/>
        <v>0</v>
      </c>
      <c r="AG122" s="30" t="str">
        <f>IF(AC122="","",IF(COUNTIFS($AC$3:AC122,"Quên chấm công",$S$3:S122,S122)&gt;3,"Không chấm công do vi phạm quá 3 lần",IF(COUNTIFS($AC$3:AC122,"Quên chấm công",$S$3:S122,S122)&gt;2,"Trừ toàn bộ chuyên cần tháng do vi phạm lần 3",IF(COUNTIFS($AC$3:AC122,"Quên chấm công",$S$3:S122,S122)&gt;1,"Trừ 1/2 ngày lương",50000))))</f>
        <v/>
      </c>
      <c r="AH122" s="14" t="str">
        <f>IF(AF122=0,"",IF(COUNTIFS($AF$3:AF122,"&gt;0",$S$3:S122,S122)&gt;3,"Trừ toàn bộ chuyên cần tháng",""))</f>
        <v/>
      </c>
      <c r="AI122" s="14"/>
      <c r="AJ122" s="14"/>
    </row>
    <row r="123" spans="1:36" x14ac:dyDescent="0.25">
      <c r="A123" s="4" t="s">
        <v>275</v>
      </c>
      <c r="B123" s="1" t="s">
        <v>276</v>
      </c>
      <c r="C123" s="1" t="s">
        <v>19</v>
      </c>
      <c r="D123" s="1" t="s">
        <v>20</v>
      </c>
      <c r="E123" s="1" t="s">
        <v>21</v>
      </c>
      <c r="F123" s="1" t="s">
        <v>22</v>
      </c>
      <c r="G123" s="1" t="s">
        <v>12</v>
      </c>
      <c r="H123" s="12" t="s">
        <v>23</v>
      </c>
      <c r="I123" s="1" t="s">
        <v>23</v>
      </c>
      <c r="J123" s="1" t="s">
        <v>24</v>
      </c>
      <c r="K123" s="1" t="s">
        <v>24</v>
      </c>
      <c r="L123" s="1" t="s">
        <v>25</v>
      </c>
      <c r="M123" s="1" t="s">
        <v>24</v>
      </c>
      <c r="N123" s="1" t="s">
        <v>24</v>
      </c>
      <c r="O123" s="1" t="s">
        <v>24</v>
      </c>
      <c r="P123" s="1" t="s">
        <v>24</v>
      </c>
      <c r="Q123" s="1" t="s">
        <v>24</v>
      </c>
      <c r="R123" s="75" t="str">
        <f t="shared" si="13"/>
        <v>4045901</v>
      </c>
      <c r="S123" t="str">
        <f>VLOOKUP(A123,Data_NV!$A:$C,3,0)</f>
        <v>Nguyễn Văn Vinh</v>
      </c>
      <c r="T123" t="str">
        <f>VLOOKUP(A123,Data_NV!$A:$E,4,0)</f>
        <v>Kinh doanh</v>
      </c>
      <c r="U123" s="72">
        <f>DATEVALUE(Table2[[#This Row],[Ngày]])</f>
        <v>45901</v>
      </c>
      <c r="V123" t="str">
        <f>VLOOKUP(A123,Data_NV!$A:$E,5,0)</f>
        <v>Đang làm việc</v>
      </c>
      <c r="W123" s="11">
        <f>VLOOKUP(A123,Data_NV!$A:$I,8,0)</f>
        <v>0.33333333333333331</v>
      </c>
      <c r="X123" s="11">
        <f>VLOOKUP(A123,Data_NV!$A:$I,9,0)</f>
        <v>0.70833333333333337</v>
      </c>
      <c r="Y123" s="11">
        <f>IFERROR(TIMEVALUE(Table2[[#This Row],[Vào]]),0)</f>
        <v>0</v>
      </c>
      <c r="Z123" s="11">
        <f>IFERROR(TIMEVALUE(Table2[[#This Row],[Ra]]),0)</f>
        <v>0</v>
      </c>
      <c r="AA123" s="10" t="s">
        <v>508</v>
      </c>
      <c r="AB123" s="14">
        <f t="shared" ref="AB123:AB126" si="16">IF(Y123&lt;=W123,0,ROUNDDOWN((Y123-W123)*24*60,0))</f>
        <v>0</v>
      </c>
      <c r="AC123" s="14" t="str">
        <f>IF(VLOOKUP(A123,Data_NV!$A:$I,7,0)="Không","",IF(OR(AND(Y123=0,Z123=0),AND(Y123&lt;&gt;0,Z123&lt;&gt;0)),"","Quên chấm công"))</f>
        <v/>
      </c>
      <c r="AD123" s="14">
        <f>IF(VLOOKUP(A123,Data_NV!$A:$I,7,0)="Không",0,IF(AND(Y123=0,Z123=0),0,IF(X123&lt;=Z123,0,ROUNDDOWN((X123-Z123)*24*60,0))))</f>
        <v>0</v>
      </c>
      <c r="AE123" s="14">
        <f>IF(VLOOKUP(A123,Data_NV!$A:$I,6,0)="Không",0,IF(Z123&lt;=X123,0,ROUNDDOWN((Z123-X123)*24*60,0)))</f>
        <v>0</v>
      </c>
      <c r="AF123" s="29">
        <f t="shared" si="15"/>
        <v>0</v>
      </c>
      <c r="AG123" s="30" t="str">
        <f>IF(AC123="","",IF(COUNTIFS($AC$3:AC123,"Quên chấm công",$S$3:S123,S123)&gt;3,"Không chấm công do vi phạm quá 3 lần",IF(COUNTIFS($AC$3:AC123,"Quên chấm công",$S$3:S123,S123)&gt;2,"Trừ toàn bộ chuyên cần tháng do vi phạm lần 3",IF(COUNTIFS($AC$3:AC123,"Quên chấm công",$S$3:S123,S123)&gt;1,"Trừ 1/2 ngày lương",50000))))</f>
        <v/>
      </c>
      <c r="AH123" s="14" t="str">
        <f>IF(AF123=0,"",IF(COUNTIFS($AF$3:AF123,"&gt;0",$S$3:S123,S123)&gt;3,"Trừ toàn bộ chuyên cần tháng",""))</f>
        <v/>
      </c>
      <c r="AI123" s="14"/>
      <c r="AJ123" s="14"/>
    </row>
    <row r="124" spans="1:36" x14ac:dyDescent="0.25">
      <c r="A124" s="4" t="s">
        <v>275</v>
      </c>
      <c r="B124" s="1" t="s">
        <v>276</v>
      </c>
      <c r="C124" s="1" t="s">
        <v>19</v>
      </c>
      <c r="D124" s="1" t="s">
        <v>26</v>
      </c>
      <c r="E124" s="1" t="s">
        <v>21</v>
      </c>
      <c r="F124" s="1" t="s">
        <v>22</v>
      </c>
      <c r="G124" s="1" t="s">
        <v>12</v>
      </c>
      <c r="H124" s="12" t="s">
        <v>23</v>
      </c>
      <c r="I124" s="1" t="s">
        <v>23</v>
      </c>
      <c r="J124" s="1" t="s">
        <v>24</v>
      </c>
      <c r="K124" s="1" t="s">
        <v>24</v>
      </c>
      <c r="L124" s="1" t="s">
        <v>25</v>
      </c>
      <c r="M124" s="1" t="s">
        <v>24</v>
      </c>
      <c r="N124" s="1" t="s">
        <v>24</v>
      </c>
      <c r="O124" s="1" t="s">
        <v>24</v>
      </c>
      <c r="P124" s="1" t="s">
        <v>24</v>
      </c>
      <c r="Q124" s="1" t="s">
        <v>24</v>
      </c>
      <c r="R124" s="75" t="str">
        <f t="shared" si="13"/>
        <v>4045902</v>
      </c>
      <c r="S124" t="str">
        <f>VLOOKUP(A124,Data_NV!$A:$C,3,0)</f>
        <v>Nguyễn Văn Vinh</v>
      </c>
      <c r="T124" t="str">
        <f>VLOOKUP(A124,Data_NV!$A:$E,4,0)</f>
        <v>Kinh doanh</v>
      </c>
      <c r="U124" s="72">
        <f>DATEVALUE(Table2[[#This Row],[Ngày]])</f>
        <v>45902</v>
      </c>
      <c r="V124" t="str">
        <f>VLOOKUP(A124,Data_NV!$A:$E,5,0)</f>
        <v>Đang làm việc</v>
      </c>
      <c r="W124" s="11">
        <f>VLOOKUP(A124,Data_NV!$A:$I,8,0)</f>
        <v>0.33333333333333331</v>
      </c>
      <c r="X124" s="11">
        <f>VLOOKUP(A124,Data_NV!$A:$I,9,0)</f>
        <v>0.70833333333333337</v>
      </c>
      <c r="Y124" s="11">
        <f>IFERROR(TIMEVALUE(Table2[[#This Row],[Vào]]),0)</f>
        <v>0</v>
      </c>
      <c r="Z124" s="11">
        <f>IFERROR(TIMEVALUE(Table2[[#This Row],[Ra]]),0)</f>
        <v>0</v>
      </c>
      <c r="AA124" s="10" t="s">
        <v>508</v>
      </c>
      <c r="AB124" s="14">
        <f t="shared" si="16"/>
        <v>0</v>
      </c>
      <c r="AC124" s="14" t="str">
        <f>IF(VLOOKUP(A124,Data_NV!$A:$I,7,0)="Không","",IF(OR(AND(Y124=0,Z124=0),AND(Y124&lt;&gt;0,Z124&lt;&gt;0)),"","Quên chấm công"))</f>
        <v/>
      </c>
      <c r="AD124" s="14">
        <f>IF(VLOOKUP(A124,Data_NV!$A:$I,7,0)="Không",0,IF(AND(Y124=0,Z124=0),0,IF(X124&lt;=Z124,0,ROUNDDOWN((X124-Z124)*24*60,0))))</f>
        <v>0</v>
      </c>
      <c r="AE124" s="14">
        <f>IF(VLOOKUP(A124,Data_NV!$A:$I,6,0)="Không",0,IF(Z124&lt;=X124,0,ROUNDDOWN((Z124-X124)*24*60,0)))</f>
        <v>0</v>
      </c>
      <c r="AF124" s="29">
        <f t="shared" si="15"/>
        <v>0</v>
      </c>
      <c r="AG124" s="30" t="str">
        <f>IF(AC124="","",IF(COUNTIFS($AC$3:AC124,"Quên chấm công",$S$3:S124,S124)&gt;3,"Không chấm công do vi phạm quá 3 lần",IF(COUNTIFS($AC$3:AC124,"Quên chấm công",$S$3:S124,S124)&gt;2,"Trừ toàn bộ chuyên cần tháng do vi phạm lần 3",IF(COUNTIFS($AC$3:AC124,"Quên chấm công",$S$3:S124,S124)&gt;1,"Trừ 1/2 ngày lương",50000))))</f>
        <v/>
      </c>
      <c r="AH124" s="14" t="str">
        <f>IF(AF124=0,"",IF(COUNTIFS($AF$3:AF124,"&gt;0",$S$3:S124,S124)&gt;3,"Trừ toàn bộ chuyên cần tháng",""))</f>
        <v/>
      </c>
      <c r="AI124" s="14"/>
      <c r="AJ124" s="14"/>
    </row>
    <row r="125" spans="1:36" x14ac:dyDescent="0.25">
      <c r="A125" s="4" t="s">
        <v>275</v>
      </c>
      <c r="B125" s="1" t="s">
        <v>276</v>
      </c>
      <c r="C125" s="1" t="s">
        <v>19</v>
      </c>
      <c r="D125" s="1" t="s">
        <v>27</v>
      </c>
      <c r="E125" s="1" t="s">
        <v>21</v>
      </c>
      <c r="F125" s="1" t="s">
        <v>22</v>
      </c>
      <c r="G125" s="1" t="s">
        <v>12</v>
      </c>
      <c r="H125" s="12" t="s">
        <v>277</v>
      </c>
      <c r="I125" s="1" t="s">
        <v>23</v>
      </c>
      <c r="J125" s="1" t="s">
        <v>190</v>
      </c>
      <c r="K125" s="1" t="s">
        <v>24</v>
      </c>
      <c r="L125" s="1" t="s">
        <v>25</v>
      </c>
      <c r="M125" s="1" t="s">
        <v>24</v>
      </c>
      <c r="N125" s="1" t="s">
        <v>24</v>
      </c>
      <c r="O125" s="1" t="s">
        <v>24</v>
      </c>
      <c r="P125" s="1" t="s">
        <v>24</v>
      </c>
      <c r="Q125" s="1" t="s">
        <v>24</v>
      </c>
      <c r="R125" s="75" t="str">
        <f t="shared" si="13"/>
        <v>4045903</v>
      </c>
      <c r="S125" t="str">
        <f>VLOOKUP(A125,Data_NV!$A:$C,3,0)</f>
        <v>Nguyễn Văn Vinh</v>
      </c>
      <c r="T125" t="str">
        <f>VLOOKUP(A125,Data_NV!$A:$E,4,0)</f>
        <v>Kinh doanh</v>
      </c>
      <c r="U125" s="72">
        <f>DATEVALUE(Table2[[#This Row],[Ngày]])</f>
        <v>45903</v>
      </c>
      <c r="V125" t="str">
        <f>VLOOKUP(A125,Data_NV!$A:$E,5,0)</f>
        <v>Đang làm việc</v>
      </c>
      <c r="W125" s="11">
        <f>VLOOKUP(A125,Data_NV!$A:$I,8,0)</f>
        <v>0.33333333333333331</v>
      </c>
      <c r="X125" s="11">
        <f>VLOOKUP(A125,Data_NV!$A:$I,9,0)</f>
        <v>0.70833333333333337</v>
      </c>
      <c r="Y125" s="11">
        <f>IFERROR(TIMEVALUE(Table2[[#This Row],[Vào]]),0)</f>
        <v>0.33524305555555556</v>
      </c>
      <c r="Z125" s="11">
        <f>IFERROR(TIMEVALUE(Table2[[#This Row],[Ra]]),0)</f>
        <v>0</v>
      </c>
      <c r="AA125" t="str">
        <f t="shared" si="14"/>
        <v>x</v>
      </c>
      <c r="AB125" s="14">
        <f t="shared" si="16"/>
        <v>2</v>
      </c>
      <c r="AC125" s="14" t="str">
        <f>IF(VLOOKUP(A125,Data_NV!$A:$I,7,0)="Không","",IF(OR(AND(Y125=0,Z125=0),AND(Y125&lt;&gt;0,Z125&lt;&gt;0)),"","Quên chấm công"))</f>
        <v/>
      </c>
      <c r="AD125" s="14">
        <f>IF(VLOOKUP(A125,Data_NV!$A:$I,7,0)="Không",0,IF(AND(Y125=0,Z125=0),0,IF(X125&lt;=Z125,0,ROUNDDOWN((X125-Z125)*24*60,0))))</f>
        <v>0</v>
      </c>
      <c r="AE125" s="14">
        <f>IF(VLOOKUP(A125,Data_NV!$A:$I,6,0)="Không",0,IF(Z125&lt;=X125,0,ROUNDDOWN((Z125-X125)*24*60,0)))</f>
        <v>0</v>
      </c>
      <c r="AF125" s="29">
        <f t="shared" si="15"/>
        <v>0</v>
      </c>
      <c r="AG125" s="30" t="str">
        <f>IF(AC125="","",IF(COUNTIFS($AC$3:AC125,"Quên chấm công",$S$3:S125,S125)&gt;3,"Không chấm công do vi phạm quá 3 lần",IF(COUNTIFS($AC$3:AC125,"Quên chấm công",$S$3:S125,S125)&gt;2,"Trừ toàn bộ chuyên cần tháng do vi phạm lần 3",IF(COUNTIFS($AC$3:AC125,"Quên chấm công",$S$3:S125,S125)&gt;1,"Trừ 1/2 ngày lương",50000))))</f>
        <v/>
      </c>
      <c r="AH125" s="14" t="str">
        <f>IF(AF125=0,"",IF(COUNTIFS($AF$3:AF125,"&gt;0",$S$3:S125,S125)&gt;3,"Trừ toàn bộ chuyên cần tháng",""))</f>
        <v/>
      </c>
      <c r="AI125" s="14"/>
      <c r="AJ125" s="14"/>
    </row>
    <row r="126" spans="1:36" x14ac:dyDescent="0.25">
      <c r="A126" s="4" t="s">
        <v>275</v>
      </c>
      <c r="B126" s="1" t="s">
        <v>276</v>
      </c>
      <c r="C126" s="1" t="s">
        <v>19</v>
      </c>
      <c r="D126" s="1" t="s">
        <v>31</v>
      </c>
      <c r="E126" s="1" t="s">
        <v>21</v>
      </c>
      <c r="F126" s="1" t="s">
        <v>22</v>
      </c>
      <c r="G126" s="1" t="s">
        <v>12</v>
      </c>
      <c r="H126" s="12" t="s">
        <v>278</v>
      </c>
      <c r="I126" s="1" t="s">
        <v>23</v>
      </c>
      <c r="J126" s="1" t="s">
        <v>24</v>
      </c>
      <c r="K126" s="1" t="s">
        <v>24</v>
      </c>
      <c r="L126" s="1" t="s">
        <v>25</v>
      </c>
      <c r="M126" s="1" t="s">
        <v>24</v>
      </c>
      <c r="N126" s="1" t="s">
        <v>24</v>
      </c>
      <c r="O126" s="1" t="s">
        <v>24</v>
      </c>
      <c r="P126" s="1" t="s">
        <v>24</v>
      </c>
      <c r="Q126" s="1" t="s">
        <v>24</v>
      </c>
      <c r="R126" s="75" t="str">
        <f t="shared" si="13"/>
        <v>4045904</v>
      </c>
      <c r="S126" t="str">
        <f>VLOOKUP(A126,Data_NV!$A:$C,3,0)</f>
        <v>Nguyễn Văn Vinh</v>
      </c>
      <c r="T126" t="str">
        <f>VLOOKUP(A126,Data_NV!$A:$E,4,0)</f>
        <v>Kinh doanh</v>
      </c>
      <c r="U126" s="72">
        <f>DATEVALUE(Table2[[#This Row],[Ngày]])</f>
        <v>45904</v>
      </c>
      <c r="V126" t="str">
        <f>VLOOKUP(A126,Data_NV!$A:$E,5,0)</f>
        <v>Đang làm việc</v>
      </c>
      <c r="W126" s="11">
        <f>VLOOKUP(A126,Data_NV!$A:$I,8,0)</f>
        <v>0.33333333333333331</v>
      </c>
      <c r="X126" s="11">
        <f>VLOOKUP(A126,Data_NV!$A:$I,9,0)</f>
        <v>0.70833333333333337</v>
      </c>
      <c r="Y126" s="11">
        <f>IFERROR(TIMEVALUE(Table2[[#This Row],[Vào]]),0)</f>
        <v>0.33321759259259259</v>
      </c>
      <c r="Z126" s="11">
        <f>IFERROR(TIMEVALUE(Table2[[#This Row],[Ra]]),0)</f>
        <v>0</v>
      </c>
      <c r="AA126" t="str">
        <f t="shared" si="14"/>
        <v>x</v>
      </c>
      <c r="AB126" s="14">
        <f t="shared" si="16"/>
        <v>0</v>
      </c>
      <c r="AC126" s="14" t="str">
        <f>IF(VLOOKUP(A126,Data_NV!$A:$I,7,0)="Không","",IF(OR(AND(Y126=0,Z126=0),AND(Y126&lt;&gt;0,Z126&lt;&gt;0)),"","Quên chấm công"))</f>
        <v/>
      </c>
      <c r="AD126" s="14">
        <f>IF(VLOOKUP(A126,Data_NV!$A:$I,7,0)="Không",0,IF(AND(Y126=0,Z126=0),0,IF(X126&lt;=Z126,0,ROUNDDOWN((X126-Z126)*24*60,0))))</f>
        <v>0</v>
      </c>
      <c r="AE126" s="14">
        <f>IF(VLOOKUP(A126,Data_NV!$A:$I,6,0)="Không",0,IF(Z126&lt;=X126,0,ROUNDDOWN((Z126-X126)*24*60,0)))</f>
        <v>0</v>
      </c>
      <c r="AF126" s="29">
        <f t="shared" si="15"/>
        <v>0</v>
      </c>
      <c r="AG126" s="30" t="str">
        <f>IF(AC126="","",IF(COUNTIFS($AC$3:AC126,"Quên chấm công",$S$3:S126,S126)&gt;3,"Không chấm công do vi phạm quá 3 lần",IF(COUNTIFS($AC$3:AC126,"Quên chấm công",$S$3:S126,S126)&gt;2,"Trừ toàn bộ chuyên cần tháng do vi phạm lần 3",IF(COUNTIFS($AC$3:AC126,"Quên chấm công",$S$3:S126,S126)&gt;1,"Trừ 1/2 ngày lương",50000))))</f>
        <v/>
      </c>
      <c r="AH126" s="14" t="str">
        <f>IF(AF126=0,"",IF(COUNTIFS($AF$3:AF126,"&gt;0",$S$3:S126,S126)&gt;3,"Trừ toàn bộ chuyên cần tháng",""))</f>
        <v/>
      </c>
      <c r="AI126" s="14"/>
      <c r="AJ126" s="14"/>
    </row>
    <row r="127" spans="1:36" x14ac:dyDescent="0.25">
      <c r="A127" s="4" t="s">
        <v>275</v>
      </c>
      <c r="B127" s="1" t="s">
        <v>276</v>
      </c>
      <c r="C127" s="1" t="s">
        <v>19</v>
      </c>
      <c r="D127" s="1" t="s">
        <v>32</v>
      </c>
      <c r="E127" s="1" t="s">
        <v>21</v>
      </c>
      <c r="F127" s="1" t="s">
        <v>22</v>
      </c>
      <c r="G127" s="1" t="s">
        <v>12</v>
      </c>
      <c r="H127" s="12" t="s">
        <v>279</v>
      </c>
      <c r="I127" s="1" t="s">
        <v>23</v>
      </c>
      <c r="J127" s="1" t="s">
        <v>181</v>
      </c>
      <c r="K127" s="1" t="s">
        <v>24</v>
      </c>
      <c r="L127" s="1" t="s">
        <v>25</v>
      </c>
      <c r="M127" s="1" t="s">
        <v>24</v>
      </c>
      <c r="N127" s="1" t="s">
        <v>24</v>
      </c>
      <c r="O127" s="1" t="s">
        <v>24</v>
      </c>
      <c r="P127" s="1" t="s">
        <v>24</v>
      </c>
      <c r="Q127" s="1" t="s">
        <v>24</v>
      </c>
      <c r="R127" s="75" t="str">
        <f t="shared" si="13"/>
        <v>4045905</v>
      </c>
      <c r="S127" t="str">
        <f>VLOOKUP(A127,Data_NV!$A:$C,3,0)</f>
        <v>Nguyễn Văn Vinh</v>
      </c>
      <c r="T127" t="str">
        <f>VLOOKUP(A127,Data_NV!$A:$E,4,0)</f>
        <v>Kinh doanh</v>
      </c>
      <c r="U127" s="72">
        <f>DATEVALUE(Table2[[#This Row],[Ngày]])</f>
        <v>45905</v>
      </c>
      <c r="V127" t="str">
        <f>VLOOKUP(A127,Data_NV!$A:$E,5,0)</f>
        <v>Đang làm việc</v>
      </c>
      <c r="W127" s="11">
        <f>VLOOKUP(A127,Data_NV!$A:$I,8,0)</f>
        <v>0.33333333333333331</v>
      </c>
      <c r="X127" s="11">
        <f>VLOOKUP(A127,Data_NV!$A:$I,9,0)</f>
        <v>0.70833333333333337</v>
      </c>
      <c r="Y127" s="11">
        <f>IFERROR(TIMEVALUE(Table2[[#This Row],[Vào]]),0)</f>
        <v>0.33711805555555557</v>
      </c>
      <c r="Z127" s="11">
        <f>IFERROR(TIMEVALUE(Table2[[#This Row],[Ra]]),0)</f>
        <v>0</v>
      </c>
      <c r="AA127" t="str">
        <f t="shared" si="14"/>
        <v>x</v>
      </c>
      <c r="AB127" s="14">
        <f t="shared" ref="AB127:AB152" si="17">IF(Y127&lt;=W127,0,ROUNDDOWN((Y127-W127)*24*60,0))</f>
        <v>5</v>
      </c>
      <c r="AC127" s="14" t="str">
        <f>IF(VLOOKUP(A127,Data_NV!$A:$I,7,0)="Không","",IF(OR(AND(Y127=0,Z127=0),AND(Y127&lt;&gt;0,Z127&lt;&gt;0)),"","Quên chấm công"))</f>
        <v/>
      </c>
      <c r="AD127" s="14">
        <f>IF(VLOOKUP(A127,Data_NV!$A:$I,7,0)="Không",0,IF(AND(Y127=0,Z127=0),0,IF(X127&lt;=Z127,0,ROUNDDOWN((X127-Z127)*24*60,0))))</f>
        <v>0</v>
      </c>
      <c r="AE127" s="14">
        <f>IF(VLOOKUP(A127,Data_NV!$A:$I,6,0)="Không",0,IF(Z127&lt;=X127,0,ROUNDDOWN((Z127-X127)*24*60,0)))</f>
        <v>0</v>
      </c>
      <c r="AF127" s="29">
        <f t="shared" si="15"/>
        <v>0</v>
      </c>
      <c r="AG127" s="30" t="str">
        <f>IF(AC127="","",IF(COUNTIFS($AC$3:AC127,"Quên chấm công",$S$3:S127,S127)&gt;3,"Không chấm công do vi phạm quá 3 lần",IF(COUNTIFS($AC$3:AC127,"Quên chấm công",$S$3:S127,S127)&gt;2,"Trừ toàn bộ chuyên cần tháng do vi phạm lần 3",IF(COUNTIFS($AC$3:AC127,"Quên chấm công",$S$3:S127,S127)&gt;1,"Trừ 1/2 ngày lương",50000))))</f>
        <v/>
      </c>
      <c r="AH127" s="14" t="str">
        <f>IF(AF127=0,"",IF(COUNTIFS($AF$3:AF127,"&gt;0",$S$3:S127,S127)&gt;3,"Trừ toàn bộ chuyên cần tháng",""))</f>
        <v/>
      </c>
      <c r="AI127" s="14"/>
      <c r="AJ127" s="14"/>
    </row>
    <row r="128" spans="1:36" x14ac:dyDescent="0.25">
      <c r="A128" s="4" t="s">
        <v>275</v>
      </c>
      <c r="B128" s="1" t="s">
        <v>276</v>
      </c>
      <c r="C128" s="1" t="s">
        <v>19</v>
      </c>
      <c r="D128" s="1" t="s">
        <v>33</v>
      </c>
      <c r="E128" s="1" t="s">
        <v>21</v>
      </c>
      <c r="F128" s="1" t="s">
        <v>22</v>
      </c>
      <c r="G128" s="1" t="s">
        <v>12</v>
      </c>
      <c r="H128" s="12" t="s">
        <v>280</v>
      </c>
      <c r="I128" s="1" t="s">
        <v>23</v>
      </c>
      <c r="J128" s="1" t="s">
        <v>24</v>
      </c>
      <c r="K128" s="1" t="s">
        <v>24</v>
      </c>
      <c r="L128" s="1" t="s">
        <v>25</v>
      </c>
      <c r="M128" s="1" t="s">
        <v>24</v>
      </c>
      <c r="N128" s="1" t="s">
        <v>24</v>
      </c>
      <c r="O128" s="1" t="s">
        <v>24</v>
      </c>
      <c r="P128" s="1" t="s">
        <v>24</v>
      </c>
      <c r="Q128" s="1" t="s">
        <v>24</v>
      </c>
      <c r="R128" s="75" t="str">
        <f t="shared" si="13"/>
        <v>4045906</v>
      </c>
      <c r="S128" t="str">
        <f>VLOOKUP(A128,Data_NV!$A:$C,3,0)</f>
        <v>Nguyễn Văn Vinh</v>
      </c>
      <c r="T128" t="str">
        <f>VLOOKUP(A128,Data_NV!$A:$E,4,0)</f>
        <v>Kinh doanh</v>
      </c>
      <c r="U128" s="72">
        <f>DATEVALUE(Table2[[#This Row],[Ngày]])</f>
        <v>45906</v>
      </c>
      <c r="V128" t="str">
        <f>VLOOKUP(A128,Data_NV!$A:$E,5,0)</f>
        <v>Đang làm việc</v>
      </c>
      <c r="W128" s="11">
        <f>VLOOKUP(A128,Data_NV!$A:$I,8,0)</f>
        <v>0.33333333333333331</v>
      </c>
      <c r="X128" s="11">
        <f>VLOOKUP(A128,Data_NV!$A:$I,9,0)</f>
        <v>0.70833333333333337</v>
      </c>
      <c r="Y128" s="11">
        <f>IFERROR(TIMEVALUE(Table2[[#This Row],[Vào]]),0)</f>
        <v>0.3323726851851852</v>
      </c>
      <c r="Z128" s="11">
        <f>IFERROR(TIMEVALUE(Table2[[#This Row],[Ra]]),0)</f>
        <v>0</v>
      </c>
      <c r="AA128" t="str">
        <f t="shared" si="14"/>
        <v>x</v>
      </c>
      <c r="AB128" s="14">
        <f t="shared" si="17"/>
        <v>0</v>
      </c>
      <c r="AC128" s="14" t="str">
        <f>IF(VLOOKUP(A128,Data_NV!$A:$I,7,0)="Không","",IF(OR(AND(Y128=0,Z128=0),AND(Y128&lt;&gt;0,Z128&lt;&gt;0)),"","Quên chấm công"))</f>
        <v/>
      </c>
      <c r="AD128" s="14">
        <f>IF(VLOOKUP(A128,Data_NV!$A:$I,7,0)="Không",0,IF(AND(Y128=0,Z128=0),0,IF(X128&lt;=Z128,0,ROUNDDOWN((X128-Z128)*24*60,0))))</f>
        <v>0</v>
      </c>
      <c r="AE128" s="14">
        <f>IF(VLOOKUP(A128,Data_NV!$A:$I,6,0)="Không",0,IF(Z128&lt;=X128,0,ROUNDDOWN((Z128-X128)*24*60,0)))</f>
        <v>0</v>
      </c>
      <c r="AF128" s="29">
        <f t="shared" si="15"/>
        <v>0</v>
      </c>
      <c r="AG128" s="30" t="str">
        <f>IF(AC128="","",IF(COUNTIFS($AC$3:AC128,"Quên chấm công",$S$3:S128,S128)&gt;3,"Không chấm công do vi phạm quá 3 lần",IF(COUNTIFS($AC$3:AC128,"Quên chấm công",$S$3:S128,S128)&gt;2,"Trừ toàn bộ chuyên cần tháng do vi phạm lần 3",IF(COUNTIFS($AC$3:AC128,"Quên chấm công",$S$3:S128,S128)&gt;1,"Trừ 1/2 ngày lương",50000))))</f>
        <v/>
      </c>
      <c r="AH128" s="14" t="str">
        <f>IF(AF128=0,"",IF(COUNTIFS($AF$3:AF128,"&gt;0",$S$3:S128,S128)&gt;3,"Trừ toàn bộ chuyên cần tháng",""))</f>
        <v/>
      </c>
      <c r="AI128" s="14"/>
      <c r="AJ128" s="14"/>
    </row>
    <row r="129" spans="1:36" x14ac:dyDescent="0.25">
      <c r="A129" s="4" t="s">
        <v>275</v>
      </c>
      <c r="B129" s="1" t="s">
        <v>276</v>
      </c>
      <c r="C129" s="1" t="s">
        <v>19</v>
      </c>
      <c r="D129" s="1" t="s">
        <v>35</v>
      </c>
      <c r="E129" s="1" t="s">
        <v>21</v>
      </c>
      <c r="F129" s="1" t="s">
        <v>22</v>
      </c>
      <c r="G129" s="1" t="s">
        <v>12</v>
      </c>
      <c r="H129" s="12" t="s">
        <v>23</v>
      </c>
      <c r="I129" s="1" t="s">
        <v>23</v>
      </c>
      <c r="J129" s="1" t="s">
        <v>24</v>
      </c>
      <c r="K129" s="1" t="s">
        <v>24</v>
      </c>
      <c r="L129" s="1" t="s">
        <v>25</v>
      </c>
      <c r="M129" s="1" t="s">
        <v>24</v>
      </c>
      <c r="N129" s="1" t="s">
        <v>24</v>
      </c>
      <c r="O129" s="1" t="s">
        <v>24</v>
      </c>
      <c r="P129" s="1" t="s">
        <v>24</v>
      </c>
      <c r="Q129" s="1" t="s">
        <v>24</v>
      </c>
      <c r="R129" s="75" t="str">
        <f t="shared" si="13"/>
        <v>4045907</v>
      </c>
      <c r="S129" t="str">
        <f>VLOOKUP(A129,Data_NV!$A:$C,3,0)</f>
        <v>Nguyễn Văn Vinh</v>
      </c>
      <c r="T129" t="str">
        <f>VLOOKUP(A129,Data_NV!$A:$E,4,0)</f>
        <v>Kinh doanh</v>
      </c>
      <c r="U129" s="72">
        <f>DATEVALUE(Table2[[#This Row],[Ngày]])</f>
        <v>45907</v>
      </c>
      <c r="V129" t="str">
        <f>VLOOKUP(A129,Data_NV!$A:$E,5,0)</f>
        <v>Đang làm việc</v>
      </c>
      <c r="W129" s="11">
        <f>VLOOKUP(A129,Data_NV!$A:$I,8,0)</f>
        <v>0.33333333333333331</v>
      </c>
      <c r="X129" s="11">
        <f>VLOOKUP(A129,Data_NV!$A:$I,9,0)</f>
        <v>0.70833333333333337</v>
      </c>
      <c r="Y129" s="11">
        <f>IFERROR(TIMEVALUE(Table2[[#This Row],[Vào]]),0)</f>
        <v>0</v>
      </c>
      <c r="Z129" s="11">
        <f>IFERROR(TIMEVALUE(Table2[[#This Row],[Ra]]),0)</f>
        <v>0</v>
      </c>
      <c r="AA129" t="str">
        <f t="shared" si="14"/>
        <v/>
      </c>
      <c r="AB129" s="14">
        <f t="shared" si="17"/>
        <v>0</v>
      </c>
      <c r="AC129" s="14" t="str">
        <f>IF(VLOOKUP(A129,Data_NV!$A:$I,7,0)="Không","",IF(OR(AND(Y129=0,Z129=0),AND(Y129&lt;&gt;0,Z129&lt;&gt;0)),"","Quên chấm công"))</f>
        <v/>
      </c>
      <c r="AD129" s="14">
        <f>IF(VLOOKUP(A129,Data_NV!$A:$I,7,0)="Không",0,IF(AND(Y129=0,Z129=0),0,IF(X129&lt;=Z129,0,ROUNDDOWN((X129-Z129)*24*60,0))))</f>
        <v>0</v>
      </c>
      <c r="AE129" s="14">
        <f>IF(VLOOKUP(A129,Data_NV!$A:$I,6,0)="Không",0,IF(Z129&lt;=X129,0,ROUNDDOWN((Z129-X129)*24*60,0)))</f>
        <v>0</v>
      </c>
      <c r="AF129" s="29">
        <f t="shared" si="15"/>
        <v>0</v>
      </c>
      <c r="AG129" s="30" t="str">
        <f>IF(AC129="","",IF(COUNTIFS($AC$3:AC129,"Quên chấm công",$S$3:S129,S129)&gt;3,"Không chấm công do vi phạm quá 3 lần",IF(COUNTIFS($AC$3:AC129,"Quên chấm công",$S$3:S129,S129)&gt;2,"Trừ toàn bộ chuyên cần tháng do vi phạm lần 3",IF(COUNTIFS($AC$3:AC129,"Quên chấm công",$S$3:S129,S129)&gt;1,"Trừ 1/2 ngày lương",50000))))</f>
        <v/>
      </c>
      <c r="AH129" s="14" t="str">
        <f>IF(AF129=0,"",IF(COUNTIFS($AF$3:AF129,"&gt;0",$S$3:S129,S129)&gt;3,"Trừ toàn bộ chuyên cần tháng",""))</f>
        <v/>
      </c>
      <c r="AI129" s="14"/>
      <c r="AJ129" s="14"/>
    </row>
    <row r="130" spans="1:36" x14ac:dyDescent="0.25">
      <c r="A130" s="4" t="s">
        <v>275</v>
      </c>
      <c r="B130" s="1" t="s">
        <v>276</v>
      </c>
      <c r="C130" s="1" t="s">
        <v>19</v>
      </c>
      <c r="D130" s="1" t="s">
        <v>36</v>
      </c>
      <c r="E130" s="1" t="s">
        <v>21</v>
      </c>
      <c r="F130" s="1" t="s">
        <v>22</v>
      </c>
      <c r="G130" s="1" t="s">
        <v>12</v>
      </c>
      <c r="H130" s="12" t="s">
        <v>281</v>
      </c>
      <c r="I130" s="1" t="s">
        <v>23</v>
      </c>
      <c r="J130" s="1" t="s">
        <v>24</v>
      </c>
      <c r="K130" s="1" t="s">
        <v>24</v>
      </c>
      <c r="L130" s="1" t="s">
        <v>25</v>
      </c>
      <c r="M130" s="1" t="s">
        <v>24</v>
      </c>
      <c r="N130" s="1" t="s">
        <v>24</v>
      </c>
      <c r="O130" s="1" t="s">
        <v>24</v>
      </c>
      <c r="P130" s="1" t="s">
        <v>24</v>
      </c>
      <c r="Q130" s="1" t="s">
        <v>24</v>
      </c>
      <c r="R130" s="75" t="str">
        <f t="shared" si="13"/>
        <v>4045908</v>
      </c>
      <c r="S130" t="str">
        <f>VLOOKUP(A130,Data_NV!$A:$C,3,0)</f>
        <v>Nguyễn Văn Vinh</v>
      </c>
      <c r="T130" t="str">
        <f>VLOOKUP(A130,Data_NV!$A:$E,4,0)</f>
        <v>Kinh doanh</v>
      </c>
      <c r="U130" s="72">
        <f>DATEVALUE(Table2[[#This Row],[Ngày]])</f>
        <v>45908</v>
      </c>
      <c r="V130" t="str">
        <f>VLOOKUP(A130,Data_NV!$A:$E,5,0)</f>
        <v>Đang làm việc</v>
      </c>
      <c r="W130" s="11">
        <f>VLOOKUP(A130,Data_NV!$A:$I,8,0)</f>
        <v>0.33333333333333331</v>
      </c>
      <c r="X130" s="11">
        <f>VLOOKUP(A130,Data_NV!$A:$I,9,0)</f>
        <v>0.70833333333333337</v>
      </c>
      <c r="Y130" s="11">
        <f>IFERROR(TIMEVALUE(Table2[[#This Row],[Vào]]),0)</f>
        <v>0.33133101851851854</v>
      </c>
      <c r="Z130" s="11">
        <f>IFERROR(TIMEVALUE(Table2[[#This Row],[Ra]]),0)</f>
        <v>0</v>
      </c>
      <c r="AA130" t="str">
        <f t="shared" si="14"/>
        <v>x</v>
      </c>
      <c r="AB130" s="14">
        <f t="shared" si="17"/>
        <v>0</v>
      </c>
      <c r="AC130" s="14" t="str">
        <f>IF(VLOOKUP(A130,Data_NV!$A:$I,7,0)="Không","",IF(OR(AND(Y130=0,Z130=0),AND(Y130&lt;&gt;0,Z130&lt;&gt;0)),"","Quên chấm công"))</f>
        <v/>
      </c>
      <c r="AD130" s="14">
        <f>IF(VLOOKUP(A130,Data_NV!$A:$I,7,0)="Không",0,IF(AND(Y130=0,Z130=0),0,IF(X130&lt;=Z130,0,ROUNDDOWN((X130-Z130)*24*60,0))))</f>
        <v>0</v>
      </c>
      <c r="AE130" s="14">
        <f>IF(VLOOKUP(A130,Data_NV!$A:$I,6,0)="Không",0,IF(Z130&lt;=X130,0,ROUNDDOWN((Z130-X130)*24*60,0)))</f>
        <v>0</v>
      </c>
      <c r="AF130" s="29">
        <f t="shared" si="15"/>
        <v>0</v>
      </c>
      <c r="AG130" s="30" t="str">
        <f>IF(AC130="","",IF(COUNTIFS($AC$3:AC130,"Quên chấm công",$S$3:S130,S130)&gt;3,"Không chấm công do vi phạm quá 3 lần",IF(COUNTIFS($AC$3:AC130,"Quên chấm công",$S$3:S130,S130)&gt;2,"Trừ toàn bộ chuyên cần tháng do vi phạm lần 3",IF(COUNTIFS($AC$3:AC130,"Quên chấm công",$S$3:S130,S130)&gt;1,"Trừ 1/2 ngày lương",50000))))</f>
        <v/>
      </c>
      <c r="AH130" s="14" t="str">
        <f>IF(AF130=0,"",IF(COUNTIFS($AF$3:AF130,"&gt;0",$S$3:S130,S130)&gt;3,"Trừ toàn bộ chuyên cần tháng",""))</f>
        <v/>
      </c>
      <c r="AI130" s="14"/>
      <c r="AJ130" s="14"/>
    </row>
    <row r="131" spans="1:36" x14ac:dyDescent="0.25">
      <c r="A131" s="4" t="s">
        <v>275</v>
      </c>
      <c r="B131" s="1" t="s">
        <v>276</v>
      </c>
      <c r="C131" s="1" t="s">
        <v>19</v>
      </c>
      <c r="D131" s="1" t="s">
        <v>37</v>
      </c>
      <c r="E131" s="1" t="s">
        <v>21</v>
      </c>
      <c r="F131" s="1" t="s">
        <v>22</v>
      </c>
      <c r="G131" s="1" t="s">
        <v>12</v>
      </c>
      <c r="H131" s="12" t="s">
        <v>282</v>
      </c>
      <c r="I131" s="1" t="s">
        <v>23</v>
      </c>
      <c r="J131" s="1" t="s">
        <v>65</v>
      </c>
      <c r="K131" s="1" t="s">
        <v>24</v>
      </c>
      <c r="L131" s="1" t="s">
        <v>25</v>
      </c>
      <c r="M131" s="1" t="s">
        <v>24</v>
      </c>
      <c r="N131" s="1" t="s">
        <v>24</v>
      </c>
      <c r="O131" s="1" t="s">
        <v>24</v>
      </c>
      <c r="P131" s="1" t="s">
        <v>24</v>
      </c>
      <c r="Q131" s="1" t="s">
        <v>24</v>
      </c>
      <c r="R131" s="75" t="str">
        <f t="shared" si="13"/>
        <v>4045909</v>
      </c>
      <c r="S131" t="str">
        <f>VLOOKUP(A131,Data_NV!$A:$C,3,0)</f>
        <v>Nguyễn Văn Vinh</v>
      </c>
      <c r="T131" t="str">
        <f>VLOOKUP(A131,Data_NV!$A:$E,4,0)</f>
        <v>Kinh doanh</v>
      </c>
      <c r="U131" s="72">
        <f>DATEVALUE(Table2[[#This Row],[Ngày]])</f>
        <v>45909</v>
      </c>
      <c r="V131" t="str">
        <f>VLOOKUP(A131,Data_NV!$A:$E,5,0)</f>
        <v>Đang làm việc</v>
      </c>
      <c r="W131" s="11">
        <f>VLOOKUP(A131,Data_NV!$A:$I,8,0)</f>
        <v>0.33333333333333331</v>
      </c>
      <c r="X131" s="11">
        <f>VLOOKUP(A131,Data_NV!$A:$I,9,0)</f>
        <v>0.70833333333333337</v>
      </c>
      <c r="Y131" s="11">
        <f>IFERROR(TIMEVALUE(Table2[[#This Row],[Vào]]),0)</f>
        <v>0.33753472222222225</v>
      </c>
      <c r="Z131" s="11">
        <f>IFERROR(TIMEVALUE(Table2[[#This Row],[Ra]]),0)</f>
        <v>0</v>
      </c>
      <c r="AA131" t="str">
        <f t="shared" si="14"/>
        <v>x</v>
      </c>
      <c r="AB131" s="14">
        <f t="shared" si="17"/>
        <v>6</v>
      </c>
      <c r="AC131" s="14" t="str">
        <f>IF(VLOOKUP(A131,Data_NV!$A:$I,7,0)="Không","",IF(OR(AND(Y131=0,Z131=0),AND(Y131&lt;&gt;0,Z131&lt;&gt;0)),"","Quên chấm công"))</f>
        <v/>
      </c>
      <c r="AD131" s="14">
        <f>IF(VLOOKUP(A131,Data_NV!$A:$I,7,0)="Không",0,IF(AND(Y131=0,Z131=0),0,IF(X131&lt;=Z131,0,ROUNDDOWN((X131-Z131)*24*60,0))))</f>
        <v>0</v>
      </c>
      <c r="AE131" s="14">
        <f>IF(VLOOKUP(A131,Data_NV!$A:$I,6,0)="Không",0,IF(Z131&lt;=X131,0,ROUNDDOWN((Z131-X131)*24*60,0)))</f>
        <v>0</v>
      </c>
      <c r="AF131" s="29">
        <f t="shared" si="15"/>
        <v>0</v>
      </c>
      <c r="AG131" s="30" t="str">
        <f>IF(AC131="","",IF(COUNTIFS($AC$3:AC131,"Quên chấm công",$S$3:S131,S131)&gt;3,"Không chấm công do vi phạm quá 3 lần",IF(COUNTIFS($AC$3:AC131,"Quên chấm công",$S$3:S131,S131)&gt;2,"Trừ toàn bộ chuyên cần tháng do vi phạm lần 3",IF(COUNTIFS($AC$3:AC131,"Quên chấm công",$S$3:S131,S131)&gt;1,"Trừ 1/2 ngày lương",50000))))</f>
        <v/>
      </c>
      <c r="AH131" s="14" t="str">
        <f>IF(AF131=0,"",IF(COUNTIFS($AF$3:AF131,"&gt;0",$S$3:S131,S131)&gt;3,"Trừ toàn bộ chuyên cần tháng",""))</f>
        <v/>
      </c>
      <c r="AI131" s="14"/>
      <c r="AJ131" s="14"/>
    </row>
    <row r="132" spans="1:36" x14ac:dyDescent="0.25">
      <c r="A132" s="4" t="s">
        <v>275</v>
      </c>
      <c r="B132" s="1" t="s">
        <v>276</v>
      </c>
      <c r="C132" s="1" t="s">
        <v>19</v>
      </c>
      <c r="D132" s="1" t="s">
        <v>38</v>
      </c>
      <c r="E132" s="1" t="s">
        <v>21</v>
      </c>
      <c r="F132" s="1" t="s">
        <v>22</v>
      </c>
      <c r="G132" s="1" t="s">
        <v>12</v>
      </c>
      <c r="H132" s="12" t="s">
        <v>283</v>
      </c>
      <c r="I132" s="1" t="s">
        <v>23</v>
      </c>
      <c r="J132" s="1" t="s">
        <v>181</v>
      </c>
      <c r="K132" s="1" t="s">
        <v>24</v>
      </c>
      <c r="L132" s="1" t="s">
        <v>25</v>
      </c>
      <c r="M132" s="1" t="s">
        <v>24</v>
      </c>
      <c r="N132" s="1" t="s">
        <v>24</v>
      </c>
      <c r="O132" s="1" t="s">
        <v>24</v>
      </c>
      <c r="P132" s="1" t="s">
        <v>24</v>
      </c>
      <c r="Q132" s="1" t="s">
        <v>24</v>
      </c>
      <c r="R132" s="75" t="str">
        <f t="shared" si="13"/>
        <v>4045910</v>
      </c>
      <c r="S132" t="str">
        <f>VLOOKUP(A132,Data_NV!$A:$C,3,0)</f>
        <v>Nguyễn Văn Vinh</v>
      </c>
      <c r="T132" t="str">
        <f>VLOOKUP(A132,Data_NV!$A:$E,4,0)</f>
        <v>Kinh doanh</v>
      </c>
      <c r="U132" s="72">
        <f>DATEVALUE(Table2[[#This Row],[Ngày]])</f>
        <v>45910</v>
      </c>
      <c r="V132" t="str">
        <f>VLOOKUP(A132,Data_NV!$A:$E,5,0)</f>
        <v>Đang làm việc</v>
      </c>
      <c r="W132" s="11">
        <f>VLOOKUP(A132,Data_NV!$A:$I,8,0)</f>
        <v>0.33333333333333331</v>
      </c>
      <c r="X132" s="11">
        <f>VLOOKUP(A132,Data_NV!$A:$I,9,0)</f>
        <v>0.70833333333333337</v>
      </c>
      <c r="Y132" s="11">
        <f>IFERROR(TIMEVALUE(Table2[[#This Row],[Vào]]),0)</f>
        <v>0.33681712962962962</v>
      </c>
      <c r="Z132" s="11">
        <f>IFERROR(TIMEVALUE(Table2[[#This Row],[Ra]]),0)</f>
        <v>0</v>
      </c>
      <c r="AA132" t="str">
        <f t="shared" si="14"/>
        <v>x</v>
      </c>
      <c r="AB132" s="14">
        <f t="shared" si="17"/>
        <v>5</v>
      </c>
      <c r="AC132" s="14" t="str">
        <f>IF(VLOOKUP(A132,Data_NV!$A:$I,7,0)="Không","",IF(OR(AND(Y132=0,Z132=0),AND(Y132&lt;&gt;0,Z132&lt;&gt;0)),"","Quên chấm công"))</f>
        <v/>
      </c>
      <c r="AD132" s="14">
        <f>IF(VLOOKUP(A132,Data_NV!$A:$I,7,0)="Không",0,IF(AND(Y132=0,Z132=0),0,IF(X132&lt;=Z132,0,ROUNDDOWN((X132-Z132)*24*60,0))))</f>
        <v>0</v>
      </c>
      <c r="AE132" s="14">
        <f>IF(VLOOKUP(A132,Data_NV!$A:$I,6,0)="Không",0,IF(Z132&lt;=X132,0,ROUNDDOWN((Z132-X132)*24*60,0)))</f>
        <v>0</v>
      </c>
      <c r="AF132" s="29">
        <f t="shared" si="15"/>
        <v>0</v>
      </c>
      <c r="AG132" s="30" t="str">
        <f>IF(AC132="","",IF(COUNTIFS($AC$3:AC132,"Quên chấm công",$S$3:S132,S132)&gt;3,"Không chấm công do vi phạm quá 3 lần",IF(COUNTIFS($AC$3:AC132,"Quên chấm công",$S$3:S132,S132)&gt;2,"Trừ toàn bộ chuyên cần tháng do vi phạm lần 3",IF(COUNTIFS($AC$3:AC132,"Quên chấm công",$S$3:S132,S132)&gt;1,"Trừ 1/2 ngày lương",50000))))</f>
        <v/>
      </c>
      <c r="AH132" s="14" t="str">
        <f>IF(AF132=0,"",IF(COUNTIFS($AF$3:AF132,"&gt;0",$S$3:S132,S132)&gt;3,"Trừ toàn bộ chuyên cần tháng",""))</f>
        <v/>
      </c>
      <c r="AI132" s="14"/>
      <c r="AJ132" s="14"/>
    </row>
    <row r="133" spans="1:36" x14ac:dyDescent="0.25">
      <c r="A133" s="4" t="s">
        <v>275</v>
      </c>
      <c r="B133" s="1" t="s">
        <v>276</v>
      </c>
      <c r="C133" s="1" t="s">
        <v>19</v>
      </c>
      <c r="D133" s="1" t="s">
        <v>39</v>
      </c>
      <c r="E133" s="1" t="s">
        <v>21</v>
      </c>
      <c r="F133" s="1" t="s">
        <v>22</v>
      </c>
      <c r="G133" s="1" t="s">
        <v>12</v>
      </c>
      <c r="H133" s="12" t="s">
        <v>284</v>
      </c>
      <c r="I133" s="1" t="s">
        <v>23</v>
      </c>
      <c r="J133" s="1" t="s">
        <v>181</v>
      </c>
      <c r="K133" s="1" t="s">
        <v>24</v>
      </c>
      <c r="L133" s="1" t="s">
        <v>25</v>
      </c>
      <c r="M133" s="1" t="s">
        <v>24</v>
      </c>
      <c r="N133" s="1" t="s">
        <v>24</v>
      </c>
      <c r="O133" s="1" t="s">
        <v>24</v>
      </c>
      <c r="P133" s="1" t="s">
        <v>24</v>
      </c>
      <c r="Q133" s="1" t="s">
        <v>24</v>
      </c>
      <c r="R133" s="75" t="str">
        <f t="shared" si="13"/>
        <v>4045911</v>
      </c>
      <c r="S133" t="str">
        <f>VLOOKUP(A133,Data_NV!$A:$C,3,0)</f>
        <v>Nguyễn Văn Vinh</v>
      </c>
      <c r="T133" t="str">
        <f>VLOOKUP(A133,Data_NV!$A:$E,4,0)</f>
        <v>Kinh doanh</v>
      </c>
      <c r="U133" s="72">
        <f>DATEVALUE(Table2[[#This Row],[Ngày]])</f>
        <v>45911</v>
      </c>
      <c r="V133" t="str">
        <f>VLOOKUP(A133,Data_NV!$A:$E,5,0)</f>
        <v>Đang làm việc</v>
      </c>
      <c r="W133" s="11">
        <f>VLOOKUP(A133,Data_NV!$A:$I,8,0)</f>
        <v>0.33333333333333331</v>
      </c>
      <c r="X133" s="11">
        <f>VLOOKUP(A133,Data_NV!$A:$I,9,0)</f>
        <v>0.70833333333333337</v>
      </c>
      <c r="Y133" s="11">
        <f>IFERROR(TIMEVALUE(Table2[[#This Row],[Vào]]),0)</f>
        <v>0.33662037037037035</v>
      </c>
      <c r="Z133" s="11">
        <f>IFERROR(TIMEVALUE(Table2[[#This Row],[Ra]]),0)</f>
        <v>0</v>
      </c>
      <c r="AA133" t="str">
        <f t="shared" si="14"/>
        <v>x</v>
      </c>
      <c r="AB133" s="14">
        <f t="shared" si="17"/>
        <v>4</v>
      </c>
      <c r="AC133" s="14" t="str">
        <f>IF(VLOOKUP(A133,Data_NV!$A:$I,7,0)="Không","",IF(OR(AND(Y133=0,Z133=0),AND(Y133&lt;&gt;0,Z133&lt;&gt;0)),"","Quên chấm công"))</f>
        <v/>
      </c>
      <c r="AD133" s="14">
        <f>IF(VLOOKUP(A133,Data_NV!$A:$I,7,0)="Không",0,IF(AND(Y133=0,Z133=0),0,IF(X133&lt;=Z133,0,ROUNDDOWN((X133-Z133)*24*60,0))))</f>
        <v>0</v>
      </c>
      <c r="AE133" s="14">
        <f>IF(VLOOKUP(A133,Data_NV!$A:$I,6,0)="Không",0,IF(Z133&lt;=X133,0,ROUNDDOWN((Z133-X133)*24*60,0)))</f>
        <v>0</v>
      </c>
      <c r="AF133" s="29">
        <f t="shared" si="15"/>
        <v>0</v>
      </c>
      <c r="AG133" s="30" t="str">
        <f>IF(AC133="","",IF(COUNTIFS($AC$3:AC133,"Quên chấm công",$S$3:S133,S133)&gt;3,"Không chấm công do vi phạm quá 3 lần",IF(COUNTIFS($AC$3:AC133,"Quên chấm công",$S$3:S133,S133)&gt;2,"Trừ toàn bộ chuyên cần tháng do vi phạm lần 3",IF(COUNTIFS($AC$3:AC133,"Quên chấm công",$S$3:S133,S133)&gt;1,"Trừ 1/2 ngày lương",50000))))</f>
        <v/>
      </c>
      <c r="AH133" s="14" t="str">
        <f>IF(AF133=0,"",IF(COUNTIFS($AF$3:AF133,"&gt;0",$S$3:S133,S133)&gt;3,"Trừ toàn bộ chuyên cần tháng",""))</f>
        <v/>
      </c>
      <c r="AI133" s="14"/>
      <c r="AJ133" s="14"/>
    </row>
    <row r="134" spans="1:36" x14ac:dyDescent="0.25">
      <c r="A134" s="4" t="s">
        <v>275</v>
      </c>
      <c r="B134" s="1" t="s">
        <v>276</v>
      </c>
      <c r="C134" s="1" t="s">
        <v>19</v>
      </c>
      <c r="D134" s="1" t="s">
        <v>40</v>
      </c>
      <c r="E134" s="1" t="s">
        <v>21</v>
      </c>
      <c r="F134" s="1" t="s">
        <v>22</v>
      </c>
      <c r="G134" s="1" t="s">
        <v>12</v>
      </c>
      <c r="H134" s="12" t="s">
        <v>23</v>
      </c>
      <c r="I134" s="1" t="s">
        <v>23</v>
      </c>
      <c r="J134" s="1" t="s">
        <v>24</v>
      </c>
      <c r="K134" s="1" t="s">
        <v>24</v>
      </c>
      <c r="L134" s="1" t="s">
        <v>25</v>
      </c>
      <c r="M134" s="1" t="s">
        <v>24</v>
      </c>
      <c r="N134" s="1" t="s">
        <v>24</v>
      </c>
      <c r="O134" s="1" t="s">
        <v>24</v>
      </c>
      <c r="P134" s="1" t="s">
        <v>24</v>
      </c>
      <c r="Q134" s="1" t="s">
        <v>24</v>
      </c>
      <c r="R134" s="75" t="str">
        <f t="shared" si="13"/>
        <v>4045912</v>
      </c>
      <c r="S134" t="str">
        <f>VLOOKUP(A134,Data_NV!$A:$C,3,0)</f>
        <v>Nguyễn Văn Vinh</v>
      </c>
      <c r="T134" t="str">
        <f>VLOOKUP(A134,Data_NV!$A:$E,4,0)</f>
        <v>Kinh doanh</v>
      </c>
      <c r="U134" s="72">
        <f>DATEVALUE(Table2[[#This Row],[Ngày]])</f>
        <v>45912</v>
      </c>
      <c r="V134" t="str">
        <f>VLOOKUP(A134,Data_NV!$A:$E,5,0)</f>
        <v>Đang làm việc</v>
      </c>
      <c r="W134" s="11">
        <f>VLOOKUP(A134,Data_NV!$A:$I,8,0)</f>
        <v>0.33333333333333331</v>
      </c>
      <c r="X134" s="11">
        <f>VLOOKUP(A134,Data_NV!$A:$I,9,0)</f>
        <v>0.70833333333333337</v>
      </c>
      <c r="Y134" s="11">
        <f>IFERROR(TIMEVALUE(Table2[[#This Row],[Vào]]),0)</f>
        <v>0</v>
      </c>
      <c r="Z134" s="11">
        <f>IFERROR(TIMEVALUE(Table2[[#This Row],[Ra]]),0)</f>
        <v>0</v>
      </c>
      <c r="AA134" t="str">
        <f t="shared" si="14"/>
        <v/>
      </c>
      <c r="AB134" s="14">
        <f t="shared" si="17"/>
        <v>0</v>
      </c>
      <c r="AC134" s="14" t="str">
        <f>IF(VLOOKUP(A134,Data_NV!$A:$I,7,0)="Không","",IF(OR(AND(Y134=0,Z134=0),AND(Y134&lt;&gt;0,Z134&lt;&gt;0)),"","Quên chấm công"))</f>
        <v/>
      </c>
      <c r="AD134" s="14">
        <f>IF(VLOOKUP(A134,Data_NV!$A:$I,7,0)="Không",0,IF(AND(Y134=0,Z134=0),0,IF(X134&lt;=Z134,0,ROUNDDOWN((X134-Z134)*24*60,0))))</f>
        <v>0</v>
      </c>
      <c r="AE134" s="14">
        <f>IF(VLOOKUP(A134,Data_NV!$A:$I,6,0)="Không",0,IF(Z134&lt;=X134,0,ROUNDDOWN((Z134-X134)*24*60,0)))</f>
        <v>0</v>
      </c>
      <c r="AF134" s="29">
        <f t="shared" si="15"/>
        <v>0</v>
      </c>
      <c r="AG134" s="30" t="str">
        <f>IF(AC134="","",IF(COUNTIFS($AC$3:AC134,"Quên chấm công",$S$3:S134,S134)&gt;3,"Không chấm công do vi phạm quá 3 lần",IF(COUNTIFS($AC$3:AC134,"Quên chấm công",$S$3:S134,S134)&gt;2,"Trừ toàn bộ chuyên cần tháng do vi phạm lần 3",IF(COUNTIFS($AC$3:AC134,"Quên chấm công",$S$3:S134,S134)&gt;1,"Trừ 1/2 ngày lương",50000))))</f>
        <v/>
      </c>
      <c r="AH134" s="14" t="str">
        <f>IF(AF134=0,"",IF(COUNTIFS($AF$3:AF134,"&gt;0",$S$3:S134,S134)&gt;3,"Trừ toàn bộ chuyên cần tháng",""))</f>
        <v/>
      </c>
      <c r="AI134" s="14"/>
      <c r="AJ134" s="14"/>
    </row>
    <row r="135" spans="1:36" x14ac:dyDescent="0.25">
      <c r="A135" s="4" t="s">
        <v>275</v>
      </c>
      <c r="B135" s="1" t="s">
        <v>276</v>
      </c>
      <c r="C135" s="1" t="s">
        <v>19</v>
      </c>
      <c r="D135" s="1" t="s">
        <v>41</v>
      </c>
      <c r="E135" s="1" t="s">
        <v>21</v>
      </c>
      <c r="F135" s="1" t="s">
        <v>22</v>
      </c>
      <c r="G135" s="1" t="s">
        <v>12</v>
      </c>
      <c r="H135" s="12" t="s">
        <v>254</v>
      </c>
      <c r="I135" s="1" t="s">
        <v>23</v>
      </c>
      <c r="J135" s="1" t="s">
        <v>135</v>
      </c>
      <c r="K135" s="1" t="s">
        <v>98</v>
      </c>
      <c r="L135" s="1" t="s">
        <v>285</v>
      </c>
      <c r="M135" s="1" t="s">
        <v>98</v>
      </c>
      <c r="N135" s="1" t="s">
        <v>24</v>
      </c>
      <c r="O135" s="1" t="s">
        <v>24</v>
      </c>
      <c r="P135" s="1" t="s">
        <v>24</v>
      </c>
      <c r="Q135" s="1" t="s">
        <v>24</v>
      </c>
      <c r="R135" s="75" t="str">
        <f t="shared" si="13"/>
        <v>4045913</v>
      </c>
      <c r="S135" t="str">
        <f>VLOOKUP(A135,Data_NV!$A:$C,3,0)</f>
        <v>Nguyễn Văn Vinh</v>
      </c>
      <c r="T135" t="str">
        <f>VLOOKUP(A135,Data_NV!$A:$E,4,0)</f>
        <v>Kinh doanh</v>
      </c>
      <c r="U135" s="72">
        <f>DATEVALUE(Table2[[#This Row],[Ngày]])</f>
        <v>45913</v>
      </c>
      <c r="V135" t="str">
        <f>VLOOKUP(A135,Data_NV!$A:$E,5,0)</f>
        <v>Đang làm việc</v>
      </c>
      <c r="W135" s="11">
        <f>VLOOKUP(A135,Data_NV!$A:$I,8,0)</f>
        <v>0.33333333333333331</v>
      </c>
      <c r="X135" s="11">
        <f>VLOOKUP(A135,Data_NV!$A:$I,9,0)</f>
        <v>0.70833333333333337</v>
      </c>
      <c r="Y135" s="11">
        <f>IFERROR(TIMEVALUE(Table2[[#This Row],[Vào]]),0)</f>
        <v>0.3338888888888889</v>
      </c>
      <c r="Z135" s="11">
        <f>IFERROR(TIMEVALUE(Table2[[#This Row],[Ra]]),0)</f>
        <v>0</v>
      </c>
      <c r="AA135" t="str">
        <f t="shared" si="14"/>
        <v>x</v>
      </c>
      <c r="AB135" s="14">
        <f t="shared" si="17"/>
        <v>0</v>
      </c>
      <c r="AC135" s="14" t="str">
        <f>IF(VLOOKUP(A135,Data_NV!$A:$I,7,0)="Không","",IF(OR(AND(Y135=0,Z135=0),AND(Y135&lt;&gt;0,Z135&lt;&gt;0)),"","Quên chấm công"))</f>
        <v/>
      </c>
      <c r="AD135" s="14">
        <f>IF(VLOOKUP(A135,Data_NV!$A:$I,7,0)="Không",0,IF(AND(Y135=0,Z135=0),0,IF(X135&lt;=Z135,0,ROUNDDOWN((X135-Z135)*24*60,0))))</f>
        <v>0</v>
      </c>
      <c r="AE135" s="14">
        <f>IF(VLOOKUP(A135,Data_NV!$A:$I,6,0)="Không",0,IF(Z135&lt;=X135,0,ROUNDDOWN((Z135-X135)*24*60,0)))</f>
        <v>0</v>
      </c>
      <c r="AF135" s="29">
        <f t="shared" si="15"/>
        <v>0</v>
      </c>
      <c r="AG135" s="30" t="str">
        <f>IF(AC135="","",IF(COUNTIFS($AC$3:AC135,"Quên chấm công",$S$3:S135,S135)&gt;3,"Không chấm công do vi phạm quá 3 lần",IF(COUNTIFS($AC$3:AC135,"Quên chấm công",$S$3:S135,S135)&gt;2,"Trừ toàn bộ chuyên cần tháng do vi phạm lần 3",IF(COUNTIFS($AC$3:AC135,"Quên chấm công",$S$3:S135,S135)&gt;1,"Trừ 1/2 ngày lương",50000))))</f>
        <v/>
      </c>
      <c r="AH135" s="14" t="str">
        <f>IF(AF135=0,"",IF(COUNTIFS($AF$3:AF135,"&gt;0",$S$3:S135,S135)&gt;3,"Trừ toàn bộ chuyên cần tháng",""))</f>
        <v/>
      </c>
      <c r="AI135" s="14"/>
      <c r="AJ135" s="14"/>
    </row>
    <row r="136" spans="1:36" x14ac:dyDescent="0.25">
      <c r="A136" s="4" t="s">
        <v>275</v>
      </c>
      <c r="B136" s="1" t="s">
        <v>276</v>
      </c>
      <c r="C136" s="1" t="s">
        <v>19</v>
      </c>
      <c r="D136" s="1" t="s">
        <v>42</v>
      </c>
      <c r="E136" s="1" t="s">
        <v>21</v>
      </c>
      <c r="F136" s="1" t="s">
        <v>22</v>
      </c>
      <c r="G136" s="1" t="s">
        <v>12</v>
      </c>
      <c r="H136" s="12" t="s">
        <v>23</v>
      </c>
      <c r="I136" s="1" t="s">
        <v>23</v>
      </c>
      <c r="J136" s="1" t="s">
        <v>24</v>
      </c>
      <c r="K136" s="1" t="s">
        <v>24</v>
      </c>
      <c r="L136" s="1" t="s">
        <v>25</v>
      </c>
      <c r="M136" s="1" t="s">
        <v>24</v>
      </c>
      <c r="N136" s="1" t="s">
        <v>24</v>
      </c>
      <c r="O136" s="1" t="s">
        <v>24</v>
      </c>
      <c r="P136" s="1" t="s">
        <v>24</v>
      </c>
      <c r="Q136" s="1" t="s">
        <v>24</v>
      </c>
      <c r="R136" s="75" t="str">
        <f t="shared" si="13"/>
        <v>4045914</v>
      </c>
      <c r="S136" t="str">
        <f>VLOOKUP(A136,Data_NV!$A:$C,3,0)</f>
        <v>Nguyễn Văn Vinh</v>
      </c>
      <c r="T136" t="str">
        <f>VLOOKUP(A136,Data_NV!$A:$E,4,0)</f>
        <v>Kinh doanh</v>
      </c>
      <c r="U136" s="72">
        <f>DATEVALUE(Table2[[#This Row],[Ngày]])</f>
        <v>45914</v>
      </c>
      <c r="V136" t="str">
        <f>VLOOKUP(A136,Data_NV!$A:$E,5,0)</f>
        <v>Đang làm việc</v>
      </c>
      <c r="W136" s="11">
        <f>VLOOKUP(A136,Data_NV!$A:$I,8,0)</f>
        <v>0.33333333333333331</v>
      </c>
      <c r="X136" s="11">
        <f>VLOOKUP(A136,Data_NV!$A:$I,9,0)</f>
        <v>0.70833333333333337</v>
      </c>
      <c r="Y136" s="11">
        <f>IFERROR(TIMEVALUE(Table2[[#This Row],[Vào]]),0)</f>
        <v>0</v>
      </c>
      <c r="Z136" s="11">
        <f>IFERROR(TIMEVALUE(Table2[[#This Row],[Ra]]),0)</f>
        <v>0</v>
      </c>
      <c r="AA136" t="str">
        <f t="shared" si="14"/>
        <v/>
      </c>
      <c r="AB136" s="14">
        <f t="shared" si="17"/>
        <v>0</v>
      </c>
      <c r="AC136" s="14" t="str">
        <f>IF(VLOOKUP(A136,Data_NV!$A:$I,7,0)="Không","",IF(OR(AND(Y136=0,Z136=0),AND(Y136&lt;&gt;0,Z136&lt;&gt;0)),"","Quên chấm công"))</f>
        <v/>
      </c>
      <c r="AD136" s="14">
        <f>IF(VLOOKUP(A136,Data_NV!$A:$I,7,0)="Không",0,IF(AND(Y136=0,Z136=0),0,IF(X136&lt;=Z136,0,ROUNDDOWN((X136-Z136)*24*60,0))))</f>
        <v>0</v>
      </c>
      <c r="AE136" s="14">
        <f>IF(VLOOKUP(A136,Data_NV!$A:$I,6,0)="Không",0,IF(Z136&lt;=X136,0,ROUNDDOWN((Z136-X136)*24*60,0)))</f>
        <v>0</v>
      </c>
      <c r="AF136" s="29">
        <f t="shared" si="15"/>
        <v>0</v>
      </c>
      <c r="AG136" s="30" t="str">
        <f>IF(AC136="","",IF(COUNTIFS($AC$3:AC136,"Quên chấm công",$S$3:S136,S136)&gt;3,"Không chấm công do vi phạm quá 3 lần",IF(COUNTIFS($AC$3:AC136,"Quên chấm công",$S$3:S136,S136)&gt;2,"Trừ toàn bộ chuyên cần tháng do vi phạm lần 3",IF(COUNTIFS($AC$3:AC136,"Quên chấm công",$S$3:S136,S136)&gt;1,"Trừ 1/2 ngày lương",50000))))</f>
        <v/>
      </c>
      <c r="AH136" s="14" t="str">
        <f>IF(AF136=0,"",IF(COUNTIFS($AF$3:AF136,"&gt;0",$S$3:S136,S136)&gt;3,"Trừ toàn bộ chuyên cần tháng",""))</f>
        <v/>
      </c>
      <c r="AI136" s="14"/>
      <c r="AJ136" s="14"/>
    </row>
    <row r="137" spans="1:36" x14ac:dyDescent="0.25">
      <c r="A137" s="4" t="s">
        <v>275</v>
      </c>
      <c r="B137" s="1" t="s">
        <v>276</v>
      </c>
      <c r="C137" s="1" t="s">
        <v>19</v>
      </c>
      <c r="D137" s="1" t="s">
        <v>43</v>
      </c>
      <c r="E137" s="1" t="s">
        <v>21</v>
      </c>
      <c r="F137" s="1" t="s">
        <v>22</v>
      </c>
      <c r="G137" s="1" t="s">
        <v>12</v>
      </c>
      <c r="H137" s="12" t="s">
        <v>286</v>
      </c>
      <c r="I137" s="1" t="s">
        <v>23</v>
      </c>
      <c r="J137" s="1" t="s">
        <v>181</v>
      </c>
      <c r="K137" s="1" t="s">
        <v>24</v>
      </c>
      <c r="L137" s="1" t="s">
        <v>25</v>
      </c>
      <c r="M137" s="1" t="s">
        <v>24</v>
      </c>
      <c r="N137" s="1" t="s">
        <v>24</v>
      </c>
      <c r="O137" s="1" t="s">
        <v>24</v>
      </c>
      <c r="P137" s="1" t="s">
        <v>24</v>
      </c>
      <c r="Q137" s="1" t="s">
        <v>24</v>
      </c>
      <c r="R137" s="75" t="str">
        <f t="shared" si="13"/>
        <v>4045915</v>
      </c>
      <c r="S137" t="str">
        <f>VLOOKUP(A137,Data_NV!$A:$C,3,0)</f>
        <v>Nguyễn Văn Vinh</v>
      </c>
      <c r="T137" t="str">
        <f>VLOOKUP(A137,Data_NV!$A:$E,4,0)</f>
        <v>Kinh doanh</v>
      </c>
      <c r="U137" s="72">
        <f>DATEVALUE(Table2[[#This Row],[Ngày]])</f>
        <v>45915</v>
      </c>
      <c r="V137" t="str">
        <f>VLOOKUP(A137,Data_NV!$A:$E,5,0)</f>
        <v>Đang làm việc</v>
      </c>
      <c r="W137" s="11">
        <f>VLOOKUP(A137,Data_NV!$A:$I,8,0)</f>
        <v>0.33333333333333331</v>
      </c>
      <c r="X137" s="11">
        <f>VLOOKUP(A137,Data_NV!$A:$I,9,0)</f>
        <v>0.70833333333333337</v>
      </c>
      <c r="Y137" s="11">
        <f>IFERROR(TIMEVALUE(Table2[[#This Row],[Vào]]),0)</f>
        <v>0.33645833333333336</v>
      </c>
      <c r="Z137" s="11">
        <f>IFERROR(TIMEVALUE(Table2[[#This Row],[Ra]]),0)</f>
        <v>0</v>
      </c>
      <c r="AA137" t="str">
        <f t="shared" si="14"/>
        <v>x</v>
      </c>
      <c r="AB137" s="14">
        <f t="shared" si="17"/>
        <v>4</v>
      </c>
      <c r="AC137" s="14" t="str">
        <f>IF(VLOOKUP(A137,Data_NV!$A:$I,7,0)="Không","",IF(OR(AND(Y137=0,Z137=0),AND(Y137&lt;&gt;0,Z137&lt;&gt;0)),"","Quên chấm công"))</f>
        <v/>
      </c>
      <c r="AD137" s="14">
        <f>IF(VLOOKUP(A137,Data_NV!$A:$I,7,0)="Không",0,IF(AND(Y137=0,Z137=0),0,IF(X137&lt;=Z137,0,ROUNDDOWN((X137-Z137)*24*60,0))))</f>
        <v>0</v>
      </c>
      <c r="AE137" s="14">
        <f>IF(VLOOKUP(A137,Data_NV!$A:$I,6,0)="Không",0,IF(Z137&lt;=X137,0,ROUNDDOWN((Z137-X137)*24*60,0)))</f>
        <v>0</v>
      </c>
      <c r="AF137" s="29">
        <f t="shared" si="15"/>
        <v>0</v>
      </c>
      <c r="AG137" s="30" t="str">
        <f>IF(AC137="","",IF(COUNTIFS($AC$3:AC137,"Quên chấm công",$S$3:S137,S137)&gt;3,"Không chấm công do vi phạm quá 3 lần",IF(COUNTIFS($AC$3:AC137,"Quên chấm công",$S$3:S137,S137)&gt;2,"Trừ toàn bộ chuyên cần tháng do vi phạm lần 3",IF(COUNTIFS($AC$3:AC137,"Quên chấm công",$S$3:S137,S137)&gt;1,"Trừ 1/2 ngày lương",50000))))</f>
        <v/>
      </c>
      <c r="AH137" s="14" t="str">
        <f>IF(AF137=0,"",IF(COUNTIFS($AF$3:AF137,"&gt;0",$S$3:S137,S137)&gt;3,"Trừ toàn bộ chuyên cần tháng",""))</f>
        <v/>
      </c>
      <c r="AI137" s="14"/>
      <c r="AJ137" s="14"/>
    </row>
    <row r="138" spans="1:36" x14ac:dyDescent="0.25">
      <c r="A138" s="4" t="s">
        <v>275</v>
      </c>
      <c r="B138" s="1" t="s">
        <v>276</v>
      </c>
      <c r="C138" s="1" t="s">
        <v>19</v>
      </c>
      <c r="D138" s="1" t="s">
        <v>44</v>
      </c>
      <c r="E138" s="1" t="s">
        <v>21</v>
      </c>
      <c r="F138" s="1" t="s">
        <v>22</v>
      </c>
      <c r="G138" s="1" t="s">
        <v>12</v>
      </c>
      <c r="H138" s="12" t="s">
        <v>287</v>
      </c>
      <c r="I138" s="1" t="s">
        <v>23</v>
      </c>
      <c r="J138" s="1" t="s">
        <v>181</v>
      </c>
      <c r="K138" s="1" t="s">
        <v>24</v>
      </c>
      <c r="L138" s="1" t="s">
        <v>25</v>
      </c>
      <c r="M138" s="1" t="s">
        <v>24</v>
      </c>
      <c r="N138" s="1" t="s">
        <v>24</v>
      </c>
      <c r="O138" s="1" t="s">
        <v>24</v>
      </c>
      <c r="P138" s="1" t="s">
        <v>24</v>
      </c>
      <c r="Q138" s="1" t="s">
        <v>24</v>
      </c>
      <c r="R138" s="75" t="str">
        <f t="shared" si="13"/>
        <v>4045916</v>
      </c>
      <c r="S138" t="str">
        <f>VLOOKUP(A138,Data_NV!$A:$C,3,0)</f>
        <v>Nguyễn Văn Vinh</v>
      </c>
      <c r="T138" t="str">
        <f>VLOOKUP(A138,Data_NV!$A:$E,4,0)</f>
        <v>Kinh doanh</v>
      </c>
      <c r="U138" s="72">
        <f>DATEVALUE(Table2[[#This Row],[Ngày]])</f>
        <v>45916</v>
      </c>
      <c r="V138" t="str">
        <f>VLOOKUP(A138,Data_NV!$A:$E,5,0)</f>
        <v>Đang làm việc</v>
      </c>
      <c r="W138" s="11">
        <f>VLOOKUP(A138,Data_NV!$A:$I,8,0)</f>
        <v>0.33333333333333331</v>
      </c>
      <c r="X138" s="11">
        <f>VLOOKUP(A138,Data_NV!$A:$I,9,0)</f>
        <v>0.70833333333333337</v>
      </c>
      <c r="Y138" s="11">
        <f>IFERROR(TIMEVALUE(Table2[[#This Row],[Vào]]),0)</f>
        <v>0.33657407407407408</v>
      </c>
      <c r="Z138" s="11">
        <f>IFERROR(TIMEVALUE(Table2[[#This Row],[Ra]]),0)</f>
        <v>0</v>
      </c>
      <c r="AA138" t="str">
        <f t="shared" si="14"/>
        <v>x</v>
      </c>
      <c r="AB138" s="14">
        <f t="shared" si="17"/>
        <v>4</v>
      </c>
      <c r="AC138" s="14" t="str">
        <f>IF(VLOOKUP(A138,Data_NV!$A:$I,7,0)="Không","",IF(OR(AND(Y138=0,Z138=0),AND(Y138&lt;&gt;0,Z138&lt;&gt;0)),"","Quên chấm công"))</f>
        <v/>
      </c>
      <c r="AD138" s="14">
        <f>IF(VLOOKUP(A138,Data_NV!$A:$I,7,0)="Không",0,IF(AND(Y138=0,Z138=0),0,IF(X138&lt;=Z138,0,ROUNDDOWN((X138-Z138)*24*60,0))))</f>
        <v>0</v>
      </c>
      <c r="AE138" s="14">
        <f>IF(VLOOKUP(A138,Data_NV!$A:$I,6,0)="Không",0,IF(Z138&lt;=X138,0,ROUNDDOWN((Z138-X138)*24*60,0)))</f>
        <v>0</v>
      </c>
      <c r="AF138" s="29">
        <f t="shared" si="15"/>
        <v>0</v>
      </c>
      <c r="AG138" s="30" t="str">
        <f>IF(AC138="","",IF(COUNTIFS($AC$3:AC138,"Quên chấm công",$S$3:S138,S138)&gt;3,"Không chấm công do vi phạm quá 3 lần",IF(COUNTIFS($AC$3:AC138,"Quên chấm công",$S$3:S138,S138)&gt;2,"Trừ toàn bộ chuyên cần tháng do vi phạm lần 3",IF(COUNTIFS($AC$3:AC138,"Quên chấm công",$S$3:S138,S138)&gt;1,"Trừ 1/2 ngày lương",50000))))</f>
        <v/>
      </c>
      <c r="AH138" s="14" t="str">
        <f>IF(AF138=0,"",IF(COUNTIFS($AF$3:AF138,"&gt;0",$S$3:S138,S138)&gt;3,"Trừ toàn bộ chuyên cần tháng",""))</f>
        <v/>
      </c>
      <c r="AI138" s="14"/>
      <c r="AJ138" s="14"/>
    </row>
    <row r="139" spans="1:36" x14ac:dyDescent="0.25">
      <c r="A139" s="4" t="s">
        <v>275</v>
      </c>
      <c r="B139" s="1" t="s">
        <v>276</v>
      </c>
      <c r="C139" s="1" t="s">
        <v>19</v>
      </c>
      <c r="D139" s="1" t="s">
        <v>45</v>
      </c>
      <c r="E139" s="1" t="s">
        <v>21</v>
      </c>
      <c r="F139" s="1" t="s">
        <v>22</v>
      </c>
      <c r="G139" s="1" t="s">
        <v>12</v>
      </c>
      <c r="H139" s="12" t="s">
        <v>288</v>
      </c>
      <c r="I139" s="1" t="s">
        <v>23</v>
      </c>
      <c r="J139" s="1" t="s">
        <v>24</v>
      </c>
      <c r="K139" s="1" t="s">
        <v>24</v>
      </c>
      <c r="L139" s="1" t="s">
        <v>25</v>
      </c>
      <c r="M139" s="1" t="s">
        <v>24</v>
      </c>
      <c r="N139" s="1" t="s">
        <v>24</v>
      </c>
      <c r="O139" s="1" t="s">
        <v>24</v>
      </c>
      <c r="P139" s="1" t="s">
        <v>24</v>
      </c>
      <c r="Q139" s="1" t="s">
        <v>24</v>
      </c>
      <c r="R139" s="75" t="str">
        <f t="shared" si="13"/>
        <v>4045917</v>
      </c>
      <c r="S139" t="str">
        <f>VLOOKUP(A139,Data_NV!$A:$C,3,0)</f>
        <v>Nguyễn Văn Vinh</v>
      </c>
      <c r="T139" t="str">
        <f>VLOOKUP(A139,Data_NV!$A:$E,4,0)</f>
        <v>Kinh doanh</v>
      </c>
      <c r="U139" s="72">
        <f>DATEVALUE(Table2[[#This Row],[Ngày]])</f>
        <v>45917</v>
      </c>
      <c r="V139" t="str">
        <f>VLOOKUP(A139,Data_NV!$A:$E,5,0)</f>
        <v>Đang làm việc</v>
      </c>
      <c r="W139" s="11">
        <f>VLOOKUP(A139,Data_NV!$A:$I,8,0)</f>
        <v>0.33333333333333331</v>
      </c>
      <c r="X139" s="11">
        <f>VLOOKUP(A139,Data_NV!$A:$I,9,0)</f>
        <v>0.70833333333333337</v>
      </c>
      <c r="Y139" s="11">
        <f>IFERROR(TIMEVALUE(Table2[[#This Row],[Vào]]),0)</f>
        <v>0.32746527777777779</v>
      </c>
      <c r="Z139" s="11">
        <f>IFERROR(TIMEVALUE(Table2[[#This Row],[Ra]]),0)</f>
        <v>0</v>
      </c>
      <c r="AA139" t="str">
        <f t="shared" si="14"/>
        <v>x</v>
      </c>
      <c r="AB139" s="14">
        <f t="shared" si="17"/>
        <v>0</v>
      </c>
      <c r="AC139" s="14" t="str">
        <f>IF(VLOOKUP(A139,Data_NV!$A:$I,7,0)="Không","",IF(OR(AND(Y139=0,Z139=0),AND(Y139&lt;&gt;0,Z139&lt;&gt;0)),"","Quên chấm công"))</f>
        <v/>
      </c>
      <c r="AD139" s="14">
        <f>IF(VLOOKUP(A139,Data_NV!$A:$I,7,0)="Không",0,IF(AND(Y139=0,Z139=0),0,IF(X139&lt;=Z139,0,ROUNDDOWN((X139-Z139)*24*60,0))))</f>
        <v>0</v>
      </c>
      <c r="AE139" s="14">
        <f>IF(VLOOKUP(A139,Data_NV!$A:$I,6,0)="Không",0,IF(Z139&lt;=X139,0,ROUNDDOWN((Z139-X139)*24*60,0)))</f>
        <v>0</v>
      </c>
      <c r="AF139" s="29">
        <f t="shared" si="15"/>
        <v>0</v>
      </c>
      <c r="AG139" s="30" t="str">
        <f>IF(AC139="","",IF(COUNTIFS($AC$3:AC139,"Quên chấm công",$S$3:S139,S139)&gt;3,"Không chấm công do vi phạm quá 3 lần",IF(COUNTIFS($AC$3:AC139,"Quên chấm công",$S$3:S139,S139)&gt;2,"Trừ toàn bộ chuyên cần tháng do vi phạm lần 3",IF(COUNTIFS($AC$3:AC139,"Quên chấm công",$S$3:S139,S139)&gt;1,"Trừ 1/2 ngày lương",50000))))</f>
        <v/>
      </c>
      <c r="AH139" s="14" t="str">
        <f>IF(AF139=0,"",IF(COUNTIFS($AF$3:AF139,"&gt;0",$S$3:S139,S139)&gt;3,"Trừ toàn bộ chuyên cần tháng",""))</f>
        <v/>
      </c>
      <c r="AI139" s="14"/>
      <c r="AJ139" s="14"/>
    </row>
    <row r="140" spans="1:36" x14ac:dyDescent="0.25">
      <c r="A140" s="4" t="s">
        <v>275</v>
      </c>
      <c r="B140" s="1" t="s">
        <v>276</v>
      </c>
      <c r="C140" s="1" t="s">
        <v>19</v>
      </c>
      <c r="D140" s="1" t="s">
        <v>46</v>
      </c>
      <c r="E140" s="1" t="s">
        <v>21</v>
      </c>
      <c r="F140" s="1" t="s">
        <v>22</v>
      </c>
      <c r="G140" s="1" t="s">
        <v>12</v>
      </c>
      <c r="H140" s="12" t="s">
        <v>289</v>
      </c>
      <c r="I140" s="1" t="s">
        <v>23</v>
      </c>
      <c r="J140" s="1" t="s">
        <v>109</v>
      </c>
      <c r="K140" s="1" t="s">
        <v>24</v>
      </c>
      <c r="L140" s="1" t="s">
        <v>25</v>
      </c>
      <c r="M140" s="1" t="s">
        <v>24</v>
      </c>
      <c r="N140" s="1" t="s">
        <v>24</v>
      </c>
      <c r="O140" s="1" t="s">
        <v>24</v>
      </c>
      <c r="P140" s="1" t="s">
        <v>24</v>
      </c>
      <c r="Q140" s="1" t="s">
        <v>24</v>
      </c>
      <c r="R140" s="75" t="str">
        <f t="shared" si="13"/>
        <v>4045918</v>
      </c>
      <c r="S140" t="str">
        <f>VLOOKUP(A140,Data_NV!$A:$C,3,0)</f>
        <v>Nguyễn Văn Vinh</v>
      </c>
      <c r="T140" t="str">
        <f>VLOOKUP(A140,Data_NV!$A:$E,4,0)</f>
        <v>Kinh doanh</v>
      </c>
      <c r="U140" s="72">
        <f>DATEVALUE(Table2[[#This Row],[Ngày]])</f>
        <v>45918</v>
      </c>
      <c r="V140" t="str">
        <f>VLOOKUP(A140,Data_NV!$A:$E,5,0)</f>
        <v>Đang làm việc</v>
      </c>
      <c r="W140" s="11">
        <f>VLOOKUP(A140,Data_NV!$A:$I,8,0)</f>
        <v>0.33333333333333331</v>
      </c>
      <c r="X140" s="11">
        <f>VLOOKUP(A140,Data_NV!$A:$I,9,0)</f>
        <v>0.70833333333333337</v>
      </c>
      <c r="Y140" s="11">
        <f>IFERROR(TIMEVALUE(Table2[[#This Row],[Vào]]),0)</f>
        <v>0.33469907407407407</v>
      </c>
      <c r="Z140" s="11">
        <f>IFERROR(TIMEVALUE(Table2[[#This Row],[Ra]]),0)</f>
        <v>0</v>
      </c>
      <c r="AA140" t="str">
        <f t="shared" si="14"/>
        <v>x</v>
      </c>
      <c r="AB140" s="14">
        <f t="shared" si="17"/>
        <v>1</v>
      </c>
      <c r="AC140" s="14" t="str">
        <f>IF(VLOOKUP(A140,Data_NV!$A:$I,7,0)="Không","",IF(OR(AND(Y140=0,Z140=0),AND(Y140&lt;&gt;0,Z140&lt;&gt;0)),"","Quên chấm công"))</f>
        <v/>
      </c>
      <c r="AD140" s="14">
        <f>IF(VLOOKUP(A140,Data_NV!$A:$I,7,0)="Không",0,IF(AND(Y140=0,Z140=0),0,IF(X140&lt;=Z140,0,ROUNDDOWN((X140-Z140)*24*60,0))))</f>
        <v>0</v>
      </c>
      <c r="AE140" s="14">
        <f>IF(VLOOKUP(A140,Data_NV!$A:$I,6,0)="Không",0,IF(Z140&lt;=X140,0,ROUNDDOWN((Z140-X140)*24*60,0)))</f>
        <v>0</v>
      </c>
      <c r="AF140" s="29">
        <f t="shared" si="15"/>
        <v>0</v>
      </c>
      <c r="AG140" s="30" t="str">
        <f>IF(AC140="","",IF(COUNTIFS($AC$3:AC140,"Quên chấm công",$S$3:S140,S140)&gt;3,"Không chấm công do vi phạm quá 3 lần",IF(COUNTIFS($AC$3:AC140,"Quên chấm công",$S$3:S140,S140)&gt;2,"Trừ toàn bộ chuyên cần tháng do vi phạm lần 3",IF(COUNTIFS($AC$3:AC140,"Quên chấm công",$S$3:S140,S140)&gt;1,"Trừ 1/2 ngày lương",50000))))</f>
        <v/>
      </c>
      <c r="AH140" s="14" t="str">
        <f>IF(AF140=0,"",IF(COUNTIFS($AF$3:AF140,"&gt;0",$S$3:S140,S140)&gt;3,"Trừ toàn bộ chuyên cần tháng",""))</f>
        <v/>
      </c>
      <c r="AI140" s="14"/>
      <c r="AJ140" s="14"/>
    </row>
    <row r="141" spans="1:36" x14ac:dyDescent="0.25">
      <c r="A141" s="4" t="s">
        <v>275</v>
      </c>
      <c r="B141" s="1" t="s">
        <v>276</v>
      </c>
      <c r="C141" s="1" t="s">
        <v>19</v>
      </c>
      <c r="D141" s="1" t="s">
        <v>48</v>
      </c>
      <c r="E141" s="1" t="s">
        <v>21</v>
      </c>
      <c r="F141" s="1" t="s">
        <v>22</v>
      </c>
      <c r="G141" s="1" t="s">
        <v>12</v>
      </c>
      <c r="H141" s="12" t="s">
        <v>290</v>
      </c>
      <c r="I141" s="1" t="s">
        <v>23</v>
      </c>
      <c r="J141" s="1" t="s">
        <v>167</v>
      </c>
      <c r="K141" s="1" t="s">
        <v>24</v>
      </c>
      <c r="L141" s="1" t="s">
        <v>25</v>
      </c>
      <c r="M141" s="1" t="s">
        <v>24</v>
      </c>
      <c r="N141" s="1" t="s">
        <v>24</v>
      </c>
      <c r="O141" s="1" t="s">
        <v>24</v>
      </c>
      <c r="P141" s="1" t="s">
        <v>24</v>
      </c>
      <c r="Q141" s="1" t="s">
        <v>24</v>
      </c>
      <c r="R141" s="75" t="str">
        <f t="shared" si="13"/>
        <v>4045919</v>
      </c>
      <c r="S141" t="str">
        <f>VLOOKUP(A141,Data_NV!$A:$C,3,0)</f>
        <v>Nguyễn Văn Vinh</v>
      </c>
      <c r="T141" t="str">
        <f>VLOOKUP(A141,Data_NV!$A:$E,4,0)</f>
        <v>Kinh doanh</v>
      </c>
      <c r="U141" s="72">
        <f>DATEVALUE(Table2[[#This Row],[Ngày]])</f>
        <v>45919</v>
      </c>
      <c r="V141" t="str">
        <f>VLOOKUP(A141,Data_NV!$A:$E,5,0)</f>
        <v>Đang làm việc</v>
      </c>
      <c r="W141" s="11">
        <f>VLOOKUP(A141,Data_NV!$A:$I,8,0)</f>
        <v>0.33333333333333331</v>
      </c>
      <c r="X141" s="11">
        <f>VLOOKUP(A141,Data_NV!$A:$I,9,0)</f>
        <v>0.70833333333333337</v>
      </c>
      <c r="Y141" s="11">
        <f>IFERROR(TIMEVALUE(Table2[[#This Row],[Vào]]),0)</f>
        <v>0.34193287037037035</v>
      </c>
      <c r="Z141" s="11">
        <f>IFERROR(TIMEVALUE(Table2[[#This Row],[Ra]]),0)</f>
        <v>0</v>
      </c>
      <c r="AA141" t="str">
        <f t="shared" si="14"/>
        <v>x</v>
      </c>
      <c r="AB141" s="14">
        <f t="shared" si="17"/>
        <v>12</v>
      </c>
      <c r="AC141" s="14" t="str">
        <f>IF(VLOOKUP(A141,Data_NV!$A:$I,7,0)="Không","",IF(OR(AND(Y141=0,Z141=0),AND(Y141&lt;&gt;0,Z141&lt;&gt;0)),"","Quên chấm công"))</f>
        <v/>
      </c>
      <c r="AD141" s="14">
        <f>IF(VLOOKUP(A141,Data_NV!$A:$I,7,0)="Không",0,IF(AND(Y141=0,Z141=0),0,IF(X141&lt;=Z141,0,ROUNDDOWN((X141-Z141)*24*60,0))))</f>
        <v>0</v>
      </c>
      <c r="AE141" s="14">
        <f>IF(VLOOKUP(A141,Data_NV!$A:$I,6,0)="Không",0,IF(Z141&lt;=X141,0,ROUNDDOWN((Z141-X141)*24*60,0)))</f>
        <v>0</v>
      </c>
      <c r="AF141" s="29">
        <f t="shared" si="15"/>
        <v>30000</v>
      </c>
      <c r="AG141" s="30" t="str">
        <f>IF(AC141="","",IF(COUNTIFS($AC$3:AC141,"Quên chấm công",$S$3:S141,S141)&gt;3,"Không chấm công do vi phạm quá 3 lần",IF(COUNTIFS($AC$3:AC141,"Quên chấm công",$S$3:S141,S141)&gt;2,"Trừ toàn bộ chuyên cần tháng do vi phạm lần 3",IF(COUNTIFS($AC$3:AC141,"Quên chấm công",$S$3:S141,S141)&gt;1,"Trừ 1/2 ngày lương",50000))))</f>
        <v/>
      </c>
      <c r="AH141" s="14" t="str">
        <f>IF(AF141=0,"",IF(COUNTIFS($AF$3:AF141,"&gt;0",$S$3:S141,S141)&gt;3,"Trừ toàn bộ chuyên cần tháng",""))</f>
        <v/>
      </c>
      <c r="AI141" s="14"/>
      <c r="AJ141" s="14"/>
    </row>
    <row r="142" spans="1:36" x14ac:dyDescent="0.25">
      <c r="A142" s="4" t="s">
        <v>275</v>
      </c>
      <c r="B142" s="1" t="s">
        <v>276</v>
      </c>
      <c r="C142" s="1" t="s">
        <v>19</v>
      </c>
      <c r="D142" s="1" t="s">
        <v>50</v>
      </c>
      <c r="E142" s="1" t="s">
        <v>21</v>
      </c>
      <c r="F142" s="1" t="s">
        <v>22</v>
      </c>
      <c r="G142" s="1" t="s">
        <v>12</v>
      </c>
      <c r="H142" s="12" t="s">
        <v>291</v>
      </c>
      <c r="I142" s="1" t="s">
        <v>23</v>
      </c>
      <c r="J142" s="1" t="s">
        <v>24</v>
      </c>
      <c r="K142" s="1" t="s">
        <v>24</v>
      </c>
      <c r="L142" s="1" t="s">
        <v>25</v>
      </c>
      <c r="M142" s="1" t="s">
        <v>24</v>
      </c>
      <c r="N142" s="1" t="s">
        <v>24</v>
      </c>
      <c r="O142" s="1" t="s">
        <v>24</v>
      </c>
      <c r="P142" s="1" t="s">
        <v>24</v>
      </c>
      <c r="Q142" s="1" t="s">
        <v>24</v>
      </c>
      <c r="R142" s="75" t="str">
        <f t="shared" si="13"/>
        <v>4045920</v>
      </c>
      <c r="S142" t="str">
        <f>VLOOKUP(A142,Data_NV!$A:$C,3,0)</f>
        <v>Nguyễn Văn Vinh</v>
      </c>
      <c r="T142" t="str">
        <f>VLOOKUP(A142,Data_NV!$A:$E,4,0)</f>
        <v>Kinh doanh</v>
      </c>
      <c r="U142" s="72">
        <f>DATEVALUE(Table2[[#This Row],[Ngày]])</f>
        <v>45920</v>
      </c>
      <c r="V142" t="str">
        <f>VLOOKUP(A142,Data_NV!$A:$E,5,0)</f>
        <v>Đang làm việc</v>
      </c>
      <c r="W142" s="11">
        <f>VLOOKUP(A142,Data_NV!$A:$I,8,0)</f>
        <v>0.33333333333333331</v>
      </c>
      <c r="X142" s="11">
        <f>VLOOKUP(A142,Data_NV!$A:$I,9,0)</f>
        <v>0.70833333333333337</v>
      </c>
      <c r="Y142" s="11">
        <f>IFERROR(TIMEVALUE(Table2[[#This Row],[Vào]]),0)</f>
        <v>0.33173611111111112</v>
      </c>
      <c r="Z142" s="11">
        <f>IFERROR(TIMEVALUE(Table2[[#This Row],[Ra]]),0)</f>
        <v>0</v>
      </c>
      <c r="AA142" t="str">
        <f t="shared" si="14"/>
        <v>x</v>
      </c>
      <c r="AB142" s="14">
        <f t="shared" si="17"/>
        <v>0</v>
      </c>
      <c r="AC142" s="14" t="str">
        <f>IF(VLOOKUP(A142,Data_NV!$A:$I,7,0)="Không","",IF(OR(AND(Y142=0,Z142=0),AND(Y142&lt;&gt;0,Z142&lt;&gt;0)),"","Quên chấm công"))</f>
        <v/>
      </c>
      <c r="AD142" s="14">
        <f>IF(VLOOKUP(A142,Data_NV!$A:$I,7,0)="Không",0,IF(AND(Y142=0,Z142=0),0,IF(X142&lt;=Z142,0,ROUNDDOWN((X142-Z142)*24*60,0))))</f>
        <v>0</v>
      </c>
      <c r="AE142" s="14">
        <f>IF(VLOOKUP(A142,Data_NV!$A:$I,6,0)="Không",0,IF(Z142&lt;=X142,0,ROUNDDOWN((Z142-X142)*24*60,0)))</f>
        <v>0</v>
      </c>
      <c r="AF142" s="29">
        <f t="shared" si="15"/>
        <v>0</v>
      </c>
      <c r="AG142" s="30" t="str">
        <f>IF(AC142="","",IF(COUNTIFS($AC$3:AC142,"Quên chấm công",$S$3:S142,S142)&gt;3,"Không chấm công do vi phạm quá 3 lần",IF(COUNTIFS($AC$3:AC142,"Quên chấm công",$S$3:S142,S142)&gt;2,"Trừ toàn bộ chuyên cần tháng do vi phạm lần 3",IF(COUNTIFS($AC$3:AC142,"Quên chấm công",$S$3:S142,S142)&gt;1,"Trừ 1/2 ngày lương",50000))))</f>
        <v/>
      </c>
      <c r="AH142" s="14" t="str">
        <f>IF(AF142=0,"",IF(COUNTIFS($AF$3:AF142,"&gt;0",$S$3:S142,S142)&gt;3,"Trừ toàn bộ chuyên cần tháng",""))</f>
        <v/>
      </c>
      <c r="AI142" s="14"/>
      <c r="AJ142" s="14"/>
    </row>
    <row r="143" spans="1:36" x14ac:dyDescent="0.25">
      <c r="A143" s="4" t="s">
        <v>275</v>
      </c>
      <c r="B143" s="1" t="s">
        <v>276</v>
      </c>
      <c r="C143" s="1" t="s">
        <v>19</v>
      </c>
      <c r="D143" s="1" t="s">
        <v>51</v>
      </c>
      <c r="E143" s="1" t="s">
        <v>21</v>
      </c>
      <c r="F143" s="1" t="s">
        <v>22</v>
      </c>
      <c r="G143" s="1" t="s">
        <v>12</v>
      </c>
      <c r="H143" s="12" t="s">
        <v>23</v>
      </c>
      <c r="I143" s="1" t="s">
        <v>23</v>
      </c>
      <c r="J143" s="1" t="s">
        <v>24</v>
      </c>
      <c r="K143" s="1" t="s">
        <v>24</v>
      </c>
      <c r="L143" s="1" t="s">
        <v>25</v>
      </c>
      <c r="M143" s="1" t="s">
        <v>24</v>
      </c>
      <c r="N143" s="1" t="s">
        <v>24</v>
      </c>
      <c r="O143" s="1" t="s">
        <v>24</v>
      </c>
      <c r="P143" s="1" t="s">
        <v>24</v>
      </c>
      <c r="Q143" s="1" t="s">
        <v>24</v>
      </c>
      <c r="R143" s="75" t="str">
        <f t="shared" si="13"/>
        <v>4045921</v>
      </c>
      <c r="S143" t="str">
        <f>VLOOKUP(A143,Data_NV!$A:$C,3,0)</f>
        <v>Nguyễn Văn Vinh</v>
      </c>
      <c r="T143" t="str">
        <f>VLOOKUP(A143,Data_NV!$A:$E,4,0)</f>
        <v>Kinh doanh</v>
      </c>
      <c r="U143" s="72">
        <f>DATEVALUE(Table2[[#This Row],[Ngày]])</f>
        <v>45921</v>
      </c>
      <c r="V143" t="str">
        <f>VLOOKUP(A143,Data_NV!$A:$E,5,0)</f>
        <v>Đang làm việc</v>
      </c>
      <c r="W143" s="11">
        <f>VLOOKUP(A143,Data_NV!$A:$I,8,0)</f>
        <v>0.33333333333333331</v>
      </c>
      <c r="X143" s="11">
        <f>VLOOKUP(A143,Data_NV!$A:$I,9,0)</f>
        <v>0.70833333333333337</v>
      </c>
      <c r="Y143" s="11">
        <f>IFERROR(TIMEVALUE(Table2[[#This Row],[Vào]]),0)</f>
        <v>0</v>
      </c>
      <c r="Z143" s="11">
        <f>IFERROR(TIMEVALUE(Table2[[#This Row],[Ra]]),0)</f>
        <v>0</v>
      </c>
      <c r="AA143" t="str">
        <f t="shared" si="14"/>
        <v/>
      </c>
      <c r="AB143" s="14">
        <f t="shared" si="17"/>
        <v>0</v>
      </c>
      <c r="AC143" s="14" t="str">
        <f>IF(VLOOKUP(A143,Data_NV!$A:$I,7,0)="Không","",IF(OR(AND(Y143=0,Z143=0),AND(Y143&lt;&gt;0,Z143&lt;&gt;0)),"","Quên chấm công"))</f>
        <v/>
      </c>
      <c r="AD143" s="14">
        <f>IF(VLOOKUP(A143,Data_NV!$A:$I,7,0)="Không",0,IF(AND(Y143=0,Z143=0),0,IF(X143&lt;=Z143,0,ROUNDDOWN((X143-Z143)*24*60,0))))</f>
        <v>0</v>
      </c>
      <c r="AE143" s="14">
        <f>IF(VLOOKUP(A143,Data_NV!$A:$I,6,0)="Không",0,IF(Z143&lt;=X143,0,ROUNDDOWN((Z143-X143)*24*60,0)))</f>
        <v>0</v>
      </c>
      <c r="AF143" s="29">
        <f t="shared" si="15"/>
        <v>0</v>
      </c>
      <c r="AG143" s="30" t="str">
        <f>IF(AC143="","",IF(COUNTIFS($AC$3:AC143,"Quên chấm công",$S$3:S143,S143)&gt;3,"Không chấm công do vi phạm quá 3 lần",IF(COUNTIFS($AC$3:AC143,"Quên chấm công",$S$3:S143,S143)&gt;2,"Trừ toàn bộ chuyên cần tháng do vi phạm lần 3",IF(COUNTIFS($AC$3:AC143,"Quên chấm công",$S$3:S143,S143)&gt;1,"Trừ 1/2 ngày lương",50000))))</f>
        <v/>
      </c>
      <c r="AH143" s="14" t="str">
        <f>IF(AF143=0,"",IF(COUNTIFS($AF$3:AF143,"&gt;0",$S$3:S143,S143)&gt;3,"Trừ toàn bộ chuyên cần tháng",""))</f>
        <v/>
      </c>
      <c r="AI143" s="14"/>
      <c r="AJ143" s="14"/>
    </row>
    <row r="144" spans="1:36" x14ac:dyDescent="0.25">
      <c r="A144" s="4" t="s">
        <v>275</v>
      </c>
      <c r="B144" s="1" t="s">
        <v>276</v>
      </c>
      <c r="C144" s="1" t="s">
        <v>19</v>
      </c>
      <c r="D144" s="1" t="s">
        <v>52</v>
      </c>
      <c r="E144" s="1" t="s">
        <v>21</v>
      </c>
      <c r="F144" s="1" t="s">
        <v>22</v>
      </c>
      <c r="G144" s="1" t="s">
        <v>12</v>
      </c>
      <c r="H144" s="12" t="s">
        <v>271</v>
      </c>
      <c r="I144" s="1" t="s">
        <v>23</v>
      </c>
      <c r="J144" s="1" t="s">
        <v>98</v>
      </c>
      <c r="K144" s="1" t="s">
        <v>24</v>
      </c>
      <c r="L144" s="1" t="s">
        <v>25</v>
      </c>
      <c r="M144" s="1" t="s">
        <v>24</v>
      </c>
      <c r="N144" s="1" t="s">
        <v>24</v>
      </c>
      <c r="O144" s="1" t="s">
        <v>24</v>
      </c>
      <c r="P144" s="1" t="s">
        <v>24</v>
      </c>
      <c r="Q144" s="1" t="s">
        <v>24</v>
      </c>
      <c r="R144" s="75" t="str">
        <f t="shared" si="13"/>
        <v>4045922</v>
      </c>
      <c r="S144" t="str">
        <f>VLOOKUP(A144,Data_NV!$A:$C,3,0)</f>
        <v>Nguyễn Văn Vinh</v>
      </c>
      <c r="T144" t="str">
        <f>VLOOKUP(A144,Data_NV!$A:$E,4,0)</f>
        <v>Kinh doanh</v>
      </c>
      <c r="U144" s="72">
        <f>DATEVALUE(Table2[[#This Row],[Ngày]])</f>
        <v>45922</v>
      </c>
      <c r="V144" t="str">
        <f>VLOOKUP(A144,Data_NV!$A:$E,5,0)</f>
        <v>Đang làm việc</v>
      </c>
      <c r="W144" s="11">
        <f>VLOOKUP(A144,Data_NV!$A:$I,8,0)</f>
        <v>0.33333333333333331</v>
      </c>
      <c r="X144" s="11">
        <f>VLOOKUP(A144,Data_NV!$A:$I,9,0)</f>
        <v>0.70833333333333337</v>
      </c>
      <c r="Y144" s="11">
        <f>IFERROR(TIMEVALUE(Table2[[#This Row],[Vào]]),0)</f>
        <v>0.33641203703703704</v>
      </c>
      <c r="Z144" s="11">
        <f>IFERROR(TIMEVALUE(Table2[[#This Row],[Ra]]),0)</f>
        <v>0</v>
      </c>
      <c r="AA144" t="str">
        <f t="shared" si="14"/>
        <v>x</v>
      </c>
      <c r="AB144" s="14">
        <f t="shared" si="17"/>
        <v>4</v>
      </c>
      <c r="AC144" s="14" t="str">
        <f>IF(VLOOKUP(A144,Data_NV!$A:$I,7,0)="Không","",IF(OR(AND(Y144=0,Z144=0),AND(Y144&lt;&gt;0,Z144&lt;&gt;0)),"","Quên chấm công"))</f>
        <v/>
      </c>
      <c r="AD144" s="14">
        <f>IF(VLOOKUP(A144,Data_NV!$A:$I,7,0)="Không",0,IF(AND(Y144=0,Z144=0),0,IF(X144&lt;=Z144,0,ROUNDDOWN((X144-Z144)*24*60,0))))</f>
        <v>0</v>
      </c>
      <c r="AE144" s="14">
        <f>IF(VLOOKUP(A144,Data_NV!$A:$I,6,0)="Không",0,IF(Z144&lt;=X144,0,ROUNDDOWN((Z144-X144)*24*60,0)))</f>
        <v>0</v>
      </c>
      <c r="AF144" s="29">
        <f t="shared" si="15"/>
        <v>0</v>
      </c>
      <c r="AG144" s="30" t="str">
        <f>IF(AC144="","",IF(COUNTIFS($AC$3:AC144,"Quên chấm công",$S$3:S144,S144)&gt;3,"Không chấm công do vi phạm quá 3 lần",IF(COUNTIFS($AC$3:AC144,"Quên chấm công",$S$3:S144,S144)&gt;2,"Trừ toàn bộ chuyên cần tháng do vi phạm lần 3",IF(COUNTIFS($AC$3:AC144,"Quên chấm công",$S$3:S144,S144)&gt;1,"Trừ 1/2 ngày lương",50000))))</f>
        <v/>
      </c>
      <c r="AH144" s="14" t="str">
        <f>IF(AF144=0,"",IF(COUNTIFS($AF$3:AF144,"&gt;0",$S$3:S144,S144)&gt;3,"Trừ toàn bộ chuyên cần tháng",""))</f>
        <v/>
      </c>
      <c r="AI144" s="14"/>
      <c r="AJ144" s="14"/>
    </row>
    <row r="145" spans="1:36" x14ac:dyDescent="0.25">
      <c r="A145" s="4" t="s">
        <v>275</v>
      </c>
      <c r="B145" s="1" t="s">
        <v>276</v>
      </c>
      <c r="C145" s="1" t="s">
        <v>19</v>
      </c>
      <c r="D145" s="1" t="s">
        <v>54</v>
      </c>
      <c r="E145" s="1" t="s">
        <v>21</v>
      </c>
      <c r="F145" s="1" t="s">
        <v>22</v>
      </c>
      <c r="G145" s="1" t="s">
        <v>12</v>
      </c>
      <c r="H145" s="12" t="s">
        <v>292</v>
      </c>
      <c r="I145" s="1" t="s">
        <v>23</v>
      </c>
      <c r="J145" s="1" t="s">
        <v>190</v>
      </c>
      <c r="K145" s="1" t="s">
        <v>24</v>
      </c>
      <c r="L145" s="1" t="s">
        <v>25</v>
      </c>
      <c r="M145" s="1" t="s">
        <v>24</v>
      </c>
      <c r="N145" s="1" t="s">
        <v>24</v>
      </c>
      <c r="O145" s="1" t="s">
        <v>24</v>
      </c>
      <c r="P145" s="1" t="s">
        <v>24</v>
      </c>
      <c r="Q145" s="1" t="s">
        <v>24</v>
      </c>
      <c r="R145" s="75" t="str">
        <f t="shared" si="13"/>
        <v>4045923</v>
      </c>
      <c r="S145" t="str">
        <f>VLOOKUP(A145,Data_NV!$A:$C,3,0)</f>
        <v>Nguyễn Văn Vinh</v>
      </c>
      <c r="T145" t="str">
        <f>VLOOKUP(A145,Data_NV!$A:$E,4,0)</f>
        <v>Kinh doanh</v>
      </c>
      <c r="U145" s="72">
        <f>DATEVALUE(Table2[[#This Row],[Ngày]])</f>
        <v>45923</v>
      </c>
      <c r="V145" t="str">
        <f>VLOOKUP(A145,Data_NV!$A:$E,5,0)</f>
        <v>Đang làm việc</v>
      </c>
      <c r="W145" s="11">
        <f>VLOOKUP(A145,Data_NV!$A:$I,8,0)</f>
        <v>0.33333333333333331</v>
      </c>
      <c r="X145" s="11">
        <f>VLOOKUP(A145,Data_NV!$A:$I,9,0)</f>
        <v>0.70833333333333337</v>
      </c>
      <c r="Y145" s="11">
        <f>IFERROR(TIMEVALUE(Table2[[#This Row],[Vào]]),0)</f>
        <v>0.33541666666666664</v>
      </c>
      <c r="Z145" s="11">
        <f>IFERROR(TIMEVALUE(Table2[[#This Row],[Ra]]),0)</f>
        <v>0</v>
      </c>
      <c r="AA145" t="str">
        <f t="shared" si="14"/>
        <v>x</v>
      </c>
      <c r="AB145" s="14">
        <f t="shared" si="17"/>
        <v>2</v>
      </c>
      <c r="AC145" s="14" t="str">
        <f>IF(VLOOKUP(A145,Data_NV!$A:$I,7,0)="Không","",IF(OR(AND(Y145=0,Z145=0),AND(Y145&lt;&gt;0,Z145&lt;&gt;0)),"","Quên chấm công"))</f>
        <v/>
      </c>
      <c r="AD145" s="14">
        <f>IF(VLOOKUP(A145,Data_NV!$A:$I,7,0)="Không",0,IF(AND(Y145=0,Z145=0),0,IF(X145&lt;=Z145,0,ROUNDDOWN((X145-Z145)*24*60,0))))</f>
        <v>0</v>
      </c>
      <c r="AE145" s="14">
        <f>IF(VLOOKUP(A145,Data_NV!$A:$I,6,0)="Không",0,IF(Z145&lt;=X145,0,ROUNDDOWN((Z145-X145)*24*60,0)))</f>
        <v>0</v>
      </c>
      <c r="AF145" s="29">
        <f t="shared" si="15"/>
        <v>0</v>
      </c>
      <c r="AG145" s="30" t="str">
        <f>IF(AC145="","",IF(COUNTIFS($AC$3:AC145,"Quên chấm công",$S$3:S145,S145)&gt;3,"Không chấm công do vi phạm quá 3 lần",IF(COUNTIFS($AC$3:AC145,"Quên chấm công",$S$3:S145,S145)&gt;2,"Trừ toàn bộ chuyên cần tháng do vi phạm lần 3",IF(COUNTIFS($AC$3:AC145,"Quên chấm công",$S$3:S145,S145)&gt;1,"Trừ 1/2 ngày lương",50000))))</f>
        <v/>
      </c>
      <c r="AH145" s="14" t="str">
        <f>IF(AF145=0,"",IF(COUNTIFS($AF$3:AF145,"&gt;0",$S$3:S145,S145)&gt;3,"Trừ toàn bộ chuyên cần tháng",""))</f>
        <v/>
      </c>
      <c r="AI145" s="14"/>
      <c r="AJ145" s="14"/>
    </row>
    <row r="146" spans="1:36" x14ac:dyDescent="0.25">
      <c r="A146" s="4" t="s">
        <v>275</v>
      </c>
      <c r="B146" s="1" t="s">
        <v>276</v>
      </c>
      <c r="C146" s="1" t="s">
        <v>19</v>
      </c>
      <c r="D146" s="1" t="s">
        <v>55</v>
      </c>
      <c r="E146" s="1" t="s">
        <v>21</v>
      </c>
      <c r="F146" s="1" t="s">
        <v>22</v>
      </c>
      <c r="G146" s="1" t="s">
        <v>12</v>
      </c>
      <c r="H146" s="12" t="s">
        <v>293</v>
      </c>
      <c r="I146" s="1" t="s">
        <v>23</v>
      </c>
      <c r="J146" s="1" t="s">
        <v>24</v>
      </c>
      <c r="K146" s="1" t="s">
        <v>24</v>
      </c>
      <c r="L146" s="1" t="s">
        <v>25</v>
      </c>
      <c r="M146" s="1" t="s">
        <v>24</v>
      </c>
      <c r="N146" s="1" t="s">
        <v>24</v>
      </c>
      <c r="O146" s="1" t="s">
        <v>24</v>
      </c>
      <c r="P146" s="1" t="s">
        <v>24</v>
      </c>
      <c r="Q146" s="1" t="s">
        <v>24</v>
      </c>
      <c r="R146" s="75" t="str">
        <f t="shared" si="13"/>
        <v>4045924</v>
      </c>
      <c r="S146" t="str">
        <f>VLOOKUP(A146,Data_NV!$A:$C,3,0)</f>
        <v>Nguyễn Văn Vinh</v>
      </c>
      <c r="T146" t="str">
        <f>VLOOKUP(A146,Data_NV!$A:$E,4,0)</f>
        <v>Kinh doanh</v>
      </c>
      <c r="U146" s="72">
        <f>DATEVALUE(Table2[[#This Row],[Ngày]])</f>
        <v>45924</v>
      </c>
      <c r="V146" t="str">
        <f>VLOOKUP(A146,Data_NV!$A:$E,5,0)</f>
        <v>Đang làm việc</v>
      </c>
      <c r="W146" s="11">
        <f>VLOOKUP(A146,Data_NV!$A:$I,8,0)</f>
        <v>0.33333333333333331</v>
      </c>
      <c r="X146" s="11">
        <f>VLOOKUP(A146,Data_NV!$A:$I,9,0)</f>
        <v>0.70833333333333337</v>
      </c>
      <c r="Y146" s="11">
        <f>IFERROR(TIMEVALUE(Table2[[#This Row],[Vào]]),0)</f>
        <v>0.32805555555555554</v>
      </c>
      <c r="Z146" s="11">
        <f>IFERROR(TIMEVALUE(Table2[[#This Row],[Ra]]),0)</f>
        <v>0</v>
      </c>
      <c r="AA146" t="str">
        <f t="shared" si="14"/>
        <v>x</v>
      </c>
      <c r="AB146" s="14">
        <f t="shared" si="17"/>
        <v>0</v>
      </c>
      <c r="AC146" s="14" t="str">
        <f>IF(VLOOKUP(A146,Data_NV!$A:$I,7,0)="Không","",IF(OR(AND(Y146=0,Z146=0),AND(Y146&lt;&gt;0,Z146&lt;&gt;0)),"","Quên chấm công"))</f>
        <v/>
      </c>
      <c r="AD146" s="14">
        <f>IF(VLOOKUP(A146,Data_NV!$A:$I,7,0)="Không",0,IF(AND(Y146=0,Z146=0),0,IF(X146&lt;=Z146,0,ROUNDDOWN((X146-Z146)*24*60,0))))</f>
        <v>0</v>
      </c>
      <c r="AE146" s="14">
        <f>IF(VLOOKUP(A146,Data_NV!$A:$I,6,0)="Không",0,IF(Z146&lt;=X146,0,ROUNDDOWN((Z146-X146)*24*60,0)))</f>
        <v>0</v>
      </c>
      <c r="AF146" s="29">
        <f t="shared" si="15"/>
        <v>0</v>
      </c>
      <c r="AG146" s="30" t="str">
        <f>IF(AC146="","",IF(COUNTIFS($AC$3:AC146,"Quên chấm công",$S$3:S146,S146)&gt;3,"Không chấm công do vi phạm quá 3 lần",IF(COUNTIFS($AC$3:AC146,"Quên chấm công",$S$3:S146,S146)&gt;2,"Trừ toàn bộ chuyên cần tháng do vi phạm lần 3",IF(COUNTIFS($AC$3:AC146,"Quên chấm công",$S$3:S146,S146)&gt;1,"Trừ 1/2 ngày lương",50000))))</f>
        <v/>
      </c>
      <c r="AH146" s="14" t="str">
        <f>IF(AF146=0,"",IF(COUNTIFS($AF$3:AF146,"&gt;0",$S$3:S146,S146)&gt;3,"Trừ toàn bộ chuyên cần tháng",""))</f>
        <v/>
      </c>
      <c r="AI146" s="14"/>
      <c r="AJ146" s="14"/>
    </row>
    <row r="147" spans="1:36" x14ac:dyDescent="0.25">
      <c r="A147" s="4" t="s">
        <v>275</v>
      </c>
      <c r="B147" s="1" t="s">
        <v>276</v>
      </c>
      <c r="C147" s="1" t="s">
        <v>19</v>
      </c>
      <c r="D147" s="1" t="s">
        <v>56</v>
      </c>
      <c r="E147" s="1" t="s">
        <v>21</v>
      </c>
      <c r="F147" s="1" t="s">
        <v>22</v>
      </c>
      <c r="G147" s="1" t="s">
        <v>12</v>
      </c>
      <c r="H147" s="12" t="s">
        <v>294</v>
      </c>
      <c r="I147" s="1" t="s">
        <v>23</v>
      </c>
      <c r="J147" s="1" t="s">
        <v>98</v>
      </c>
      <c r="K147" s="1" t="s">
        <v>24</v>
      </c>
      <c r="L147" s="1" t="s">
        <v>25</v>
      </c>
      <c r="M147" s="1" t="s">
        <v>24</v>
      </c>
      <c r="N147" s="1" t="s">
        <v>24</v>
      </c>
      <c r="O147" s="1" t="s">
        <v>24</v>
      </c>
      <c r="P147" s="1" t="s">
        <v>24</v>
      </c>
      <c r="Q147" s="1" t="s">
        <v>24</v>
      </c>
      <c r="R147" s="75" t="str">
        <f t="shared" si="13"/>
        <v>4045925</v>
      </c>
      <c r="S147" t="str">
        <f>VLOOKUP(A147,Data_NV!$A:$C,3,0)</f>
        <v>Nguyễn Văn Vinh</v>
      </c>
      <c r="T147" t="str">
        <f>VLOOKUP(A147,Data_NV!$A:$E,4,0)</f>
        <v>Kinh doanh</v>
      </c>
      <c r="U147" s="72">
        <f>DATEVALUE(Table2[[#This Row],[Ngày]])</f>
        <v>45925</v>
      </c>
      <c r="V147" t="str">
        <f>VLOOKUP(A147,Data_NV!$A:$E,5,0)</f>
        <v>Đang làm việc</v>
      </c>
      <c r="W147" s="11">
        <f>VLOOKUP(A147,Data_NV!$A:$I,8,0)</f>
        <v>0.33333333333333331</v>
      </c>
      <c r="X147" s="11">
        <f>VLOOKUP(A147,Data_NV!$A:$I,9,0)</f>
        <v>0.70833333333333337</v>
      </c>
      <c r="Y147" s="11">
        <f>IFERROR(TIMEVALUE(Table2[[#This Row],[Vào]]),0)</f>
        <v>0.33613425925925927</v>
      </c>
      <c r="Z147" s="11">
        <f>IFERROR(TIMEVALUE(Table2[[#This Row],[Ra]]),0)</f>
        <v>0</v>
      </c>
      <c r="AA147" t="str">
        <f t="shared" si="14"/>
        <v>x</v>
      </c>
      <c r="AB147" s="14">
        <f t="shared" si="17"/>
        <v>4</v>
      </c>
      <c r="AC147" s="14" t="str">
        <f>IF(VLOOKUP(A147,Data_NV!$A:$I,7,0)="Không","",IF(OR(AND(Y147=0,Z147=0),AND(Y147&lt;&gt;0,Z147&lt;&gt;0)),"","Quên chấm công"))</f>
        <v/>
      </c>
      <c r="AD147" s="14">
        <f>IF(VLOOKUP(A147,Data_NV!$A:$I,7,0)="Không",0,IF(AND(Y147=0,Z147=0),0,IF(X147&lt;=Z147,0,ROUNDDOWN((X147-Z147)*24*60,0))))</f>
        <v>0</v>
      </c>
      <c r="AE147" s="14">
        <f>IF(VLOOKUP(A147,Data_NV!$A:$I,6,0)="Không",0,IF(Z147&lt;=X147,0,ROUNDDOWN((Z147-X147)*24*60,0)))</f>
        <v>0</v>
      </c>
      <c r="AF147" s="29">
        <f t="shared" si="15"/>
        <v>0</v>
      </c>
      <c r="AG147" s="30" t="str">
        <f>IF(AC147="","",IF(COUNTIFS($AC$3:AC147,"Quên chấm công",$S$3:S147,S147)&gt;3,"Không chấm công do vi phạm quá 3 lần",IF(COUNTIFS($AC$3:AC147,"Quên chấm công",$S$3:S147,S147)&gt;2,"Trừ toàn bộ chuyên cần tháng do vi phạm lần 3",IF(COUNTIFS($AC$3:AC147,"Quên chấm công",$S$3:S147,S147)&gt;1,"Trừ 1/2 ngày lương",50000))))</f>
        <v/>
      </c>
      <c r="AH147" s="14" t="str">
        <f>IF(AF147=0,"",IF(COUNTIFS($AF$3:AF147,"&gt;0",$S$3:S147,S147)&gt;3,"Trừ toàn bộ chuyên cần tháng",""))</f>
        <v/>
      </c>
      <c r="AI147" s="14"/>
      <c r="AJ147" s="14"/>
    </row>
    <row r="148" spans="1:36" x14ac:dyDescent="0.25">
      <c r="A148" s="4" t="s">
        <v>275</v>
      </c>
      <c r="B148" s="1" t="s">
        <v>276</v>
      </c>
      <c r="C148" s="1" t="s">
        <v>19</v>
      </c>
      <c r="D148" s="1" t="s">
        <v>57</v>
      </c>
      <c r="E148" s="1" t="s">
        <v>21</v>
      </c>
      <c r="F148" s="1" t="s">
        <v>22</v>
      </c>
      <c r="G148" s="1" t="s">
        <v>12</v>
      </c>
      <c r="H148" s="12" t="s">
        <v>23</v>
      </c>
      <c r="I148" s="1" t="s">
        <v>23</v>
      </c>
      <c r="J148" s="1" t="s">
        <v>24</v>
      </c>
      <c r="K148" s="1" t="s">
        <v>24</v>
      </c>
      <c r="L148" s="1" t="s">
        <v>25</v>
      </c>
      <c r="M148" s="1" t="s">
        <v>24</v>
      </c>
      <c r="N148" s="1" t="s">
        <v>24</v>
      </c>
      <c r="O148" s="1" t="s">
        <v>24</v>
      </c>
      <c r="P148" s="1" t="s">
        <v>24</v>
      </c>
      <c r="Q148" s="1" t="s">
        <v>24</v>
      </c>
      <c r="R148" s="75" t="str">
        <f t="shared" si="13"/>
        <v>4045926</v>
      </c>
      <c r="S148" t="str">
        <f>VLOOKUP(A148,Data_NV!$A:$C,3,0)</f>
        <v>Nguyễn Văn Vinh</v>
      </c>
      <c r="T148" t="str">
        <f>VLOOKUP(A148,Data_NV!$A:$E,4,0)</f>
        <v>Kinh doanh</v>
      </c>
      <c r="U148" s="72">
        <f>DATEVALUE(Table2[[#This Row],[Ngày]])</f>
        <v>45926</v>
      </c>
      <c r="V148" t="str">
        <f>VLOOKUP(A148,Data_NV!$A:$E,5,0)</f>
        <v>Đang làm việc</v>
      </c>
      <c r="W148" s="11">
        <f>VLOOKUP(A148,Data_NV!$A:$I,8,0)</f>
        <v>0.33333333333333331</v>
      </c>
      <c r="X148" s="11">
        <f>VLOOKUP(A148,Data_NV!$A:$I,9,0)</f>
        <v>0.70833333333333337</v>
      </c>
      <c r="Y148" s="11">
        <f>IFERROR(TIMEVALUE(Table2[[#This Row],[Vào]]),0)</f>
        <v>0</v>
      </c>
      <c r="Z148" s="11">
        <f>IFERROR(TIMEVALUE(Table2[[#This Row],[Ra]]),0)</f>
        <v>0</v>
      </c>
      <c r="AA148" t="str">
        <f t="shared" si="14"/>
        <v/>
      </c>
      <c r="AB148" s="14">
        <f t="shared" si="17"/>
        <v>0</v>
      </c>
      <c r="AC148" s="14" t="str">
        <f>IF(VLOOKUP(A148,Data_NV!$A:$I,7,0)="Không","",IF(OR(AND(Y148=0,Z148=0),AND(Y148&lt;&gt;0,Z148&lt;&gt;0)),"","Quên chấm công"))</f>
        <v/>
      </c>
      <c r="AD148" s="14">
        <f>IF(VLOOKUP(A148,Data_NV!$A:$I,7,0)="Không",0,IF(AND(Y148=0,Z148=0),0,IF(X148&lt;=Z148,0,ROUNDDOWN((X148-Z148)*24*60,0))))</f>
        <v>0</v>
      </c>
      <c r="AE148" s="14">
        <f>IF(VLOOKUP(A148,Data_NV!$A:$I,6,0)="Không",0,IF(Z148&lt;=X148,0,ROUNDDOWN((Z148-X148)*24*60,0)))</f>
        <v>0</v>
      </c>
      <c r="AF148" s="29">
        <f t="shared" si="15"/>
        <v>0</v>
      </c>
      <c r="AG148" s="30" t="str">
        <f>IF(AC148="","",IF(COUNTIFS($AC$3:AC148,"Quên chấm công",$S$3:S148,S148)&gt;3,"Không chấm công do vi phạm quá 3 lần",IF(COUNTIFS($AC$3:AC148,"Quên chấm công",$S$3:S148,S148)&gt;2,"Trừ toàn bộ chuyên cần tháng do vi phạm lần 3",IF(COUNTIFS($AC$3:AC148,"Quên chấm công",$S$3:S148,S148)&gt;1,"Trừ 1/2 ngày lương",50000))))</f>
        <v/>
      </c>
      <c r="AH148" s="14" t="str">
        <f>IF(AF148=0,"",IF(COUNTIFS($AF$3:AF148,"&gt;0",$S$3:S148,S148)&gt;3,"Trừ toàn bộ chuyên cần tháng",""))</f>
        <v/>
      </c>
      <c r="AI148" s="14"/>
      <c r="AJ148" s="14"/>
    </row>
    <row r="149" spans="1:36" x14ac:dyDescent="0.25">
      <c r="A149" s="4" t="s">
        <v>275</v>
      </c>
      <c r="B149" s="1" t="s">
        <v>276</v>
      </c>
      <c r="C149" s="1" t="s">
        <v>19</v>
      </c>
      <c r="D149" s="1" t="s">
        <v>58</v>
      </c>
      <c r="E149" s="1" t="s">
        <v>21</v>
      </c>
      <c r="F149" s="1" t="s">
        <v>22</v>
      </c>
      <c r="G149" s="1" t="s">
        <v>12</v>
      </c>
      <c r="H149" s="12" t="s">
        <v>49</v>
      </c>
      <c r="I149" s="1" t="s">
        <v>23</v>
      </c>
      <c r="J149" s="1" t="s">
        <v>24</v>
      </c>
      <c r="K149" s="1" t="s">
        <v>24</v>
      </c>
      <c r="L149" s="1" t="s">
        <v>25</v>
      </c>
      <c r="M149" s="1" t="s">
        <v>24</v>
      </c>
      <c r="N149" s="1" t="s">
        <v>24</v>
      </c>
      <c r="O149" s="1" t="s">
        <v>24</v>
      </c>
      <c r="P149" s="1" t="s">
        <v>24</v>
      </c>
      <c r="Q149" s="1" t="s">
        <v>24</v>
      </c>
      <c r="R149" s="75" t="str">
        <f t="shared" si="13"/>
        <v>4045927</v>
      </c>
      <c r="S149" t="str">
        <f>VLOOKUP(A149,Data_NV!$A:$C,3,0)</f>
        <v>Nguyễn Văn Vinh</v>
      </c>
      <c r="T149" t="str">
        <f>VLOOKUP(A149,Data_NV!$A:$E,4,0)</f>
        <v>Kinh doanh</v>
      </c>
      <c r="U149" s="72">
        <f>DATEVALUE(Table2[[#This Row],[Ngày]])</f>
        <v>45927</v>
      </c>
      <c r="V149" t="str">
        <f>VLOOKUP(A149,Data_NV!$A:$E,5,0)</f>
        <v>Đang làm việc</v>
      </c>
      <c r="W149" s="11">
        <f>VLOOKUP(A149,Data_NV!$A:$I,8,0)</f>
        <v>0.33333333333333331</v>
      </c>
      <c r="X149" s="11">
        <f>VLOOKUP(A149,Data_NV!$A:$I,9,0)</f>
        <v>0.70833333333333337</v>
      </c>
      <c r="Y149" s="11">
        <f>IFERROR(TIMEVALUE(Table2[[#This Row],[Vào]]),0)</f>
        <v>0.30744212962962963</v>
      </c>
      <c r="Z149" s="11">
        <f>IFERROR(TIMEVALUE(Table2[[#This Row],[Ra]]),0)</f>
        <v>0</v>
      </c>
      <c r="AA149" t="str">
        <f t="shared" si="14"/>
        <v>x</v>
      </c>
      <c r="AB149" s="14">
        <f t="shared" si="17"/>
        <v>0</v>
      </c>
      <c r="AC149" s="14" t="str">
        <f>IF(VLOOKUP(A149,Data_NV!$A:$I,7,0)="Không","",IF(OR(AND(Y149=0,Z149=0),AND(Y149&lt;&gt;0,Z149&lt;&gt;0)),"","Quên chấm công"))</f>
        <v/>
      </c>
      <c r="AD149" s="14">
        <f>IF(VLOOKUP(A149,Data_NV!$A:$I,7,0)="Không",0,IF(AND(Y149=0,Z149=0),0,IF(X149&lt;=Z149,0,ROUNDDOWN((X149-Z149)*24*60,0))))</f>
        <v>0</v>
      </c>
      <c r="AE149" s="14">
        <f>IF(VLOOKUP(A149,Data_NV!$A:$I,6,0)="Không",0,IF(Z149&lt;=X149,0,ROUNDDOWN((Z149-X149)*24*60,0)))</f>
        <v>0</v>
      </c>
      <c r="AF149" s="29">
        <f t="shared" si="15"/>
        <v>0</v>
      </c>
      <c r="AG149" s="30" t="str">
        <f>IF(AC149="","",IF(COUNTIFS($AC$3:AC149,"Quên chấm công",$S$3:S149,S149)&gt;3,"Không chấm công do vi phạm quá 3 lần",IF(COUNTIFS($AC$3:AC149,"Quên chấm công",$S$3:S149,S149)&gt;2,"Trừ toàn bộ chuyên cần tháng do vi phạm lần 3",IF(COUNTIFS($AC$3:AC149,"Quên chấm công",$S$3:S149,S149)&gt;1,"Trừ 1/2 ngày lương",50000))))</f>
        <v/>
      </c>
      <c r="AH149" s="14" t="str">
        <f>IF(AF149=0,"",IF(COUNTIFS($AF$3:AF149,"&gt;0",$S$3:S149,S149)&gt;3,"Trừ toàn bộ chuyên cần tháng",""))</f>
        <v/>
      </c>
      <c r="AI149" s="14"/>
      <c r="AJ149" s="14"/>
    </row>
    <row r="150" spans="1:36" x14ac:dyDescent="0.25">
      <c r="A150" s="4" t="s">
        <v>275</v>
      </c>
      <c r="B150" s="1" t="s">
        <v>276</v>
      </c>
      <c r="C150" s="1" t="s">
        <v>19</v>
      </c>
      <c r="D150" s="1" t="s">
        <v>59</v>
      </c>
      <c r="E150" s="1" t="s">
        <v>21</v>
      </c>
      <c r="F150" s="1" t="s">
        <v>22</v>
      </c>
      <c r="G150" s="1" t="s">
        <v>12</v>
      </c>
      <c r="H150" s="12" t="s">
        <v>23</v>
      </c>
      <c r="I150" s="1" t="s">
        <v>23</v>
      </c>
      <c r="J150" s="1" t="s">
        <v>24</v>
      </c>
      <c r="K150" s="1" t="s">
        <v>24</v>
      </c>
      <c r="L150" s="1" t="s">
        <v>25</v>
      </c>
      <c r="M150" s="1" t="s">
        <v>24</v>
      </c>
      <c r="N150" s="1" t="s">
        <v>24</v>
      </c>
      <c r="O150" s="1" t="s">
        <v>24</v>
      </c>
      <c r="P150" s="1" t="s">
        <v>24</v>
      </c>
      <c r="Q150" s="1" t="s">
        <v>24</v>
      </c>
      <c r="R150" s="75" t="str">
        <f t="shared" si="13"/>
        <v>4045928</v>
      </c>
      <c r="S150" t="str">
        <f>VLOOKUP(A150,Data_NV!$A:$C,3,0)</f>
        <v>Nguyễn Văn Vinh</v>
      </c>
      <c r="T150" t="str">
        <f>VLOOKUP(A150,Data_NV!$A:$E,4,0)</f>
        <v>Kinh doanh</v>
      </c>
      <c r="U150" s="72">
        <f>DATEVALUE(Table2[[#This Row],[Ngày]])</f>
        <v>45928</v>
      </c>
      <c r="V150" t="str">
        <f>VLOOKUP(A150,Data_NV!$A:$E,5,0)</f>
        <v>Đang làm việc</v>
      </c>
      <c r="W150" s="11">
        <f>VLOOKUP(A150,Data_NV!$A:$I,8,0)</f>
        <v>0.33333333333333331</v>
      </c>
      <c r="X150" s="11">
        <f>VLOOKUP(A150,Data_NV!$A:$I,9,0)</f>
        <v>0.70833333333333337</v>
      </c>
      <c r="Y150" s="11">
        <f>IFERROR(TIMEVALUE(Table2[[#This Row],[Vào]]),0)</f>
        <v>0</v>
      </c>
      <c r="Z150" s="11">
        <f>IFERROR(TIMEVALUE(Table2[[#This Row],[Ra]]),0)</f>
        <v>0</v>
      </c>
      <c r="AA150" t="str">
        <f t="shared" si="14"/>
        <v/>
      </c>
      <c r="AB150" s="14">
        <f t="shared" si="17"/>
        <v>0</v>
      </c>
      <c r="AC150" s="14" t="str">
        <f>IF(VLOOKUP(A150,Data_NV!$A:$I,7,0)="Không","",IF(OR(AND(Y150=0,Z150=0),AND(Y150&lt;&gt;0,Z150&lt;&gt;0)),"","Quên chấm công"))</f>
        <v/>
      </c>
      <c r="AD150" s="14">
        <f>IF(VLOOKUP(A150,Data_NV!$A:$I,7,0)="Không",0,IF(AND(Y150=0,Z150=0),0,IF(X150&lt;=Z150,0,ROUNDDOWN((X150-Z150)*24*60,0))))</f>
        <v>0</v>
      </c>
      <c r="AE150" s="14">
        <f>IF(VLOOKUP(A150,Data_NV!$A:$I,6,0)="Không",0,IF(Z150&lt;=X150,0,ROUNDDOWN((Z150-X150)*24*60,0)))</f>
        <v>0</v>
      </c>
      <c r="AF150" s="29">
        <f t="shared" si="15"/>
        <v>0</v>
      </c>
      <c r="AG150" s="30" t="str">
        <f>IF(AC150="","",IF(COUNTIFS($AC$3:AC150,"Quên chấm công",$S$3:S150,S150)&gt;3,"Không chấm công do vi phạm quá 3 lần",IF(COUNTIFS($AC$3:AC150,"Quên chấm công",$S$3:S150,S150)&gt;2,"Trừ toàn bộ chuyên cần tháng do vi phạm lần 3",IF(COUNTIFS($AC$3:AC150,"Quên chấm công",$S$3:S150,S150)&gt;1,"Trừ 1/2 ngày lương",50000))))</f>
        <v/>
      </c>
      <c r="AH150" s="14" t="str">
        <f>IF(AF150=0,"",IF(COUNTIFS($AF$3:AF150,"&gt;0",$S$3:S150,S150)&gt;3,"Trừ toàn bộ chuyên cần tháng",""))</f>
        <v/>
      </c>
      <c r="AI150" s="14"/>
      <c r="AJ150" s="14"/>
    </row>
    <row r="151" spans="1:36" x14ac:dyDescent="0.25">
      <c r="A151" s="4" t="s">
        <v>275</v>
      </c>
      <c r="B151" s="1" t="s">
        <v>276</v>
      </c>
      <c r="C151" s="1" t="s">
        <v>19</v>
      </c>
      <c r="D151" s="1" t="s">
        <v>60</v>
      </c>
      <c r="E151" s="1" t="s">
        <v>21</v>
      </c>
      <c r="F151" s="1" t="s">
        <v>22</v>
      </c>
      <c r="G151" s="1" t="s">
        <v>12</v>
      </c>
      <c r="H151" s="12" t="s">
        <v>295</v>
      </c>
      <c r="I151" s="1" t="s">
        <v>23</v>
      </c>
      <c r="J151" s="1" t="s">
        <v>98</v>
      </c>
      <c r="K151" s="1" t="s">
        <v>24</v>
      </c>
      <c r="L151" s="1" t="s">
        <v>25</v>
      </c>
      <c r="M151" s="1" t="s">
        <v>24</v>
      </c>
      <c r="N151" s="1" t="s">
        <v>24</v>
      </c>
      <c r="O151" s="1" t="s">
        <v>24</v>
      </c>
      <c r="P151" s="1" t="s">
        <v>24</v>
      </c>
      <c r="Q151" s="1" t="s">
        <v>24</v>
      </c>
      <c r="R151" s="75" t="str">
        <f t="shared" si="13"/>
        <v>4045929</v>
      </c>
      <c r="S151" t="str">
        <f>VLOOKUP(A151,Data_NV!$A:$C,3,0)</f>
        <v>Nguyễn Văn Vinh</v>
      </c>
      <c r="T151" t="str">
        <f>VLOOKUP(A151,Data_NV!$A:$E,4,0)</f>
        <v>Kinh doanh</v>
      </c>
      <c r="U151" s="72">
        <f>DATEVALUE(Table2[[#This Row],[Ngày]])</f>
        <v>45929</v>
      </c>
      <c r="V151" t="str">
        <f>VLOOKUP(A151,Data_NV!$A:$E,5,0)</f>
        <v>Đang làm việc</v>
      </c>
      <c r="W151" s="11">
        <f>VLOOKUP(A151,Data_NV!$A:$I,8,0)</f>
        <v>0.33333333333333331</v>
      </c>
      <c r="X151" s="11">
        <f>VLOOKUP(A151,Data_NV!$A:$I,9,0)</f>
        <v>0.70833333333333337</v>
      </c>
      <c r="Y151" s="11">
        <f>IFERROR(TIMEVALUE(Table2[[#This Row],[Vào]]),0)</f>
        <v>0.33620370370370373</v>
      </c>
      <c r="Z151" s="11">
        <f>IFERROR(TIMEVALUE(Table2[[#This Row],[Ra]]),0)</f>
        <v>0</v>
      </c>
      <c r="AA151" t="str">
        <f t="shared" si="14"/>
        <v>x</v>
      </c>
      <c r="AB151" s="14">
        <f t="shared" si="17"/>
        <v>4</v>
      </c>
      <c r="AC151" s="14" t="str">
        <f>IF(VLOOKUP(A151,Data_NV!$A:$I,7,0)="Không","",IF(OR(AND(Y151=0,Z151=0),AND(Y151&lt;&gt;0,Z151&lt;&gt;0)),"","Quên chấm công"))</f>
        <v/>
      </c>
      <c r="AD151" s="14">
        <f>IF(VLOOKUP(A151,Data_NV!$A:$I,7,0)="Không",0,IF(AND(Y151=0,Z151=0),0,IF(X151&lt;=Z151,0,ROUNDDOWN((X151-Z151)*24*60,0))))</f>
        <v>0</v>
      </c>
      <c r="AE151" s="14">
        <f>IF(VLOOKUP(A151,Data_NV!$A:$I,6,0)="Không",0,IF(Z151&lt;=X151,0,ROUNDDOWN((Z151-X151)*24*60,0)))</f>
        <v>0</v>
      </c>
      <c r="AF151" s="29">
        <f t="shared" si="15"/>
        <v>0</v>
      </c>
      <c r="AG151" s="30" t="str">
        <f>IF(AC151="","",IF(COUNTIFS($AC$3:AC151,"Quên chấm công",$S$3:S151,S151)&gt;3,"Không chấm công do vi phạm quá 3 lần",IF(COUNTIFS($AC$3:AC151,"Quên chấm công",$S$3:S151,S151)&gt;2,"Trừ toàn bộ chuyên cần tháng do vi phạm lần 3",IF(COUNTIFS($AC$3:AC151,"Quên chấm công",$S$3:S151,S151)&gt;1,"Trừ 1/2 ngày lương",50000))))</f>
        <v/>
      </c>
      <c r="AH151" s="14" t="str">
        <f>IF(AF151=0,"",IF(COUNTIFS($AF$3:AF151,"&gt;0",$S$3:S151,S151)&gt;3,"Trừ toàn bộ chuyên cần tháng",""))</f>
        <v/>
      </c>
      <c r="AI151" s="14"/>
      <c r="AJ151" s="14"/>
    </row>
    <row r="152" spans="1:36" x14ac:dyDescent="0.25">
      <c r="A152" s="4" t="s">
        <v>275</v>
      </c>
      <c r="B152" s="1" t="s">
        <v>276</v>
      </c>
      <c r="C152" s="1" t="s">
        <v>19</v>
      </c>
      <c r="D152" s="1" t="s">
        <v>61</v>
      </c>
      <c r="E152" s="1" t="s">
        <v>21</v>
      </c>
      <c r="F152" s="1" t="s">
        <v>22</v>
      </c>
      <c r="G152" s="1" t="s">
        <v>12</v>
      </c>
      <c r="H152" s="12" t="s">
        <v>296</v>
      </c>
      <c r="I152" s="1" t="s">
        <v>23</v>
      </c>
      <c r="J152" s="1" t="s">
        <v>108</v>
      </c>
      <c r="K152" s="1" t="s">
        <v>24</v>
      </c>
      <c r="L152" s="1" t="s">
        <v>25</v>
      </c>
      <c r="M152" s="1" t="s">
        <v>24</v>
      </c>
      <c r="N152" s="1" t="s">
        <v>24</v>
      </c>
      <c r="O152" s="1" t="s">
        <v>24</v>
      </c>
      <c r="P152" s="1" t="s">
        <v>24</v>
      </c>
      <c r="Q152" s="1" t="s">
        <v>24</v>
      </c>
      <c r="R152" s="75" t="str">
        <f t="shared" si="13"/>
        <v>4045930</v>
      </c>
      <c r="S152" t="str">
        <f>VLOOKUP(A152,Data_NV!$A:$C,3,0)</f>
        <v>Nguyễn Văn Vinh</v>
      </c>
      <c r="T152" t="str">
        <f>VLOOKUP(A152,Data_NV!$A:$E,4,0)</f>
        <v>Kinh doanh</v>
      </c>
      <c r="U152" s="72">
        <f>DATEVALUE(Table2[[#This Row],[Ngày]])</f>
        <v>45930</v>
      </c>
      <c r="V152" t="str">
        <f>VLOOKUP(A152,Data_NV!$A:$E,5,0)</f>
        <v>Đang làm việc</v>
      </c>
      <c r="W152" s="11">
        <f>VLOOKUP(A152,Data_NV!$A:$I,8,0)</f>
        <v>0.33333333333333331</v>
      </c>
      <c r="X152" s="11">
        <f>VLOOKUP(A152,Data_NV!$A:$I,9,0)</f>
        <v>0.70833333333333337</v>
      </c>
      <c r="Y152" s="11">
        <f>IFERROR(TIMEVALUE(Table2[[#This Row],[Vào]]),0)</f>
        <v>0.35071759259259261</v>
      </c>
      <c r="Z152" s="11">
        <f>IFERROR(TIMEVALUE(Table2[[#This Row],[Ra]]),0)</f>
        <v>0</v>
      </c>
      <c r="AA152" t="str">
        <f t="shared" si="14"/>
        <v>x</v>
      </c>
      <c r="AB152" s="14">
        <f t="shared" si="17"/>
        <v>25</v>
      </c>
      <c r="AC152" s="14" t="str">
        <f>IF(VLOOKUP(A152,Data_NV!$A:$I,7,0)="Không","",IF(OR(AND(Y152=0,Z152=0),AND(Y152&lt;&gt;0,Z152&lt;&gt;0)),"","Quên chấm công"))</f>
        <v/>
      </c>
      <c r="AD152" s="14">
        <f>IF(VLOOKUP(A152,Data_NV!$A:$I,7,0)="Không",0,IF(AND(Y152=0,Z152=0),0,IF(X152&lt;=Z152,0,ROUNDDOWN((X152-Z152)*24*60,0))))</f>
        <v>0</v>
      </c>
      <c r="AE152" s="14">
        <f>IF(VLOOKUP(A152,Data_NV!$A:$I,6,0)="Không",0,IF(Z152&lt;=X152,0,ROUNDDOWN((Z152-X152)*24*60,0)))</f>
        <v>0</v>
      </c>
      <c r="AF152" s="29">
        <f t="shared" si="15"/>
        <v>50000</v>
      </c>
      <c r="AG152" s="30" t="str">
        <f>IF(AC152="","",IF(COUNTIFS($AC$3:AC152,"Quên chấm công",$S$3:S152,S152)&gt;3,"Không chấm công do vi phạm quá 3 lần",IF(COUNTIFS($AC$3:AC152,"Quên chấm công",$S$3:S152,S152)&gt;2,"Trừ toàn bộ chuyên cần tháng do vi phạm lần 3",IF(COUNTIFS($AC$3:AC152,"Quên chấm công",$S$3:S152,S152)&gt;1,"Trừ 1/2 ngày lương",50000))))</f>
        <v/>
      </c>
      <c r="AH152" s="14" t="str">
        <f>IF(AF152=0,"",IF(COUNTIFS($AF$3:AF152,"&gt;0",$S$3:S152,S152)&gt;3,"Trừ toàn bộ chuyên cần tháng",""))</f>
        <v/>
      </c>
      <c r="AI152" s="14"/>
      <c r="AJ152" s="14"/>
    </row>
    <row r="153" spans="1:36" x14ac:dyDescent="0.25">
      <c r="A153" s="4" t="s">
        <v>304</v>
      </c>
      <c r="B153" s="1" t="s">
        <v>305</v>
      </c>
      <c r="C153" s="1" t="s">
        <v>19</v>
      </c>
      <c r="D153" s="1" t="s">
        <v>20</v>
      </c>
      <c r="E153" s="1" t="s">
        <v>21</v>
      </c>
      <c r="F153" s="1" t="s">
        <v>22</v>
      </c>
      <c r="G153" s="1" t="s">
        <v>12</v>
      </c>
      <c r="H153" s="12" t="s">
        <v>23</v>
      </c>
      <c r="I153" s="1" t="s">
        <v>23</v>
      </c>
      <c r="J153" s="1" t="s">
        <v>24</v>
      </c>
      <c r="K153" s="1" t="s">
        <v>24</v>
      </c>
      <c r="L153" s="1" t="s">
        <v>25</v>
      </c>
      <c r="M153" s="1" t="s">
        <v>24</v>
      </c>
      <c r="N153" s="1" t="s">
        <v>24</v>
      </c>
      <c r="O153" s="1" t="s">
        <v>24</v>
      </c>
      <c r="P153" s="1" t="s">
        <v>24</v>
      </c>
      <c r="Q153" s="1" t="s">
        <v>24</v>
      </c>
      <c r="R153" s="75" t="str">
        <f t="shared" si="13"/>
        <v>4545901</v>
      </c>
      <c r="S153" t="str">
        <f>VLOOKUP(A153,Data_NV!$A:$C,3,0)</f>
        <v>Trần Hạo Nhị</v>
      </c>
      <c r="T153" t="str">
        <f>VLOOKUP(A153,Data_NV!$A:$E,4,0)</f>
        <v>Kinh doanh</v>
      </c>
      <c r="U153" s="72">
        <f>DATEVALUE(Table2[[#This Row],[Ngày]])</f>
        <v>45901</v>
      </c>
      <c r="V153" t="str">
        <f>VLOOKUP(A153,Data_NV!$A:$E,5,0)</f>
        <v>Đang làm việc</v>
      </c>
      <c r="W153" s="11">
        <f>VLOOKUP(A153,Data_NV!$A:$I,8,0)</f>
        <v>0.33333333333333331</v>
      </c>
      <c r="X153" s="11">
        <f>VLOOKUP(A153,Data_NV!$A:$I,9,0)</f>
        <v>0.70833333333333337</v>
      </c>
      <c r="Y153" s="11">
        <f>IFERROR(TIMEVALUE(Table2[[#This Row],[Vào]]),0)</f>
        <v>0</v>
      </c>
      <c r="Z153" s="11">
        <f>IFERROR(TIMEVALUE(Table2[[#This Row],[Ra]]),0)</f>
        <v>0</v>
      </c>
      <c r="AA153" s="10" t="s">
        <v>508</v>
      </c>
      <c r="AB153" s="14">
        <f t="shared" ref="AB153:AB182" si="18">IF(Y153&lt;=W153,0,ROUNDDOWN((Y153-W153)*24*60,0))</f>
        <v>0</v>
      </c>
      <c r="AC153" s="14" t="str">
        <f>IF(VLOOKUP(A153,Data_NV!$A:$I,7,0)="Không","",IF(OR(AND(Y153=0,Z153=0),AND(Y153&lt;&gt;0,Z153&lt;&gt;0)),"","Quên chấm công"))</f>
        <v/>
      </c>
      <c r="AD153" s="14">
        <f>IF(VLOOKUP(A153,Data_NV!$A:$I,7,0)="Không",0,IF(AND(Y153=0,Z153=0),0,IF(X153&lt;=Z153,0,ROUNDDOWN((X153-Z153)*24*60,0))))</f>
        <v>0</v>
      </c>
      <c r="AE153" s="14">
        <f>IF(VLOOKUP(A153,Data_NV!$A:$I,6,0)="Không",0,IF(Z153&lt;=X153,0,ROUNDDOWN((Z153-X153)*24*60,0)))</f>
        <v>0</v>
      </c>
      <c r="AF153" s="29">
        <f t="shared" si="15"/>
        <v>0</v>
      </c>
      <c r="AG153" s="30" t="str">
        <f>IF(AC153="","",IF(COUNTIFS($AC$3:AC153,"Quên chấm công",$S$3:S153,S153)&gt;3,"Không chấm công do vi phạm quá 3 lần",IF(COUNTIFS($AC$3:AC153,"Quên chấm công",$S$3:S153,S153)&gt;2,"Trừ toàn bộ chuyên cần tháng do vi phạm lần 3",IF(COUNTIFS($AC$3:AC153,"Quên chấm công",$S$3:S153,S153)&gt;1,"Trừ 1/2 ngày lương",50000))))</f>
        <v/>
      </c>
      <c r="AH153" s="14" t="str">
        <f>IF(AF153=0,"",IF(COUNTIFS($AF$3:AF153,"&gt;0",$S$3:S153,S153)&gt;3,"Trừ toàn bộ chuyên cần tháng",""))</f>
        <v/>
      </c>
      <c r="AI153" s="14"/>
      <c r="AJ153" s="14"/>
    </row>
    <row r="154" spans="1:36" x14ac:dyDescent="0.25">
      <c r="A154" s="4" t="s">
        <v>304</v>
      </c>
      <c r="B154" s="1" t="s">
        <v>305</v>
      </c>
      <c r="C154" s="1" t="s">
        <v>19</v>
      </c>
      <c r="D154" s="1" t="s">
        <v>26</v>
      </c>
      <c r="E154" s="1" t="s">
        <v>21</v>
      </c>
      <c r="F154" s="1" t="s">
        <v>22</v>
      </c>
      <c r="G154" s="1" t="s">
        <v>12</v>
      </c>
      <c r="H154" s="12" t="s">
        <v>23</v>
      </c>
      <c r="I154" s="1" t="s">
        <v>23</v>
      </c>
      <c r="J154" s="1" t="s">
        <v>24</v>
      </c>
      <c r="K154" s="1" t="s">
        <v>24</v>
      </c>
      <c r="L154" s="1" t="s">
        <v>25</v>
      </c>
      <c r="M154" s="1" t="s">
        <v>24</v>
      </c>
      <c r="N154" s="1" t="s">
        <v>24</v>
      </c>
      <c r="O154" s="1" t="s">
        <v>24</v>
      </c>
      <c r="P154" s="1" t="s">
        <v>24</v>
      </c>
      <c r="Q154" s="1" t="s">
        <v>24</v>
      </c>
      <c r="R154" s="75" t="str">
        <f t="shared" si="13"/>
        <v>4545902</v>
      </c>
      <c r="S154" t="str">
        <f>VLOOKUP(A154,Data_NV!$A:$C,3,0)</f>
        <v>Trần Hạo Nhị</v>
      </c>
      <c r="T154" t="str">
        <f>VLOOKUP(A154,Data_NV!$A:$E,4,0)</f>
        <v>Kinh doanh</v>
      </c>
      <c r="U154" s="72">
        <f>DATEVALUE(Table2[[#This Row],[Ngày]])</f>
        <v>45902</v>
      </c>
      <c r="V154" t="str">
        <f>VLOOKUP(A154,Data_NV!$A:$E,5,0)</f>
        <v>Đang làm việc</v>
      </c>
      <c r="W154" s="11">
        <f>VLOOKUP(A154,Data_NV!$A:$I,8,0)</f>
        <v>0.33333333333333331</v>
      </c>
      <c r="X154" s="11">
        <f>VLOOKUP(A154,Data_NV!$A:$I,9,0)</f>
        <v>0.70833333333333337</v>
      </c>
      <c r="Y154" s="11">
        <f>IFERROR(TIMEVALUE(Table2[[#This Row],[Vào]]),0)</f>
        <v>0</v>
      </c>
      <c r="Z154" s="11">
        <f>IFERROR(TIMEVALUE(Table2[[#This Row],[Ra]]),0)</f>
        <v>0</v>
      </c>
      <c r="AA154" s="10" t="s">
        <v>508</v>
      </c>
      <c r="AB154" s="14">
        <f t="shared" si="18"/>
        <v>0</v>
      </c>
      <c r="AC154" s="14" t="str">
        <f>IF(VLOOKUP(A154,Data_NV!$A:$I,7,0)="Không","",IF(OR(AND(Y154=0,Z154=0),AND(Y154&lt;&gt;0,Z154&lt;&gt;0)),"","Quên chấm công"))</f>
        <v/>
      </c>
      <c r="AD154" s="14">
        <f>IF(VLOOKUP(A154,Data_NV!$A:$I,7,0)="Không",0,IF(AND(Y154=0,Z154=0),0,IF(X154&lt;=Z154,0,ROUNDDOWN((X154-Z154)*24*60,0))))</f>
        <v>0</v>
      </c>
      <c r="AE154" s="14">
        <f>IF(VLOOKUP(A154,Data_NV!$A:$I,6,0)="Không",0,IF(Z154&lt;=X154,0,ROUNDDOWN((Z154-X154)*24*60,0)))</f>
        <v>0</v>
      </c>
      <c r="AF154" s="29">
        <f t="shared" si="15"/>
        <v>0</v>
      </c>
      <c r="AG154" s="30" t="str">
        <f>IF(AC154="","",IF(COUNTIFS($AC$3:AC154,"Quên chấm công",$S$3:S154,S154)&gt;3,"Không chấm công do vi phạm quá 3 lần",IF(COUNTIFS($AC$3:AC154,"Quên chấm công",$S$3:S154,S154)&gt;2,"Trừ toàn bộ chuyên cần tháng do vi phạm lần 3",IF(COUNTIFS($AC$3:AC154,"Quên chấm công",$S$3:S154,S154)&gt;1,"Trừ 1/2 ngày lương",50000))))</f>
        <v/>
      </c>
      <c r="AH154" s="14" t="str">
        <f>IF(AF154=0,"",IF(COUNTIFS($AF$3:AF154,"&gt;0",$S$3:S154,S154)&gt;3,"Trừ toàn bộ chuyên cần tháng",""))</f>
        <v/>
      </c>
      <c r="AI154" s="14"/>
      <c r="AJ154" s="14"/>
    </row>
    <row r="155" spans="1:36" x14ac:dyDescent="0.25">
      <c r="A155" s="4" t="s">
        <v>304</v>
      </c>
      <c r="B155" s="1" t="s">
        <v>305</v>
      </c>
      <c r="C155" s="1" t="s">
        <v>19</v>
      </c>
      <c r="D155" s="1" t="s">
        <v>27</v>
      </c>
      <c r="E155" s="1" t="s">
        <v>21</v>
      </c>
      <c r="F155" s="1" t="s">
        <v>22</v>
      </c>
      <c r="G155" s="1" t="s">
        <v>12</v>
      </c>
      <c r="H155" s="12" t="s">
        <v>306</v>
      </c>
      <c r="I155" s="1" t="s">
        <v>23</v>
      </c>
      <c r="J155" s="1" t="s">
        <v>88</v>
      </c>
      <c r="K155" s="1" t="s">
        <v>24</v>
      </c>
      <c r="L155" s="1" t="s">
        <v>25</v>
      </c>
      <c r="M155" s="1" t="s">
        <v>24</v>
      </c>
      <c r="N155" s="1" t="s">
        <v>24</v>
      </c>
      <c r="O155" s="1" t="s">
        <v>24</v>
      </c>
      <c r="P155" s="1" t="s">
        <v>24</v>
      </c>
      <c r="Q155" s="1" t="s">
        <v>24</v>
      </c>
      <c r="R155" s="75" t="str">
        <f t="shared" si="13"/>
        <v>4545903</v>
      </c>
      <c r="S155" t="str">
        <f>VLOOKUP(A155,Data_NV!$A:$C,3,0)</f>
        <v>Trần Hạo Nhị</v>
      </c>
      <c r="T155" t="str">
        <f>VLOOKUP(A155,Data_NV!$A:$E,4,0)</f>
        <v>Kinh doanh</v>
      </c>
      <c r="U155" s="72">
        <f>DATEVALUE(Table2[[#This Row],[Ngày]])</f>
        <v>45903</v>
      </c>
      <c r="V155" t="str">
        <f>VLOOKUP(A155,Data_NV!$A:$E,5,0)</f>
        <v>Đang làm việc</v>
      </c>
      <c r="W155" s="11">
        <f>VLOOKUP(A155,Data_NV!$A:$I,8,0)</f>
        <v>0.33333333333333331</v>
      </c>
      <c r="X155" s="11">
        <f>VLOOKUP(A155,Data_NV!$A:$I,9,0)</f>
        <v>0.70833333333333337</v>
      </c>
      <c r="Y155" s="11">
        <f>IFERROR(TIMEVALUE(Table2[[#This Row],[Vào]]),0)</f>
        <v>0.34067129629629628</v>
      </c>
      <c r="Z155" s="11">
        <f>IFERROR(TIMEVALUE(Table2[[#This Row],[Ra]]),0)</f>
        <v>0</v>
      </c>
      <c r="AA155" t="str">
        <f t="shared" si="14"/>
        <v>x</v>
      </c>
      <c r="AB155" s="14">
        <f t="shared" si="18"/>
        <v>10</v>
      </c>
      <c r="AC155" s="14" t="str">
        <f>IF(VLOOKUP(A155,Data_NV!$A:$I,7,0)="Không","",IF(OR(AND(Y155=0,Z155=0),AND(Y155&lt;&gt;0,Z155&lt;&gt;0)),"","Quên chấm công"))</f>
        <v/>
      </c>
      <c r="AD155" s="14">
        <f>IF(VLOOKUP(A155,Data_NV!$A:$I,7,0)="Không",0,IF(AND(Y155=0,Z155=0),0,IF(X155&lt;=Z155,0,ROUNDDOWN((X155-Z155)*24*60,0))))</f>
        <v>0</v>
      </c>
      <c r="AE155" s="14">
        <f>IF(VLOOKUP(A155,Data_NV!$A:$I,6,0)="Không",0,IF(Z155&lt;=X155,0,ROUNDDOWN((Z155-X155)*24*60,0)))</f>
        <v>0</v>
      </c>
      <c r="AF155" s="29">
        <f t="shared" si="15"/>
        <v>30000</v>
      </c>
      <c r="AG155" s="30" t="str">
        <f>IF(AC155="","",IF(COUNTIFS($AC$3:AC155,"Quên chấm công",$S$3:S155,S155)&gt;3,"Không chấm công do vi phạm quá 3 lần",IF(COUNTIFS($AC$3:AC155,"Quên chấm công",$S$3:S155,S155)&gt;2,"Trừ toàn bộ chuyên cần tháng do vi phạm lần 3",IF(COUNTIFS($AC$3:AC155,"Quên chấm công",$S$3:S155,S155)&gt;1,"Trừ 1/2 ngày lương",50000))))</f>
        <v/>
      </c>
      <c r="AH155" s="14" t="str">
        <f>IF(AF155=0,"",IF(COUNTIFS($AF$3:AF155,"&gt;0",$S$3:S155,S155)&gt;3,"Trừ toàn bộ chuyên cần tháng",""))</f>
        <v/>
      </c>
      <c r="AI155" s="14"/>
      <c r="AJ155" s="14"/>
    </row>
    <row r="156" spans="1:36" x14ac:dyDescent="0.25">
      <c r="A156" s="4" t="s">
        <v>304</v>
      </c>
      <c r="B156" s="1" t="s">
        <v>305</v>
      </c>
      <c r="C156" s="1" t="s">
        <v>19</v>
      </c>
      <c r="D156" s="1" t="s">
        <v>31</v>
      </c>
      <c r="E156" s="1" t="s">
        <v>21</v>
      </c>
      <c r="F156" s="1" t="s">
        <v>22</v>
      </c>
      <c r="G156" s="1" t="s">
        <v>12</v>
      </c>
      <c r="H156" s="12" t="s">
        <v>307</v>
      </c>
      <c r="I156" s="1" t="s">
        <v>23</v>
      </c>
      <c r="J156" s="1" t="s">
        <v>109</v>
      </c>
      <c r="K156" s="1" t="s">
        <v>24</v>
      </c>
      <c r="L156" s="1" t="s">
        <v>25</v>
      </c>
      <c r="M156" s="1" t="s">
        <v>24</v>
      </c>
      <c r="N156" s="1" t="s">
        <v>24</v>
      </c>
      <c r="O156" s="1" t="s">
        <v>24</v>
      </c>
      <c r="P156" s="1" t="s">
        <v>24</v>
      </c>
      <c r="Q156" s="1" t="s">
        <v>24</v>
      </c>
      <c r="R156" s="75" t="str">
        <f t="shared" si="13"/>
        <v>4545904</v>
      </c>
      <c r="S156" t="str">
        <f>VLOOKUP(A156,Data_NV!$A:$C,3,0)</f>
        <v>Trần Hạo Nhị</v>
      </c>
      <c r="T156" t="str">
        <f>VLOOKUP(A156,Data_NV!$A:$E,4,0)</f>
        <v>Kinh doanh</v>
      </c>
      <c r="U156" s="72">
        <f>DATEVALUE(Table2[[#This Row],[Ngày]])</f>
        <v>45904</v>
      </c>
      <c r="V156" t="str">
        <f>VLOOKUP(A156,Data_NV!$A:$E,5,0)</f>
        <v>Đang làm việc</v>
      </c>
      <c r="W156" s="11">
        <f>VLOOKUP(A156,Data_NV!$A:$I,8,0)</f>
        <v>0.33333333333333331</v>
      </c>
      <c r="X156" s="11">
        <f>VLOOKUP(A156,Data_NV!$A:$I,9,0)</f>
        <v>0.70833333333333337</v>
      </c>
      <c r="Y156" s="11">
        <f>IFERROR(TIMEVALUE(Table2[[#This Row],[Vào]]),0)</f>
        <v>0.33491898148148147</v>
      </c>
      <c r="Z156" s="11">
        <f>IFERROR(TIMEVALUE(Table2[[#This Row],[Ra]]),0)</f>
        <v>0</v>
      </c>
      <c r="AA156" t="str">
        <f t="shared" si="14"/>
        <v>x</v>
      </c>
      <c r="AB156" s="14">
        <f t="shared" si="18"/>
        <v>2</v>
      </c>
      <c r="AC156" s="14" t="str">
        <f>IF(VLOOKUP(A156,Data_NV!$A:$I,7,0)="Không","",IF(OR(AND(Y156=0,Z156=0),AND(Y156&lt;&gt;0,Z156&lt;&gt;0)),"","Quên chấm công"))</f>
        <v/>
      </c>
      <c r="AD156" s="14">
        <f>IF(VLOOKUP(A156,Data_NV!$A:$I,7,0)="Không",0,IF(AND(Y156=0,Z156=0),0,IF(X156&lt;=Z156,0,ROUNDDOWN((X156-Z156)*24*60,0))))</f>
        <v>0</v>
      </c>
      <c r="AE156" s="14">
        <f>IF(VLOOKUP(A156,Data_NV!$A:$I,6,0)="Không",0,IF(Z156&lt;=X156,0,ROUNDDOWN((Z156-X156)*24*60,0)))</f>
        <v>0</v>
      </c>
      <c r="AF156" s="29">
        <f t="shared" si="15"/>
        <v>0</v>
      </c>
      <c r="AG156" s="30" t="str">
        <f>IF(AC156="","",IF(COUNTIFS($AC$3:AC156,"Quên chấm công",$S$3:S156,S156)&gt;3,"Không chấm công do vi phạm quá 3 lần",IF(COUNTIFS($AC$3:AC156,"Quên chấm công",$S$3:S156,S156)&gt;2,"Trừ toàn bộ chuyên cần tháng do vi phạm lần 3",IF(COUNTIFS($AC$3:AC156,"Quên chấm công",$S$3:S156,S156)&gt;1,"Trừ 1/2 ngày lương",50000))))</f>
        <v/>
      </c>
      <c r="AH156" s="14" t="str">
        <f>IF(AF156=0,"",IF(COUNTIFS($AF$3:AF156,"&gt;0",$S$3:S156,S156)&gt;3,"Trừ toàn bộ chuyên cần tháng",""))</f>
        <v/>
      </c>
      <c r="AI156" s="14"/>
      <c r="AJ156" s="14"/>
    </row>
    <row r="157" spans="1:36" x14ac:dyDescent="0.25">
      <c r="A157" s="4" t="s">
        <v>304</v>
      </c>
      <c r="B157" s="1" t="s">
        <v>305</v>
      </c>
      <c r="C157" s="1" t="s">
        <v>19</v>
      </c>
      <c r="D157" s="1" t="s">
        <v>32</v>
      </c>
      <c r="E157" s="1" t="s">
        <v>21</v>
      </c>
      <c r="F157" s="1" t="s">
        <v>22</v>
      </c>
      <c r="G157" s="1" t="s">
        <v>12</v>
      </c>
      <c r="H157" s="12" t="s">
        <v>308</v>
      </c>
      <c r="I157" s="1" t="s">
        <v>23</v>
      </c>
      <c r="J157" s="1" t="s">
        <v>24</v>
      </c>
      <c r="K157" s="1" t="s">
        <v>24</v>
      </c>
      <c r="L157" s="1" t="s">
        <v>25</v>
      </c>
      <c r="M157" s="1" t="s">
        <v>24</v>
      </c>
      <c r="N157" s="1" t="s">
        <v>24</v>
      </c>
      <c r="O157" s="1" t="s">
        <v>24</v>
      </c>
      <c r="P157" s="1" t="s">
        <v>24</v>
      </c>
      <c r="Q157" s="1" t="s">
        <v>24</v>
      </c>
      <c r="R157" s="75" t="str">
        <f t="shared" si="13"/>
        <v>4545905</v>
      </c>
      <c r="S157" t="str">
        <f>VLOOKUP(A157,Data_NV!$A:$C,3,0)</f>
        <v>Trần Hạo Nhị</v>
      </c>
      <c r="T157" t="str">
        <f>VLOOKUP(A157,Data_NV!$A:$E,4,0)</f>
        <v>Kinh doanh</v>
      </c>
      <c r="U157" s="72">
        <f>DATEVALUE(Table2[[#This Row],[Ngày]])</f>
        <v>45905</v>
      </c>
      <c r="V157" t="str">
        <f>VLOOKUP(A157,Data_NV!$A:$E,5,0)</f>
        <v>Đang làm việc</v>
      </c>
      <c r="W157" s="11">
        <f>VLOOKUP(A157,Data_NV!$A:$I,8,0)</f>
        <v>0.33333333333333331</v>
      </c>
      <c r="X157" s="11">
        <f>VLOOKUP(A157,Data_NV!$A:$I,9,0)</f>
        <v>0.70833333333333337</v>
      </c>
      <c r="Y157" s="11">
        <f>IFERROR(TIMEVALUE(Table2[[#This Row],[Vào]]),0)</f>
        <v>0.33315972222222223</v>
      </c>
      <c r="Z157" s="11">
        <f>IFERROR(TIMEVALUE(Table2[[#This Row],[Ra]]),0)</f>
        <v>0</v>
      </c>
      <c r="AA157" t="str">
        <f t="shared" si="14"/>
        <v>x</v>
      </c>
      <c r="AB157" s="14">
        <f t="shared" si="18"/>
        <v>0</v>
      </c>
      <c r="AC157" s="14" t="str">
        <f>IF(VLOOKUP(A157,Data_NV!$A:$I,7,0)="Không","",IF(OR(AND(Y157=0,Z157=0),AND(Y157&lt;&gt;0,Z157&lt;&gt;0)),"","Quên chấm công"))</f>
        <v/>
      </c>
      <c r="AD157" s="14">
        <f>IF(VLOOKUP(A157,Data_NV!$A:$I,7,0)="Không",0,IF(AND(Y157=0,Z157=0),0,IF(X157&lt;=Z157,0,ROUNDDOWN((X157-Z157)*24*60,0))))</f>
        <v>0</v>
      </c>
      <c r="AE157" s="14">
        <f>IF(VLOOKUP(A157,Data_NV!$A:$I,6,0)="Không",0,IF(Z157&lt;=X157,0,ROUNDDOWN((Z157-X157)*24*60,0)))</f>
        <v>0</v>
      </c>
      <c r="AF157" s="29">
        <f t="shared" si="15"/>
        <v>0</v>
      </c>
      <c r="AG157" s="30" t="str">
        <f>IF(AC157="","",IF(COUNTIFS($AC$3:AC157,"Quên chấm công",$S$3:S157,S157)&gt;3,"Không chấm công do vi phạm quá 3 lần",IF(COUNTIFS($AC$3:AC157,"Quên chấm công",$S$3:S157,S157)&gt;2,"Trừ toàn bộ chuyên cần tháng do vi phạm lần 3",IF(COUNTIFS($AC$3:AC157,"Quên chấm công",$S$3:S157,S157)&gt;1,"Trừ 1/2 ngày lương",50000))))</f>
        <v/>
      </c>
      <c r="AH157" s="14" t="str">
        <f>IF(AF157=0,"",IF(COUNTIFS($AF$3:AF157,"&gt;0",$S$3:S157,S157)&gt;3,"Trừ toàn bộ chuyên cần tháng",""))</f>
        <v/>
      </c>
      <c r="AI157" s="14"/>
      <c r="AJ157" s="14"/>
    </row>
    <row r="158" spans="1:36" x14ac:dyDescent="0.25">
      <c r="A158" s="4" t="s">
        <v>304</v>
      </c>
      <c r="B158" s="1" t="s">
        <v>305</v>
      </c>
      <c r="C158" s="1" t="s">
        <v>19</v>
      </c>
      <c r="D158" s="1" t="s">
        <v>33</v>
      </c>
      <c r="E158" s="1" t="s">
        <v>21</v>
      </c>
      <c r="F158" s="1" t="s">
        <v>22</v>
      </c>
      <c r="G158" s="1" t="s">
        <v>12</v>
      </c>
      <c r="H158" s="12" t="s">
        <v>309</v>
      </c>
      <c r="I158" s="1" t="s">
        <v>23</v>
      </c>
      <c r="J158" s="1" t="s">
        <v>135</v>
      </c>
      <c r="K158" s="1" t="s">
        <v>24</v>
      </c>
      <c r="L158" s="1" t="s">
        <v>25</v>
      </c>
      <c r="M158" s="1" t="s">
        <v>24</v>
      </c>
      <c r="N158" s="1" t="s">
        <v>24</v>
      </c>
      <c r="O158" s="1" t="s">
        <v>24</v>
      </c>
      <c r="P158" s="1" t="s">
        <v>24</v>
      </c>
      <c r="Q158" s="1" t="s">
        <v>24</v>
      </c>
      <c r="R158" s="75" t="str">
        <f t="shared" si="13"/>
        <v>4545906</v>
      </c>
      <c r="S158" t="str">
        <f>VLOOKUP(A158,Data_NV!$A:$C,3,0)</f>
        <v>Trần Hạo Nhị</v>
      </c>
      <c r="T158" t="str">
        <f>VLOOKUP(A158,Data_NV!$A:$E,4,0)</f>
        <v>Kinh doanh</v>
      </c>
      <c r="U158" s="72">
        <f>DATEVALUE(Table2[[#This Row],[Ngày]])</f>
        <v>45906</v>
      </c>
      <c r="V158" t="str">
        <f>VLOOKUP(A158,Data_NV!$A:$E,5,0)</f>
        <v>Đang làm việc</v>
      </c>
      <c r="W158" s="11">
        <f>VLOOKUP(A158,Data_NV!$A:$I,8,0)</f>
        <v>0.33333333333333331</v>
      </c>
      <c r="X158" s="11">
        <f>VLOOKUP(A158,Data_NV!$A:$I,9,0)</f>
        <v>0.70833333333333337</v>
      </c>
      <c r="Y158" s="11">
        <f>IFERROR(TIMEVALUE(Table2[[#This Row],[Vào]]),0)</f>
        <v>0.33387731481481481</v>
      </c>
      <c r="Z158" s="11">
        <f>IFERROR(TIMEVALUE(Table2[[#This Row],[Ra]]),0)</f>
        <v>0</v>
      </c>
      <c r="AA158" t="str">
        <f t="shared" si="14"/>
        <v>x</v>
      </c>
      <c r="AB158" s="14">
        <f t="shared" si="18"/>
        <v>0</v>
      </c>
      <c r="AC158" s="14" t="str">
        <f>IF(VLOOKUP(A158,Data_NV!$A:$I,7,0)="Không","",IF(OR(AND(Y158=0,Z158=0),AND(Y158&lt;&gt;0,Z158&lt;&gt;0)),"","Quên chấm công"))</f>
        <v/>
      </c>
      <c r="AD158" s="14">
        <f>IF(VLOOKUP(A158,Data_NV!$A:$I,7,0)="Không",0,IF(AND(Y158=0,Z158=0),0,IF(X158&lt;=Z158,0,ROUNDDOWN((X158-Z158)*24*60,0))))</f>
        <v>0</v>
      </c>
      <c r="AE158" s="14">
        <f>IF(VLOOKUP(A158,Data_NV!$A:$I,6,0)="Không",0,IF(Z158&lt;=X158,0,ROUNDDOWN((Z158-X158)*24*60,0)))</f>
        <v>0</v>
      </c>
      <c r="AF158" s="29">
        <f t="shared" si="15"/>
        <v>0</v>
      </c>
      <c r="AG158" s="30" t="str">
        <f>IF(AC158="","",IF(COUNTIFS($AC$3:AC158,"Quên chấm công",$S$3:S158,S158)&gt;3,"Không chấm công do vi phạm quá 3 lần",IF(COUNTIFS($AC$3:AC158,"Quên chấm công",$S$3:S158,S158)&gt;2,"Trừ toàn bộ chuyên cần tháng do vi phạm lần 3",IF(COUNTIFS($AC$3:AC158,"Quên chấm công",$S$3:S158,S158)&gt;1,"Trừ 1/2 ngày lương",50000))))</f>
        <v/>
      </c>
      <c r="AH158" s="14" t="str">
        <f>IF(AF158=0,"",IF(COUNTIFS($AF$3:AF158,"&gt;0",$S$3:S158,S158)&gt;3,"Trừ toàn bộ chuyên cần tháng",""))</f>
        <v/>
      </c>
      <c r="AI158" s="14"/>
      <c r="AJ158" s="14"/>
    </row>
    <row r="159" spans="1:36" x14ac:dyDescent="0.25">
      <c r="A159" s="4" t="s">
        <v>304</v>
      </c>
      <c r="B159" s="1" t="s">
        <v>305</v>
      </c>
      <c r="C159" s="1" t="s">
        <v>19</v>
      </c>
      <c r="D159" s="1" t="s">
        <v>35</v>
      </c>
      <c r="E159" s="1" t="s">
        <v>21</v>
      </c>
      <c r="F159" s="1" t="s">
        <v>22</v>
      </c>
      <c r="G159" s="1" t="s">
        <v>12</v>
      </c>
      <c r="H159" s="12" t="s">
        <v>23</v>
      </c>
      <c r="I159" s="1" t="s">
        <v>23</v>
      </c>
      <c r="J159" s="1" t="s">
        <v>24</v>
      </c>
      <c r="K159" s="1" t="s">
        <v>24</v>
      </c>
      <c r="L159" s="1" t="s">
        <v>25</v>
      </c>
      <c r="M159" s="1" t="s">
        <v>24</v>
      </c>
      <c r="N159" s="1" t="s">
        <v>24</v>
      </c>
      <c r="O159" s="1" t="s">
        <v>24</v>
      </c>
      <c r="P159" s="1" t="s">
        <v>24</v>
      </c>
      <c r="Q159" s="1" t="s">
        <v>24</v>
      </c>
      <c r="R159" s="75" t="str">
        <f t="shared" si="13"/>
        <v>4545907</v>
      </c>
      <c r="S159" t="str">
        <f>VLOOKUP(A159,Data_NV!$A:$C,3,0)</f>
        <v>Trần Hạo Nhị</v>
      </c>
      <c r="T159" t="str">
        <f>VLOOKUP(A159,Data_NV!$A:$E,4,0)</f>
        <v>Kinh doanh</v>
      </c>
      <c r="U159" s="72">
        <f>DATEVALUE(Table2[[#This Row],[Ngày]])</f>
        <v>45907</v>
      </c>
      <c r="V159" t="str">
        <f>VLOOKUP(A159,Data_NV!$A:$E,5,0)</f>
        <v>Đang làm việc</v>
      </c>
      <c r="W159" s="11">
        <f>VLOOKUP(A159,Data_NV!$A:$I,8,0)</f>
        <v>0.33333333333333331</v>
      </c>
      <c r="X159" s="11">
        <f>VLOOKUP(A159,Data_NV!$A:$I,9,0)</f>
        <v>0.70833333333333337</v>
      </c>
      <c r="Y159" s="11">
        <f>IFERROR(TIMEVALUE(Table2[[#This Row],[Vào]]),0)</f>
        <v>0</v>
      </c>
      <c r="Z159" s="11">
        <f>IFERROR(TIMEVALUE(Table2[[#This Row],[Ra]]),0)</f>
        <v>0</v>
      </c>
      <c r="AA159" t="str">
        <f t="shared" si="14"/>
        <v/>
      </c>
      <c r="AB159" s="14">
        <f t="shared" si="18"/>
        <v>0</v>
      </c>
      <c r="AC159" s="14" t="str">
        <f>IF(VLOOKUP(A159,Data_NV!$A:$I,7,0)="Không","",IF(OR(AND(Y159=0,Z159=0),AND(Y159&lt;&gt;0,Z159&lt;&gt;0)),"","Quên chấm công"))</f>
        <v/>
      </c>
      <c r="AD159" s="14">
        <f>IF(VLOOKUP(A159,Data_NV!$A:$I,7,0)="Không",0,IF(AND(Y159=0,Z159=0),0,IF(X159&lt;=Z159,0,ROUNDDOWN((X159-Z159)*24*60,0))))</f>
        <v>0</v>
      </c>
      <c r="AE159" s="14">
        <f>IF(VLOOKUP(A159,Data_NV!$A:$I,6,0)="Không",0,IF(Z159&lt;=X159,0,ROUNDDOWN((Z159-X159)*24*60,0)))</f>
        <v>0</v>
      </c>
      <c r="AF159" s="29">
        <f t="shared" si="15"/>
        <v>0</v>
      </c>
      <c r="AG159" s="30" t="str">
        <f>IF(AC159="","",IF(COUNTIFS($AC$3:AC159,"Quên chấm công",$S$3:S159,S159)&gt;3,"Không chấm công do vi phạm quá 3 lần",IF(COUNTIFS($AC$3:AC159,"Quên chấm công",$S$3:S159,S159)&gt;2,"Trừ toàn bộ chuyên cần tháng do vi phạm lần 3",IF(COUNTIFS($AC$3:AC159,"Quên chấm công",$S$3:S159,S159)&gt;1,"Trừ 1/2 ngày lương",50000))))</f>
        <v/>
      </c>
      <c r="AH159" s="14" t="str">
        <f>IF(AF159=0,"",IF(COUNTIFS($AF$3:AF159,"&gt;0",$S$3:S159,S159)&gt;3,"Trừ toàn bộ chuyên cần tháng",""))</f>
        <v/>
      </c>
      <c r="AI159" s="14"/>
      <c r="AJ159" s="14"/>
    </row>
    <row r="160" spans="1:36" x14ac:dyDescent="0.25">
      <c r="A160" s="4" t="s">
        <v>304</v>
      </c>
      <c r="B160" s="1" t="s">
        <v>305</v>
      </c>
      <c r="C160" s="1" t="s">
        <v>19</v>
      </c>
      <c r="D160" s="1" t="s">
        <v>36</v>
      </c>
      <c r="E160" s="1" t="s">
        <v>21</v>
      </c>
      <c r="F160" s="1" t="s">
        <v>22</v>
      </c>
      <c r="G160" s="1" t="s">
        <v>12</v>
      </c>
      <c r="H160" s="12" t="s">
        <v>310</v>
      </c>
      <c r="I160" s="1" t="s">
        <v>23</v>
      </c>
      <c r="J160" s="1" t="s">
        <v>98</v>
      </c>
      <c r="K160" s="1" t="s">
        <v>24</v>
      </c>
      <c r="L160" s="1" t="s">
        <v>25</v>
      </c>
      <c r="M160" s="1" t="s">
        <v>24</v>
      </c>
      <c r="N160" s="1" t="s">
        <v>24</v>
      </c>
      <c r="O160" s="1" t="s">
        <v>24</v>
      </c>
      <c r="P160" s="1" t="s">
        <v>24</v>
      </c>
      <c r="Q160" s="1" t="s">
        <v>24</v>
      </c>
      <c r="R160" s="75" t="str">
        <f t="shared" si="13"/>
        <v>4545908</v>
      </c>
      <c r="S160" t="str">
        <f>VLOOKUP(A160,Data_NV!$A:$C,3,0)</f>
        <v>Trần Hạo Nhị</v>
      </c>
      <c r="T160" t="str">
        <f>VLOOKUP(A160,Data_NV!$A:$E,4,0)</f>
        <v>Kinh doanh</v>
      </c>
      <c r="U160" s="72">
        <f>DATEVALUE(Table2[[#This Row],[Ngày]])</f>
        <v>45908</v>
      </c>
      <c r="V160" t="str">
        <f>VLOOKUP(A160,Data_NV!$A:$E,5,0)</f>
        <v>Đang làm việc</v>
      </c>
      <c r="W160" s="11">
        <f>VLOOKUP(A160,Data_NV!$A:$I,8,0)</f>
        <v>0.33333333333333331</v>
      </c>
      <c r="X160" s="11">
        <f>VLOOKUP(A160,Data_NV!$A:$I,9,0)</f>
        <v>0.70833333333333337</v>
      </c>
      <c r="Y160" s="11">
        <f>IFERROR(TIMEVALUE(Table2[[#This Row],[Vào]]),0)</f>
        <v>0.33633101851851854</v>
      </c>
      <c r="Z160" s="11">
        <f>IFERROR(TIMEVALUE(Table2[[#This Row],[Ra]]),0)</f>
        <v>0</v>
      </c>
      <c r="AA160" t="str">
        <f t="shared" si="14"/>
        <v>x</v>
      </c>
      <c r="AB160" s="14">
        <f t="shared" si="18"/>
        <v>4</v>
      </c>
      <c r="AC160" s="14" t="str">
        <f>IF(VLOOKUP(A160,Data_NV!$A:$I,7,0)="Không","",IF(OR(AND(Y160=0,Z160=0),AND(Y160&lt;&gt;0,Z160&lt;&gt;0)),"","Quên chấm công"))</f>
        <v/>
      </c>
      <c r="AD160" s="14">
        <f>IF(VLOOKUP(A160,Data_NV!$A:$I,7,0)="Không",0,IF(AND(Y160=0,Z160=0),0,IF(X160&lt;=Z160,0,ROUNDDOWN((X160-Z160)*24*60,0))))</f>
        <v>0</v>
      </c>
      <c r="AE160" s="14">
        <f>IF(VLOOKUP(A160,Data_NV!$A:$I,6,0)="Không",0,IF(Z160&lt;=X160,0,ROUNDDOWN((Z160-X160)*24*60,0)))</f>
        <v>0</v>
      </c>
      <c r="AF160" s="29">
        <f t="shared" si="15"/>
        <v>0</v>
      </c>
      <c r="AG160" s="30" t="str">
        <f>IF(AC160="","",IF(COUNTIFS($AC$3:AC160,"Quên chấm công",$S$3:S160,S160)&gt;3,"Không chấm công do vi phạm quá 3 lần",IF(COUNTIFS($AC$3:AC160,"Quên chấm công",$S$3:S160,S160)&gt;2,"Trừ toàn bộ chuyên cần tháng do vi phạm lần 3",IF(COUNTIFS($AC$3:AC160,"Quên chấm công",$S$3:S160,S160)&gt;1,"Trừ 1/2 ngày lương",50000))))</f>
        <v/>
      </c>
      <c r="AH160" s="14" t="str">
        <f>IF(AF160=0,"",IF(COUNTIFS($AF$3:AF160,"&gt;0",$S$3:S160,S160)&gt;3,"Trừ toàn bộ chuyên cần tháng",""))</f>
        <v/>
      </c>
      <c r="AI160" s="14"/>
      <c r="AJ160" s="14"/>
    </row>
    <row r="161" spans="1:36" x14ac:dyDescent="0.25">
      <c r="A161" s="4" t="s">
        <v>304</v>
      </c>
      <c r="B161" s="1" t="s">
        <v>305</v>
      </c>
      <c r="C161" s="1" t="s">
        <v>19</v>
      </c>
      <c r="D161" s="1" t="s">
        <v>37</v>
      </c>
      <c r="E161" s="1" t="s">
        <v>21</v>
      </c>
      <c r="F161" s="1" t="s">
        <v>22</v>
      </c>
      <c r="G161" s="1" t="s">
        <v>12</v>
      </c>
      <c r="H161" s="12" t="s">
        <v>311</v>
      </c>
      <c r="I161" s="1" t="s">
        <v>23</v>
      </c>
      <c r="J161" s="1" t="s">
        <v>24</v>
      </c>
      <c r="K161" s="1" t="s">
        <v>24</v>
      </c>
      <c r="L161" s="1" t="s">
        <v>25</v>
      </c>
      <c r="M161" s="1" t="s">
        <v>24</v>
      </c>
      <c r="N161" s="1" t="s">
        <v>24</v>
      </c>
      <c r="O161" s="1" t="s">
        <v>24</v>
      </c>
      <c r="P161" s="1" t="s">
        <v>24</v>
      </c>
      <c r="Q161" s="1" t="s">
        <v>24</v>
      </c>
      <c r="R161" s="75" t="str">
        <f t="shared" si="13"/>
        <v>4545909</v>
      </c>
      <c r="S161" t="str">
        <f>VLOOKUP(A161,Data_NV!$A:$C,3,0)</f>
        <v>Trần Hạo Nhị</v>
      </c>
      <c r="T161" t="str">
        <f>VLOOKUP(A161,Data_NV!$A:$E,4,0)</f>
        <v>Kinh doanh</v>
      </c>
      <c r="U161" s="72">
        <f>DATEVALUE(Table2[[#This Row],[Ngày]])</f>
        <v>45909</v>
      </c>
      <c r="V161" t="str">
        <f>VLOOKUP(A161,Data_NV!$A:$E,5,0)</f>
        <v>Đang làm việc</v>
      </c>
      <c r="W161" s="11">
        <f>VLOOKUP(A161,Data_NV!$A:$I,8,0)</f>
        <v>0.33333333333333331</v>
      </c>
      <c r="X161" s="11">
        <f>VLOOKUP(A161,Data_NV!$A:$I,9,0)</f>
        <v>0.70833333333333337</v>
      </c>
      <c r="Y161" s="11">
        <f>IFERROR(TIMEVALUE(Table2[[#This Row],[Vào]]),0)</f>
        <v>0.33358796296296295</v>
      </c>
      <c r="Z161" s="11">
        <f>IFERROR(TIMEVALUE(Table2[[#This Row],[Ra]]),0)</f>
        <v>0</v>
      </c>
      <c r="AA161" t="str">
        <f t="shared" si="14"/>
        <v>x</v>
      </c>
      <c r="AB161" s="14">
        <f t="shared" si="18"/>
        <v>0</v>
      </c>
      <c r="AC161" s="14" t="str">
        <f>IF(VLOOKUP(A161,Data_NV!$A:$I,7,0)="Không","",IF(OR(AND(Y161=0,Z161=0),AND(Y161&lt;&gt;0,Z161&lt;&gt;0)),"","Quên chấm công"))</f>
        <v/>
      </c>
      <c r="AD161" s="14">
        <f>IF(VLOOKUP(A161,Data_NV!$A:$I,7,0)="Không",0,IF(AND(Y161=0,Z161=0),0,IF(X161&lt;=Z161,0,ROUNDDOWN((X161-Z161)*24*60,0))))</f>
        <v>0</v>
      </c>
      <c r="AE161" s="14">
        <f>IF(VLOOKUP(A161,Data_NV!$A:$I,6,0)="Không",0,IF(Z161&lt;=X161,0,ROUNDDOWN((Z161-X161)*24*60,0)))</f>
        <v>0</v>
      </c>
      <c r="AF161" s="29">
        <f t="shared" si="15"/>
        <v>0</v>
      </c>
      <c r="AG161" s="30" t="str">
        <f>IF(AC161="","",IF(COUNTIFS($AC$3:AC161,"Quên chấm công",$S$3:S161,S161)&gt;3,"Không chấm công do vi phạm quá 3 lần",IF(COUNTIFS($AC$3:AC161,"Quên chấm công",$S$3:S161,S161)&gt;2,"Trừ toàn bộ chuyên cần tháng do vi phạm lần 3",IF(COUNTIFS($AC$3:AC161,"Quên chấm công",$S$3:S161,S161)&gt;1,"Trừ 1/2 ngày lương",50000))))</f>
        <v/>
      </c>
      <c r="AH161" s="14" t="str">
        <f>IF(AF161=0,"",IF(COUNTIFS($AF$3:AF161,"&gt;0",$S$3:S161,S161)&gt;3,"Trừ toàn bộ chuyên cần tháng",""))</f>
        <v/>
      </c>
      <c r="AI161" s="14"/>
      <c r="AJ161" s="14"/>
    </row>
    <row r="162" spans="1:36" x14ac:dyDescent="0.25">
      <c r="A162" s="4" t="s">
        <v>304</v>
      </c>
      <c r="B162" s="1" t="s">
        <v>305</v>
      </c>
      <c r="C162" s="1" t="s">
        <v>19</v>
      </c>
      <c r="D162" s="1" t="s">
        <v>38</v>
      </c>
      <c r="E162" s="1" t="s">
        <v>21</v>
      </c>
      <c r="F162" s="1" t="s">
        <v>22</v>
      </c>
      <c r="G162" s="1" t="s">
        <v>12</v>
      </c>
      <c r="H162" s="12" t="s">
        <v>312</v>
      </c>
      <c r="I162" s="1" t="s">
        <v>23</v>
      </c>
      <c r="J162" s="1" t="s">
        <v>190</v>
      </c>
      <c r="K162" s="1" t="s">
        <v>24</v>
      </c>
      <c r="L162" s="1" t="s">
        <v>25</v>
      </c>
      <c r="M162" s="1" t="s">
        <v>24</v>
      </c>
      <c r="N162" s="1" t="s">
        <v>24</v>
      </c>
      <c r="O162" s="1" t="s">
        <v>24</v>
      </c>
      <c r="P162" s="1" t="s">
        <v>24</v>
      </c>
      <c r="Q162" s="1" t="s">
        <v>24</v>
      </c>
      <c r="R162" s="75" t="str">
        <f t="shared" si="13"/>
        <v>4545910</v>
      </c>
      <c r="S162" t="str">
        <f>VLOOKUP(A162,Data_NV!$A:$C,3,0)</f>
        <v>Trần Hạo Nhị</v>
      </c>
      <c r="T162" t="str">
        <f>VLOOKUP(A162,Data_NV!$A:$E,4,0)</f>
        <v>Kinh doanh</v>
      </c>
      <c r="U162" s="72">
        <f>DATEVALUE(Table2[[#This Row],[Ngày]])</f>
        <v>45910</v>
      </c>
      <c r="V162" t="str">
        <f>VLOOKUP(A162,Data_NV!$A:$E,5,0)</f>
        <v>Đang làm việc</v>
      </c>
      <c r="W162" s="11">
        <f>VLOOKUP(A162,Data_NV!$A:$I,8,0)</f>
        <v>0.33333333333333331</v>
      </c>
      <c r="X162" s="11">
        <f>VLOOKUP(A162,Data_NV!$A:$I,9,0)</f>
        <v>0.70833333333333337</v>
      </c>
      <c r="Y162" s="11">
        <f>IFERROR(TIMEVALUE(Table2[[#This Row],[Vào]]),0)</f>
        <v>0.33554398148148146</v>
      </c>
      <c r="Z162" s="11">
        <f>IFERROR(TIMEVALUE(Table2[[#This Row],[Ra]]),0)</f>
        <v>0</v>
      </c>
      <c r="AA162" t="str">
        <f t="shared" si="14"/>
        <v>x</v>
      </c>
      <c r="AB162" s="14">
        <f t="shared" si="18"/>
        <v>3</v>
      </c>
      <c r="AC162" s="14" t="str">
        <f>IF(VLOOKUP(A162,Data_NV!$A:$I,7,0)="Không","",IF(OR(AND(Y162=0,Z162=0),AND(Y162&lt;&gt;0,Z162&lt;&gt;0)),"","Quên chấm công"))</f>
        <v/>
      </c>
      <c r="AD162" s="14">
        <f>IF(VLOOKUP(A162,Data_NV!$A:$I,7,0)="Không",0,IF(AND(Y162=0,Z162=0),0,IF(X162&lt;=Z162,0,ROUNDDOWN((X162-Z162)*24*60,0))))</f>
        <v>0</v>
      </c>
      <c r="AE162" s="14">
        <f>IF(VLOOKUP(A162,Data_NV!$A:$I,6,0)="Không",0,IF(Z162&lt;=X162,0,ROUNDDOWN((Z162-X162)*24*60,0)))</f>
        <v>0</v>
      </c>
      <c r="AF162" s="29">
        <f t="shared" si="15"/>
        <v>0</v>
      </c>
      <c r="AG162" s="30" t="str">
        <f>IF(AC162="","",IF(COUNTIFS($AC$3:AC162,"Quên chấm công",$S$3:S162,S162)&gt;3,"Không chấm công do vi phạm quá 3 lần",IF(COUNTIFS($AC$3:AC162,"Quên chấm công",$S$3:S162,S162)&gt;2,"Trừ toàn bộ chuyên cần tháng do vi phạm lần 3",IF(COUNTIFS($AC$3:AC162,"Quên chấm công",$S$3:S162,S162)&gt;1,"Trừ 1/2 ngày lương",50000))))</f>
        <v/>
      </c>
      <c r="AH162" s="14" t="str">
        <f>IF(AF162=0,"",IF(COUNTIFS($AF$3:AF162,"&gt;0",$S$3:S162,S162)&gt;3,"Trừ toàn bộ chuyên cần tháng",""))</f>
        <v/>
      </c>
      <c r="AI162" s="14"/>
      <c r="AJ162" s="14"/>
    </row>
    <row r="163" spans="1:36" x14ac:dyDescent="0.25">
      <c r="A163" s="4" t="s">
        <v>304</v>
      </c>
      <c r="B163" s="1" t="s">
        <v>305</v>
      </c>
      <c r="C163" s="1" t="s">
        <v>19</v>
      </c>
      <c r="D163" s="1" t="s">
        <v>39</v>
      </c>
      <c r="E163" s="1" t="s">
        <v>21</v>
      </c>
      <c r="F163" s="1" t="s">
        <v>22</v>
      </c>
      <c r="G163" s="1" t="s">
        <v>12</v>
      </c>
      <c r="H163" s="12" t="s">
        <v>313</v>
      </c>
      <c r="I163" s="1" t="s">
        <v>23</v>
      </c>
      <c r="J163" s="1" t="s">
        <v>98</v>
      </c>
      <c r="K163" s="1" t="s">
        <v>24</v>
      </c>
      <c r="L163" s="1" t="s">
        <v>25</v>
      </c>
      <c r="M163" s="1" t="s">
        <v>24</v>
      </c>
      <c r="N163" s="1" t="s">
        <v>24</v>
      </c>
      <c r="O163" s="1" t="s">
        <v>24</v>
      </c>
      <c r="P163" s="1" t="s">
        <v>24</v>
      </c>
      <c r="Q163" s="1" t="s">
        <v>24</v>
      </c>
      <c r="R163" s="75" t="str">
        <f t="shared" si="13"/>
        <v>4545911</v>
      </c>
      <c r="S163" t="str">
        <f>VLOOKUP(A163,Data_NV!$A:$C,3,0)</f>
        <v>Trần Hạo Nhị</v>
      </c>
      <c r="T163" t="str">
        <f>VLOOKUP(A163,Data_NV!$A:$E,4,0)</f>
        <v>Kinh doanh</v>
      </c>
      <c r="U163" s="72">
        <f>DATEVALUE(Table2[[#This Row],[Ngày]])</f>
        <v>45911</v>
      </c>
      <c r="V163" t="str">
        <f>VLOOKUP(A163,Data_NV!$A:$E,5,0)</f>
        <v>Đang làm việc</v>
      </c>
      <c r="W163" s="11">
        <f>VLOOKUP(A163,Data_NV!$A:$I,8,0)</f>
        <v>0.33333333333333331</v>
      </c>
      <c r="X163" s="11">
        <f>VLOOKUP(A163,Data_NV!$A:$I,9,0)</f>
        <v>0.70833333333333337</v>
      </c>
      <c r="Y163" s="11">
        <f>IFERROR(TIMEVALUE(Table2[[#This Row],[Vào]]),0)</f>
        <v>0.33627314814814813</v>
      </c>
      <c r="Z163" s="11">
        <f>IFERROR(TIMEVALUE(Table2[[#This Row],[Ra]]),0)</f>
        <v>0</v>
      </c>
      <c r="AA163" t="str">
        <f t="shared" si="14"/>
        <v>x</v>
      </c>
      <c r="AB163" s="14">
        <f t="shared" si="18"/>
        <v>4</v>
      </c>
      <c r="AC163" s="14" t="str">
        <f>IF(VLOOKUP(A163,Data_NV!$A:$I,7,0)="Không","",IF(OR(AND(Y163=0,Z163=0),AND(Y163&lt;&gt;0,Z163&lt;&gt;0)),"","Quên chấm công"))</f>
        <v/>
      </c>
      <c r="AD163" s="14">
        <f>IF(VLOOKUP(A163,Data_NV!$A:$I,7,0)="Không",0,IF(AND(Y163=0,Z163=0),0,IF(X163&lt;=Z163,0,ROUNDDOWN((X163-Z163)*24*60,0))))</f>
        <v>0</v>
      </c>
      <c r="AE163" s="14">
        <f>IF(VLOOKUP(A163,Data_NV!$A:$I,6,0)="Không",0,IF(Z163&lt;=X163,0,ROUNDDOWN((Z163-X163)*24*60,0)))</f>
        <v>0</v>
      </c>
      <c r="AF163" s="29">
        <f t="shared" si="15"/>
        <v>0</v>
      </c>
      <c r="AG163" s="30" t="str">
        <f>IF(AC163="","",IF(COUNTIFS($AC$3:AC163,"Quên chấm công",$S$3:S163,S163)&gt;3,"Không chấm công do vi phạm quá 3 lần",IF(COUNTIFS($AC$3:AC163,"Quên chấm công",$S$3:S163,S163)&gt;2,"Trừ toàn bộ chuyên cần tháng do vi phạm lần 3",IF(COUNTIFS($AC$3:AC163,"Quên chấm công",$S$3:S163,S163)&gt;1,"Trừ 1/2 ngày lương",50000))))</f>
        <v/>
      </c>
      <c r="AH163" s="14" t="str">
        <f>IF(AF163=0,"",IF(COUNTIFS($AF$3:AF163,"&gt;0",$S$3:S163,S163)&gt;3,"Trừ toàn bộ chuyên cần tháng",""))</f>
        <v/>
      </c>
      <c r="AI163" s="14"/>
      <c r="AJ163" s="14"/>
    </row>
    <row r="164" spans="1:36" x14ac:dyDescent="0.25">
      <c r="A164" s="4" t="s">
        <v>304</v>
      </c>
      <c r="B164" s="1" t="s">
        <v>305</v>
      </c>
      <c r="C164" s="1" t="s">
        <v>19</v>
      </c>
      <c r="D164" s="1" t="s">
        <v>40</v>
      </c>
      <c r="E164" s="1" t="s">
        <v>21</v>
      </c>
      <c r="F164" s="1" t="s">
        <v>22</v>
      </c>
      <c r="G164" s="1" t="s">
        <v>12</v>
      </c>
      <c r="H164" s="12" t="s">
        <v>314</v>
      </c>
      <c r="I164" s="1" t="s">
        <v>23</v>
      </c>
      <c r="J164" s="1" t="s">
        <v>24</v>
      </c>
      <c r="K164" s="1" t="s">
        <v>24</v>
      </c>
      <c r="L164" s="1" t="s">
        <v>25</v>
      </c>
      <c r="M164" s="1" t="s">
        <v>24</v>
      </c>
      <c r="N164" s="1" t="s">
        <v>24</v>
      </c>
      <c r="O164" s="1" t="s">
        <v>24</v>
      </c>
      <c r="P164" s="1" t="s">
        <v>24</v>
      </c>
      <c r="Q164" s="1" t="s">
        <v>24</v>
      </c>
      <c r="R164" s="75" t="str">
        <f t="shared" si="13"/>
        <v>4545912</v>
      </c>
      <c r="S164" t="str">
        <f>VLOOKUP(A164,Data_NV!$A:$C,3,0)</f>
        <v>Trần Hạo Nhị</v>
      </c>
      <c r="T164" t="str">
        <f>VLOOKUP(A164,Data_NV!$A:$E,4,0)</f>
        <v>Kinh doanh</v>
      </c>
      <c r="U164" s="72">
        <f>DATEVALUE(Table2[[#This Row],[Ngày]])</f>
        <v>45912</v>
      </c>
      <c r="V164" t="str">
        <f>VLOOKUP(A164,Data_NV!$A:$E,5,0)</f>
        <v>Đang làm việc</v>
      </c>
      <c r="W164" s="11">
        <f>VLOOKUP(A164,Data_NV!$A:$I,8,0)</f>
        <v>0.33333333333333331</v>
      </c>
      <c r="X164" s="11">
        <f>VLOOKUP(A164,Data_NV!$A:$I,9,0)</f>
        <v>0.70833333333333337</v>
      </c>
      <c r="Y164" s="11">
        <f>IFERROR(TIMEVALUE(Table2[[#This Row],[Vào]]),0)</f>
        <v>0.33028935185185188</v>
      </c>
      <c r="Z164" s="11">
        <f>IFERROR(TIMEVALUE(Table2[[#This Row],[Ra]]),0)</f>
        <v>0</v>
      </c>
      <c r="AA164" t="str">
        <f t="shared" si="14"/>
        <v>x</v>
      </c>
      <c r="AB164" s="14">
        <f t="shared" si="18"/>
        <v>0</v>
      </c>
      <c r="AC164" s="14" t="str">
        <f>IF(VLOOKUP(A164,Data_NV!$A:$I,7,0)="Không","",IF(OR(AND(Y164=0,Z164=0),AND(Y164&lt;&gt;0,Z164&lt;&gt;0)),"","Quên chấm công"))</f>
        <v/>
      </c>
      <c r="AD164" s="14">
        <f>IF(VLOOKUP(A164,Data_NV!$A:$I,7,0)="Không",0,IF(AND(Y164=0,Z164=0),0,IF(X164&lt;=Z164,0,ROUNDDOWN((X164-Z164)*24*60,0))))</f>
        <v>0</v>
      </c>
      <c r="AE164" s="14">
        <f>IF(VLOOKUP(A164,Data_NV!$A:$I,6,0)="Không",0,IF(Z164&lt;=X164,0,ROUNDDOWN((Z164-X164)*24*60,0)))</f>
        <v>0</v>
      </c>
      <c r="AF164" s="29">
        <f t="shared" si="15"/>
        <v>0</v>
      </c>
      <c r="AG164" s="30" t="str">
        <f>IF(AC164="","",IF(COUNTIFS($AC$3:AC164,"Quên chấm công",$S$3:S164,S164)&gt;3,"Không chấm công do vi phạm quá 3 lần",IF(COUNTIFS($AC$3:AC164,"Quên chấm công",$S$3:S164,S164)&gt;2,"Trừ toàn bộ chuyên cần tháng do vi phạm lần 3",IF(COUNTIFS($AC$3:AC164,"Quên chấm công",$S$3:S164,S164)&gt;1,"Trừ 1/2 ngày lương",50000))))</f>
        <v/>
      </c>
      <c r="AH164" s="14" t="str">
        <f>IF(AF164=0,"",IF(COUNTIFS($AF$3:AF164,"&gt;0",$S$3:S164,S164)&gt;3,"Trừ toàn bộ chuyên cần tháng",""))</f>
        <v/>
      </c>
      <c r="AI164" s="14"/>
      <c r="AJ164" s="14"/>
    </row>
    <row r="165" spans="1:36" x14ac:dyDescent="0.25">
      <c r="A165" s="4" t="s">
        <v>304</v>
      </c>
      <c r="B165" s="1" t="s">
        <v>305</v>
      </c>
      <c r="C165" s="1" t="s">
        <v>19</v>
      </c>
      <c r="D165" s="1" t="s">
        <v>41</v>
      </c>
      <c r="E165" s="1" t="s">
        <v>21</v>
      </c>
      <c r="F165" s="1" t="s">
        <v>22</v>
      </c>
      <c r="G165" s="1" t="s">
        <v>12</v>
      </c>
      <c r="H165" s="12" t="s">
        <v>94</v>
      </c>
      <c r="I165" s="1" t="s">
        <v>23</v>
      </c>
      <c r="J165" s="1" t="s">
        <v>95</v>
      </c>
      <c r="K165" s="1" t="s">
        <v>24</v>
      </c>
      <c r="L165" s="1" t="s">
        <v>25</v>
      </c>
      <c r="M165" s="1" t="s">
        <v>24</v>
      </c>
      <c r="N165" s="1" t="s">
        <v>24</v>
      </c>
      <c r="O165" s="1" t="s">
        <v>24</v>
      </c>
      <c r="P165" s="1" t="s">
        <v>24</v>
      </c>
      <c r="Q165" s="1" t="s">
        <v>24</v>
      </c>
      <c r="R165" s="75" t="str">
        <f t="shared" si="13"/>
        <v>4545913</v>
      </c>
      <c r="S165" t="str">
        <f>VLOOKUP(A165,Data_NV!$A:$C,3,0)</f>
        <v>Trần Hạo Nhị</v>
      </c>
      <c r="T165" t="str">
        <f>VLOOKUP(A165,Data_NV!$A:$E,4,0)</f>
        <v>Kinh doanh</v>
      </c>
      <c r="U165" s="72">
        <f>DATEVALUE(Table2[[#This Row],[Ngày]])</f>
        <v>45913</v>
      </c>
      <c r="V165" t="str">
        <f>VLOOKUP(A165,Data_NV!$A:$E,5,0)</f>
        <v>Đang làm việc</v>
      </c>
      <c r="W165" s="11">
        <f>VLOOKUP(A165,Data_NV!$A:$I,8,0)</f>
        <v>0.33333333333333331</v>
      </c>
      <c r="X165" s="11">
        <f>VLOOKUP(A165,Data_NV!$A:$I,9,0)</f>
        <v>0.70833333333333337</v>
      </c>
      <c r="Y165" s="11">
        <f>IFERROR(TIMEVALUE(Table2[[#This Row],[Vào]]),0)</f>
        <v>0.33829861111111109</v>
      </c>
      <c r="Z165" s="11">
        <f>IFERROR(TIMEVALUE(Table2[[#This Row],[Ra]]),0)</f>
        <v>0</v>
      </c>
      <c r="AA165" t="str">
        <f t="shared" si="14"/>
        <v>x</v>
      </c>
      <c r="AB165" s="14">
        <f t="shared" si="18"/>
        <v>7</v>
      </c>
      <c r="AC165" s="14" t="str">
        <f>IF(VLOOKUP(A165,Data_NV!$A:$I,7,0)="Không","",IF(OR(AND(Y165=0,Z165=0),AND(Y165&lt;&gt;0,Z165&lt;&gt;0)),"","Quên chấm công"))</f>
        <v/>
      </c>
      <c r="AD165" s="14">
        <f>IF(VLOOKUP(A165,Data_NV!$A:$I,7,0)="Không",0,IF(AND(Y165=0,Z165=0),0,IF(X165&lt;=Z165,0,ROUNDDOWN((X165-Z165)*24*60,0))))</f>
        <v>0</v>
      </c>
      <c r="AE165" s="14">
        <f>IF(VLOOKUP(A165,Data_NV!$A:$I,6,0)="Không",0,IF(Z165&lt;=X165,0,ROUNDDOWN((Z165-X165)*24*60,0)))</f>
        <v>0</v>
      </c>
      <c r="AF165" s="29">
        <f t="shared" si="15"/>
        <v>30000</v>
      </c>
      <c r="AG165" s="30" t="str">
        <f>IF(AC165="","",IF(COUNTIFS($AC$3:AC165,"Quên chấm công",$S$3:S165,S165)&gt;3,"Không chấm công do vi phạm quá 3 lần",IF(COUNTIFS($AC$3:AC165,"Quên chấm công",$S$3:S165,S165)&gt;2,"Trừ toàn bộ chuyên cần tháng do vi phạm lần 3",IF(COUNTIFS($AC$3:AC165,"Quên chấm công",$S$3:S165,S165)&gt;1,"Trừ 1/2 ngày lương",50000))))</f>
        <v/>
      </c>
      <c r="AH165" s="14" t="str">
        <f>IF(AF165=0,"",IF(COUNTIFS($AF$3:AF165,"&gt;0",$S$3:S165,S165)&gt;3,"Trừ toàn bộ chuyên cần tháng",""))</f>
        <v/>
      </c>
      <c r="AI165" s="14"/>
      <c r="AJ165" s="14"/>
    </row>
    <row r="166" spans="1:36" x14ac:dyDescent="0.25">
      <c r="A166" s="4" t="s">
        <v>304</v>
      </c>
      <c r="B166" s="1" t="s">
        <v>305</v>
      </c>
      <c r="C166" s="1" t="s">
        <v>19</v>
      </c>
      <c r="D166" s="1" t="s">
        <v>42</v>
      </c>
      <c r="E166" s="1" t="s">
        <v>21</v>
      </c>
      <c r="F166" s="1" t="s">
        <v>22</v>
      </c>
      <c r="G166" s="1" t="s">
        <v>12</v>
      </c>
      <c r="H166" s="12" t="s">
        <v>23</v>
      </c>
      <c r="I166" s="1" t="s">
        <v>23</v>
      </c>
      <c r="J166" s="1" t="s">
        <v>24</v>
      </c>
      <c r="K166" s="1" t="s">
        <v>24</v>
      </c>
      <c r="L166" s="1" t="s">
        <v>25</v>
      </c>
      <c r="M166" s="1" t="s">
        <v>24</v>
      </c>
      <c r="N166" s="1" t="s">
        <v>24</v>
      </c>
      <c r="O166" s="1" t="s">
        <v>24</v>
      </c>
      <c r="P166" s="1" t="s">
        <v>24</v>
      </c>
      <c r="Q166" s="1" t="s">
        <v>24</v>
      </c>
      <c r="R166" s="75" t="str">
        <f t="shared" si="13"/>
        <v>4545914</v>
      </c>
      <c r="S166" t="str">
        <f>VLOOKUP(A166,Data_NV!$A:$C,3,0)</f>
        <v>Trần Hạo Nhị</v>
      </c>
      <c r="T166" t="str">
        <f>VLOOKUP(A166,Data_NV!$A:$E,4,0)</f>
        <v>Kinh doanh</v>
      </c>
      <c r="U166" s="72">
        <f>DATEVALUE(Table2[[#This Row],[Ngày]])</f>
        <v>45914</v>
      </c>
      <c r="V166" t="str">
        <f>VLOOKUP(A166,Data_NV!$A:$E,5,0)</f>
        <v>Đang làm việc</v>
      </c>
      <c r="W166" s="11">
        <f>VLOOKUP(A166,Data_NV!$A:$I,8,0)</f>
        <v>0.33333333333333331</v>
      </c>
      <c r="X166" s="11">
        <f>VLOOKUP(A166,Data_NV!$A:$I,9,0)</f>
        <v>0.70833333333333337</v>
      </c>
      <c r="Y166" s="11">
        <f>IFERROR(TIMEVALUE(Table2[[#This Row],[Vào]]),0)</f>
        <v>0</v>
      </c>
      <c r="Z166" s="11">
        <f>IFERROR(TIMEVALUE(Table2[[#This Row],[Ra]]),0)</f>
        <v>0</v>
      </c>
      <c r="AA166" t="str">
        <f t="shared" si="14"/>
        <v/>
      </c>
      <c r="AB166" s="14">
        <f t="shared" si="18"/>
        <v>0</v>
      </c>
      <c r="AC166" s="14" t="str">
        <f>IF(VLOOKUP(A166,Data_NV!$A:$I,7,0)="Không","",IF(OR(AND(Y166=0,Z166=0),AND(Y166&lt;&gt;0,Z166&lt;&gt;0)),"","Quên chấm công"))</f>
        <v/>
      </c>
      <c r="AD166" s="14">
        <f>IF(VLOOKUP(A166,Data_NV!$A:$I,7,0)="Không",0,IF(AND(Y166=0,Z166=0),0,IF(X166&lt;=Z166,0,ROUNDDOWN((X166-Z166)*24*60,0))))</f>
        <v>0</v>
      </c>
      <c r="AE166" s="14">
        <f>IF(VLOOKUP(A166,Data_NV!$A:$I,6,0)="Không",0,IF(Z166&lt;=X166,0,ROUNDDOWN((Z166-X166)*24*60,0)))</f>
        <v>0</v>
      </c>
      <c r="AF166" s="29">
        <f t="shared" si="15"/>
        <v>0</v>
      </c>
      <c r="AG166" s="30" t="str">
        <f>IF(AC166="","",IF(COUNTIFS($AC$3:AC166,"Quên chấm công",$S$3:S166,S166)&gt;3,"Không chấm công do vi phạm quá 3 lần",IF(COUNTIFS($AC$3:AC166,"Quên chấm công",$S$3:S166,S166)&gt;2,"Trừ toàn bộ chuyên cần tháng do vi phạm lần 3",IF(COUNTIFS($AC$3:AC166,"Quên chấm công",$S$3:S166,S166)&gt;1,"Trừ 1/2 ngày lương",50000))))</f>
        <v/>
      </c>
      <c r="AH166" s="14" t="str">
        <f>IF(AF166=0,"",IF(COUNTIFS($AF$3:AF166,"&gt;0",$S$3:S166,S166)&gt;3,"Trừ toàn bộ chuyên cần tháng",""))</f>
        <v/>
      </c>
      <c r="AI166" s="14"/>
      <c r="AJ166" s="14"/>
    </row>
    <row r="167" spans="1:36" x14ac:dyDescent="0.25">
      <c r="A167" s="4" t="s">
        <v>304</v>
      </c>
      <c r="B167" s="1" t="s">
        <v>305</v>
      </c>
      <c r="C167" s="1" t="s">
        <v>19</v>
      </c>
      <c r="D167" s="1" t="s">
        <v>43</v>
      </c>
      <c r="E167" s="1" t="s">
        <v>21</v>
      </c>
      <c r="F167" s="1" t="s">
        <v>22</v>
      </c>
      <c r="G167" s="1" t="s">
        <v>12</v>
      </c>
      <c r="H167" s="12" t="s">
        <v>315</v>
      </c>
      <c r="I167" s="1" t="s">
        <v>23</v>
      </c>
      <c r="J167" s="1" t="s">
        <v>24</v>
      </c>
      <c r="K167" s="1" t="s">
        <v>24</v>
      </c>
      <c r="L167" s="1" t="s">
        <v>25</v>
      </c>
      <c r="M167" s="1" t="s">
        <v>24</v>
      </c>
      <c r="N167" s="1" t="s">
        <v>24</v>
      </c>
      <c r="O167" s="1" t="s">
        <v>24</v>
      </c>
      <c r="P167" s="1" t="s">
        <v>24</v>
      </c>
      <c r="Q167" s="1" t="s">
        <v>24</v>
      </c>
      <c r="R167" s="75" t="str">
        <f t="shared" si="13"/>
        <v>4545915</v>
      </c>
      <c r="S167" t="str">
        <f>VLOOKUP(A167,Data_NV!$A:$C,3,0)</f>
        <v>Trần Hạo Nhị</v>
      </c>
      <c r="T167" t="str">
        <f>VLOOKUP(A167,Data_NV!$A:$E,4,0)</f>
        <v>Kinh doanh</v>
      </c>
      <c r="U167" s="72">
        <f>DATEVALUE(Table2[[#This Row],[Ngày]])</f>
        <v>45915</v>
      </c>
      <c r="V167" t="str">
        <f>VLOOKUP(A167,Data_NV!$A:$E,5,0)</f>
        <v>Đang làm việc</v>
      </c>
      <c r="W167" s="11">
        <f>VLOOKUP(A167,Data_NV!$A:$I,8,0)</f>
        <v>0.33333333333333331</v>
      </c>
      <c r="X167" s="11">
        <f>VLOOKUP(A167,Data_NV!$A:$I,9,0)</f>
        <v>0.70833333333333337</v>
      </c>
      <c r="Y167" s="11">
        <f>IFERROR(TIMEVALUE(Table2[[#This Row],[Vào]]),0)</f>
        <v>0.32965277777777779</v>
      </c>
      <c r="Z167" s="11">
        <f>IFERROR(TIMEVALUE(Table2[[#This Row],[Ra]]),0)</f>
        <v>0</v>
      </c>
      <c r="AA167" t="str">
        <f t="shared" si="14"/>
        <v>x</v>
      </c>
      <c r="AB167" s="14">
        <f t="shared" si="18"/>
        <v>0</v>
      </c>
      <c r="AC167" s="14" t="str">
        <f>IF(VLOOKUP(A167,Data_NV!$A:$I,7,0)="Không","",IF(OR(AND(Y167=0,Z167=0),AND(Y167&lt;&gt;0,Z167&lt;&gt;0)),"","Quên chấm công"))</f>
        <v/>
      </c>
      <c r="AD167" s="14">
        <f>IF(VLOOKUP(A167,Data_NV!$A:$I,7,0)="Không",0,IF(AND(Y167=0,Z167=0),0,IF(X167&lt;=Z167,0,ROUNDDOWN((X167-Z167)*24*60,0))))</f>
        <v>0</v>
      </c>
      <c r="AE167" s="14">
        <f>IF(VLOOKUP(A167,Data_NV!$A:$I,6,0)="Không",0,IF(Z167&lt;=X167,0,ROUNDDOWN((Z167-X167)*24*60,0)))</f>
        <v>0</v>
      </c>
      <c r="AF167" s="29">
        <f t="shared" si="15"/>
        <v>0</v>
      </c>
      <c r="AG167" s="30" t="str">
        <f>IF(AC167="","",IF(COUNTIFS($AC$3:AC167,"Quên chấm công",$S$3:S167,S167)&gt;3,"Không chấm công do vi phạm quá 3 lần",IF(COUNTIFS($AC$3:AC167,"Quên chấm công",$S$3:S167,S167)&gt;2,"Trừ toàn bộ chuyên cần tháng do vi phạm lần 3",IF(COUNTIFS($AC$3:AC167,"Quên chấm công",$S$3:S167,S167)&gt;1,"Trừ 1/2 ngày lương",50000))))</f>
        <v/>
      </c>
      <c r="AH167" s="14" t="str">
        <f>IF(AF167=0,"",IF(COUNTIFS($AF$3:AF167,"&gt;0",$S$3:S167,S167)&gt;3,"Trừ toàn bộ chuyên cần tháng",""))</f>
        <v/>
      </c>
      <c r="AI167" s="14"/>
      <c r="AJ167" s="14"/>
    </row>
    <row r="168" spans="1:36" x14ac:dyDescent="0.25">
      <c r="A168" s="4" t="s">
        <v>304</v>
      </c>
      <c r="B168" s="1" t="s">
        <v>305</v>
      </c>
      <c r="C168" s="1" t="s">
        <v>19</v>
      </c>
      <c r="D168" s="1" t="s">
        <v>44</v>
      </c>
      <c r="E168" s="1" t="s">
        <v>21</v>
      </c>
      <c r="F168" s="1" t="s">
        <v>22</v>
      </c>
      <c r="G168" s="1" t="s">
        <v>12</v>
      </c>
      <c r="H168" s="12" t="s">
        <v>316</v>
      </c>
      <c r="I168" s="1" t="s">
        <v>23</v>
      </c>
      <c r="J168" s="1" t="s">
        <v>24</v>
      </c>
      <c r="K168" s="1" t="s">
        <v>24</v>
      </c>
      <c r="L168" s="1" t="s">
        <v>25</v>
      </c>
      <c r="M168" s="1" t="s">
        <v>24</v>
      </c>
      <c r="N168" s="1" t="s">
        <v>24</v>
      </c>
      <c r="O168" s="1" t="s">
        <v>24</v>
      </c>
      <c r="P168" s="1" t="s">
        <v>24</v>
      </c>
      <c r="Q168" s="1" t="s">
        <v>24</v>
      </c>
      <c r="R168" s="75" t="str">
        <f t="shared" si="13"/>
        <v>4545916</v>
      </c>
      <c r="S168" t="str">
        <f>VLOOKUP(A168,Data_NV!$A:$C,3,0)</f>
        <v>Trần Hạo Nhị</v>
      </c>
      <c r="T168" t="str">
        <f>VLOOKUP(A168,Data_NV!$A:$E,4,0)</f>
        <v>Kinh doanh</v>
      </c>
      <c r="U168" s="72">
        <f>DATEVALUE(Table2[[#This Row],[Ngày]])</f>
        <v>45916</v>
      </c>
      <c r="V168" t="str">
        <f>VLOOKUP(A168,Data_NV!$A:$E,5,0)</f>
        <v>Đang làm việc</v>
      </c>
      <c r="W168" s="11">
        <f>VLOOKUP(A168,Data_NV!$A:$I,8,0)</f>
        <v>0.33333333333333331</v>
      </c>
      <c r="X168" s="11">
        <f>VLOOKUP(A168,Data_NV!$A:$I,9,0)</f>
        <v>0.70833333333333337</v>
      </c>
      <c r="Y168" s="11">
        <f>IFERROR(TIMEVALUE(Table2[[#This Row],[Vào]]),0)</f>
        <v>0.33324074074074073</v>
      </c>
      <c r="Z168" s="11">
        <f>IFERROR(TIMEVALUE(Table2[[#This Row],[Ra]]),0)</f>
        <v>0</v>
      </c>
      <c r="AA168" t="str">
        <f t="shared" si="14"/>
        <v>x</v>
      </c>
      <c r="AB168" s="14">
        <f t="shared" si="18"/>
        <v>0</v>
      </c>
      <c r="AC168" s="14" t="str">
        <f>IF(VLOOKUP(A168,Data_NV!$A:$I,7,0)="Không","",IF(OR(AND(Y168=0,Z168=0),AND(Y168&lt;&gt;0,Z168&lt;&gt;0)),"","Quên chấm công"))</f>
        <v/>
      </c>
      <c r="AD168" s="14">
        <f>IF(VLOOKUP(A168,Data_NV!$A:$I,7,0)="Không",0,IF(AND(Y168=0,Z168=0),0,IF(X168&lt;=Z168,0,ROUNDDOWN((X168-Z168)*24*60,0))))</f>
        <v>0</v>
      </c>
      <c r="AE168" s="14">
        <f>IF(VLOOKUP(A168,Data_NV!$A:$I,6,0)="Không",0,IF(Z168&lt;=X168,0,ROUNDDOWN((Z168-X168)*24*60,0)))</f>
        <v>0</v>
      </c>
      <c r="AF168" s="29">
        <f t="shared" si="15"/>
        <v>0</v>
      </c>
      <c r="AG168" s="30" t="str">
        <f>IF(AC168="","",IF(COUNTIFS($AC$3:AC168,"Quên chấm công",$S$3:S168,S168)&gt;3,"Không chấm công do vi phạm quá 3 lần",IF(COUNTIFS($AC$3:AC168,"Quên chấm công",$S$3:S168,S168)&gt;2,"Trừ toàn bộ chuyên cần tháng do vi phạm lần 3",IF(COUNTIFS($AC$3:AC168,"Quên chấm công",$S$3:S168,S168)&gt;1,"Trừ 1/2 ngày lương",50000))))</f>
        <v/>
      </c>
      <c r="AH168" s="14" t="str">
        <f>IF(AF168=0,"",IF(COUNTIFS($AF$3:AF168,"&gt;0",$S$3:S168,S168)&gt;3,"Trừ toàn bộ chuyên cần tháng",""))</f>
        <v/>
      </c>
      <c r="AI168" s="14"/>
      <c r="AJ168" s="14"/>
    </row>
    <row r="169" spans="1:36" x14ac:dyDescent="0.25">
      <c r="A169" s="4" t="s">
        <v>304</v>
      </c>
      <c r="B169" s="1" t="s">
        <v>305</v>
      </c>
      <c r="C169" s="1" t="s">
        <v>19</v>
      </c>
      <c r="D169" s="1" t="s">
        <v>45</v>
      </c>
      <c r="E169" s="1" t="s">
        <v>21</v>
      </c>
      <c r="F169" s="1" t="s">
        <v>22</v>
      </c>
      <c r="G169" s="1" t="s">
        <v>12</v>
      </c>
      <c r="H169" s="12" t="s">
        <v>257</v>
      </c>
      <c r="I169" s="1" t="s">
        <v>23</v>
      </c>
      <c r="J169" s="1" t="s">
        <v>24</v>
      </c>
      <c r="K169" s="1" t="s">
        <v>24</v>
      </c>
      <c r="L169" s="1" t="s">
        <v>25</v>
      </c>
      <c r="M169" s="1" t="s">
        <v>24</v>
      </c>
      <c r="N169" s="1" t="s">
        <v>24</v>
      </c>
      <c r="O169" s="1" t="s">
        <v>24</v>
      </c>
      <c r="P169" s="1" t="s">
        <v>24</v>
      </c>
      <c r="Q169" s="1" t="s">
        <v>24</v>
      </c>
      <c r="R169" s="75" t="str">
        <f t="shared" si="13"/>
        <v>4545917</v>
      </c>
      <c r="S169" t="str">
        <f>VLOOKUP(A169,Data_NV!$A:$C,3,0)</f>
        <v>Trần Hạo Nhị</v>
      </c>
      <c r="T169" t="str">
        <f>VLOOKUP(A169,Data_NV!$A:$E,4,0)</f>
        <v>Kinh doanh</v>
      </c>
      <c r="U169" s="72">
        <f>DATEVALUE(Table2[[#This Row],[Ngày]])</f>
        <v>45917</v>
      </c>
      <c r="V169" t="str">
        <f>VLOOKUP(A169,Data_NV!$A:$E,5,0)</f>
        <v>Đang làm việc</v>
      </c>
      <c r="W169" s="11">
        <f>VLOOKUP(A169,Data_NV!$A:$I,8,0)</f>
        <v>0.33333333333333331</v>
      </c>
      <c r="X169" s="11">
        <f>VLOOKUP(A169,Data_NV!$A:$I,9,0)</f>
        <v>0.70833333333333337</v>
      </c>
      <c r="Y169" s="11">
        <f>IFERROR(TIMEVALUE(Table2[[#This Row],[Vào]]),0)</f>
        <v>0.33013888888888887</v>
      </c>
      <c r="Z169" s="11">
        <f>IFERROR(TIMEVALUE(Table2[[#This Row],[Ra]]),0)</f>
        <v>0</v>
      </c>
      <c r="AA169" t="str">
        <f t="shared" si="14"/>
        <v>x</v>
      </c>
      <c r="AB169" s="14">
        <f t="shared" si="18"/>
        <v>0</v>
      </c>
      <c r="AC169" s="14" t="str">
        <f>IF(VLOOKUP(A169,Data_NV!$A:$I,7,0)="Không","",IF(OR(AND(Y169=0,Z169=0),AND(Y169&lt;&gt;0,Z169&lt;&gt;0)),"","Quên chấm công"))</f>
        <v/>
      </c>
      <c r="AD169" s="14">
        <f>IF(VLOOKUP(A169,Data_NV!$A:$I,7,0)="Không",0,IF(AND(Y169=0,Z169=0),0,IF(X169&lt;=Z169,0,ROUNDDOWN((X169-Z169)*24*60,0))))</f>
        <v>0</v>
      </c>
      <c r="AE169" s="14">
        <f>IF(VLOOKUP(A169,Data_NV!$A:$I,6,0)="Không",0,IF(Z169&lt;=X169,0,ROUNDDOWN((Z169-X169)*24*60,0)))</f>
        <v>0</v>
      </c>
      <c r="AF169" s="29">
        <f t="shared" si="15"/>
        <v>0</v>
      </c>
      <c r="AG169" s="30" t="str">
        <f>IF(AC169="","",IF(COUNTIFS($AC$3:AC169,"Quên chấm công",$S$3:S169,S169)&gt;3,"Không chấm công do vi phạm quá 3 lần",IF(COUNTIFS($AC$3:AC169,"Quên chấm công",$S$3:S169,S169)&gt;2,"Trừ toàn bộ chuyên cần tháng do vi phạm lần 3",IF(COUNTIFS($AC$3:AC169,"Quên chấm công",$S$3:S169,S169)&gt;1,"Trừ 1/2 ngày lương",50000))))</f>
        <v/>
      </c>
      <c r="AH169" s="14" t="str">
        <f>IF(AF169=0,"",IF(COUNTIFS($AF$3:AF169,"&gt;0",$S$3:S169,S169)&gt;3,"Trừ toàn bộ chuyên cần tháng",""))</f>
        <v/>
      </c>
      <c r="AI169" s="14"/>
      <c r="AJ169" s="14"/>
    </row>
    <row r="170" spans="1:36" x14ac:dyDescent="0.25">
      <c r="A170" s="4" t="s">
        <v>304</v>
      </c>
      <c r="B170" s="1" t="s">
        <v>305</v>
      </c>
      <c r="C170" s="1" t="s">
        <v>19</v>
      </c>
      <c r="D170" s="1" t="s">
        <v>46</v>
      </c>
      <c r="E170" s="1" t="s">
        <v>21</v>
      </c>
      <c r="F170" s="1" t="s">
        <v>22</v>
      </c>
      <c r="G170" s="1" t="s">
        <v>12</v>
      </c>
      <c r="H170" s="12" t="s">
        <v>23</v>
      </c>
      <c r="I170" s="1" t="s">
        <v>23</v>
      </c>
      <c r="J170" s="1" t="s">
        <v>24</v>
      </c>
      <c r="K170" s="1" t="s">
        <v>24</v>
      </c>
      <c r="L170" s="1" t="s">
        <v>25</v>
      </c>
      <c r="M170" s="1" t="s">
        <v>24</v>
      </c>
      <c r="N170" s="1" t="s">
        <v>24</v>
      </c>
      <c r="O170" s="1" t="s">
        <v>24</v>
      </c>
      <c r="P170" s="1" t="s">
        <v>24</v>
      </c>
      <c r="Q170" s="1" t="s">
        <v>24</v>
      </c>
      <c r="R170" s="75" t="str">
        <f t="shared" si="13"/>
        <v>4545918</v>
      </c>
      <c r="S170" t="str">
        <f>VLOOKUP(A170,Data_NV!$A:$C,3,0)</f>
        <v>Trần Hạo Nhị</v>
      </c>
      <c r="T170" t="str">
        <f>VLOOKUP(A170,Data_NV!$A:$E,4,0)</f>
        <v>Kinh doanh</v>
      </c>
      <c r="U170" s="72">
        <f>DATEVALUE(Table2[[#This Row],[Ngày]])</f>
        <v>45918</v>
      </c>
      <c r="V170" t="str">
        <f>VLOOKUP(A170,Data_NV!$A:$E,5,0)</f>
        <v>Đang làm việc</v>
      </c>
      <c r="W170" s="11">
        <f>VLOOKUP(A170,Data_NV!$A:$I,8,0)</f>
        <v>0.33333333333333331</v>
      </c>
      <c r="X170" s="11">
        <f>VLOOKUP(A170,Data_NV!$A:$I,9,0)</f>
        <v>0.70833333333333337</v>
      </c>
      <c r="Y170" s="11">
        <f>IFERROR(TIMEVALUE(Table2[[#This Row],[Vào]]),0)</f>
        <v>0</v>
      </c>
      <c r="Z170" s="11">
        <f>IFERROR(TIMEVALUE(Table2[[#This Row],[Ra]]),0)</f>
        <v>0</v>
      </c>
      <c r="AA170" t="str">
        <f t="shared" si="14"/>
        <v/>
      </c>
      <c r="AB170" s="14">
        <f t="shared" si="18"/>
        <v>0</v>
      </c>
      <c r="AC170" s="14" t="str">
        <f>IF(VLOOKUP(A170,Data_NV!$A:$I,7,0)="Không","",IF(OR(AND(Y170=0,Z170=0),AND(Y170&lt;&gt;0,Z170&lt;&gt;0)),"","Quên chấm công"))</f>
        <v/>
      </c>
      <c r="AD170" s="14">
        <f>IF(VLOOKUP(A170,Data_NV!$A:$I,7,0)="Không",0,IF(AND(Y170=0,Z170=0),0,IF(X170&lt;=Z170,0,ROUNDDOWN((X170-Z170)*24*60,0))))</f>
        <v>0</v>
      </c>
      <c r="AE170" s="14">
        <f>IF(VLOOKUP(A170,Data_NV!$A:$I,6,0)="Không",0,IF(Z170&lt;=X170,0,ROUNDDOWN((Z170-X170)*24*60,0)))</f>
        <v>0</v>
      </c>
      <c r="AF170" s="29">
        <f t="shared" si="15"/>
        <v>0</v>
      </c>
      <c r="AG170" s="30" t="str">
        <f>IF(AC170="","",IF(COUNTIFS($AC$3:AC170,"Quên chấm công",$S$3:S170,S170)&gt;3,"Không chấm công do vi phạm quá 3 lần",IF(COUNTIFS($AC$3:AC170,"Quên chấm công",$S$3:S170,S170)&gt;2,"Trừ toàn bộ chuyên cần tháng do vi phạm lần 3",IF(COUNTIFS($AC$3:AC170,"Quên chấm công",$S$3:S170,S170)&gt;1,"Trừ 1/2 ngày lương",50000))))</f>
        <v/>
      </c>
      <c r="AH170" s="14" t="str">
        <f>IF(AF170=0,"",IF(COUNTIFS($AF$3:AF170,"&gt;0",$S$3:S170,S170)&gt;3,"Trừ toàn bộ chuyên cần tháng",""))</f>
        <v/>
      </c>
      <c r="AI170" s="14"/>
      <c r="AJ170" s="14"/>
    </row>
    <row r="171" spans="1:36" x14ac:dyDescent="0.25">
      <c r="A171" s="4" t="s">
        <v>304</v>
      </c>
      <c r="B171" s="1" t="s">
        <v>305</v>
      </c>
      <c r="C171" s="1" t="s">
        <v>19</v>
      </c>
      <c r="D171" s="1" t="s">
        <v>48</v>
      </c>
      <c r="E171" s="1" t="s">
        <v>21</v>
      </c>
      <c r="F171" s="1" t="s">
        <v>22</v>
      </c>
      <c r="G171" s="1" t="s">
        <v>12</v>
      </c>
      <c r="H171" s="12" t="s">
        <v>317</v>
      </c>
      <c r="I171" s="1" t="s">
        <v>23</v>
      </c>
      <c r="J171" s="1" t="s">
        <v>24</v>
      </c>
      <c r="K171" s="1" t="s">
        <v>24</v>
      </c>
      <c r="L171" s="1" t="s">
        <v>25</v>
      </c>
      <c r="M171" s="1" t="s">
        <v>24</v>
      </c>
      <c r="N171" s="1" t="s">
        <v>24</v>
      </c>
      <c r="O171" s="1" t="s">
        <v>24</v>
      </c>
      <c r="P171" s="1" t="s">
        <v>24</v>
      </c>
      <c r="Q171" s="1" t="s">
        <v>24</v>
      </c>
      <c r="R171" s="75" t="str">
        <f t="shared" si="13"/>
        <v>4545919</v>
      </c>
      <c r="S171" t="str">
        <f>VLOOKUP(A171,Data_NV!$A:$C,3,0)</f>
        <v>Trần Hạo Nhị</v>
      </c>
      <c r="T171" t="str">
        <f>VLOOKUP(A171,Data_NV!$A:$E,4,0)</f>
        <v>Kinh doanh</v>
      </c>
      <c r="U171" s="72">
        <f>DATEVALUE(Table2[[#This Row],[Ngày]])</f>
        <v>45919</v>
      </c>
      <c r="V171" t="str">
        <f>VLOOKUP(A171,Data_NV!$A:$E,5,0)</f>
        <v>Đang làm việc</v>
      </c>
      <c r="W171" s="11">
        <f>VLOOKUP(A171,Data_NV!$A:$I,8,0)</f>
        <v>0.33333333333333331</v>
      </c>
      <c r="X171" s="11">
        <f>VLOOKUP(A171,Data_NV!$A:$I,9,0)</f>
        <v>0.70833333333333337</v>
      </c>
      <c r="Y171" s="11">
        <f>IFERROR(TIMEVALUE(Table2[[#This Row],[Vào]]),0)</f>
        <v>0.3283449074074074</v>
      </c>
      <c r="Z171" s="11">
        <f>IFERROR(TIMEVALUE(Table2[[#This Row],[Ra]]),0)</f>
        <v>0</v>
      </c>
      <c r="AA171" t="str">
        <f t="shared" si="14"/>
        <v>x</v>
      </c>
      <c r="AB171" s="14">
        <f t="shared" si="18"/>
        <v>0</v>
      </c>
      <c r="AC171" s="14" t="str">
        <f>IF(VLOOKUP(A171,Data_NV!$A:$I,7,0)="Không","",IF(OR(AND(Y171=0,Z171=0),AND(Y171&lt;&gt;0,Z171&lt;&gt;0)),"","Quên chấm công"))</f>
        <v/>
      </c>
      <c r="AD171" s="14">
        <f>IF(VLOOKUP(A171,Data_NV!$A:$I,7,0)="Không",0,IF(AND(Y171=0,Z171=0),0,IF(X171&lt;=Z171,0,ROUNDDOWN((X171-Z171)*24*60,0))))</f>
        <v>0</v>
      </c>
      <c r="AE171" s="14">
        <f>IF(VLOOKUP(A171,Data_NV!$A:$I,6,0)="Không",0,IF(Z171&lt;=X171,0,ROUNDDOWN((Z171-X171)*24*60,0)))</f>
        <v>0</v>
      </c>
      <c r="AF171" s="29">
        <f t="shared" si="15"/>
        <v>0</v>
      </c>
      <c r="AG171" s="30" t="str">
        <f>IF(AC171="","",IF(COUNTIFS($AC$3:AC171,"Quên chấm công",$S$3:S171,S171)&gt;3,"Không chấm công do vi phạm quá 3 lần",IF(COUNTIFS($AC$3:AC171,"Quên chấm công",$S$3:S171,S171)&gt;2,"Trừ toàn bộ chuyên cần tháng do vi phạm lần 3",IF(COUNTIFS($AC$3:AC171,"Quên chấm công",$S$3:S171,S171)&gt;1,"Trừ 1/2 ngày lương",50000))))</f>
        <v/>
      </c>
      <c r="AH171" s="14" t="str">
        <f>IF(AF171=0,"",IF(COUNTIFS($AF$3:AF171,"&gt;0",$S$3:S171,S171)&gt;3,"Trừ toàn bộ chuyên cần tháng",""))</f>
        <v/>
      </c>
      <c r="AI171" s="14"/>
      <c r="AJ171" s="14"/>
    </row>
    <row r="172" spans="1:36" x14ac:dyDescent="0.25">
      <c r="A172" s="4" t="s">
        <v>304</v>
      </c>
      <c r="B172" s="1" t="s">
        <v>305</v>
      </c>
      <c r="C172" s="1" t="s">
        <v>19</v>
      </c>
      <c r="D172" s="1" t="s">
        <v>50</v>
      </c>
      <c r="E172" s="1" t="s">
        <v>21</v>
      </c>
      <c r="F172" s="1" t="s">
        <v>22</v>
      </c>
      <c r="G172" s="1" t="s">
        <v>12</v>
      </c>
      <c r="H172" s="12" t="s">
        <v>318</v>
      </c>
      <c r="I172" s="1" t="s">
        <v>23</v>
      </c>
      <c r="J172" s="1" t="s">
        <v>24</v>
      </c>
      <c r="K172" s="1" t="s">
        <v>24</v>
      </c>
      <c r="L172" s="1" t="s">
        <v>25</v>
      </c>
      <c r="M172" s="1" t="s">
        <v>24</v>
      </c>
      <c r="N172" s="1" t="s">
        <v>24</v>
      </c>
      <c r="O172" s="1" t="s">
        <v>24</v>
      </c>
      <c r="P172" s="1" t="s">
        <v>24</v>
      </c>
      <c r="Q172" s="1" t="s">
        <v>24</v>
      </c>
      <c r="R172" s="75" t="str">
        <f t="shared" si="13"/>
        <v>4545920</v>
      </c>
      <c r="S172" t="str">
        <f>VLOOKUP(A172,Data_NV!$A:$C,3,0)</f>
        <v>Trần Hạo Nhị</v>
      </c>
      <c r="T172" t="str">
        <f>VLOOKUP(A172,Data_NV!$A:$E,4,0)</f>
        <v>Kinh doanh</v>
      </c>
      <c r="U172" s="72">
        <f>DATEVALUE(Table2[[#This Row],[Ngày]])</f>
        <v>45920</v>
      </c>
      <c r="V172" t="str">
        <f>VLOOKUP(A172,Data_NV!$A:$E,5,0)</f>
        <v>Đang làm việc</v>
      </c>
      <c r="W172" s="11">
        <f>VLOOKUP(A172,Data_NV!$A:$I,8,0)</f>
        <v>0.33333333333333331</v>
      </c>
      <c r="X172" s="11">
        <f>VLOOKUP(A172,Data_NV!$A:$I,9,0)</f>
        <v>0.70833333333333337</v>
      </c>
      <c r="Y172" s="11">
        <f>IFERROR(TIMEVALUE(Table2[[#This Row],[Vào]]),0)</f>
        <v>0.31159722222222225</v>
      </c>
      <c r="Z172" s="11">
        <f>IFERROR(TIMEVALUE(Table2[[#This Row],[Ra]]),0)</f>
        <v>0</v>
      </c>
      <c r="AA172" t="str">
        <f t="shared" si="14"/>
        <v>x</v>
      </c>
      <c r="AB172" s="14">
        <f t="shared" si="18"/>
        <v>0</v>
      </c>
      <c r="AC172" s="14" t="str">
        <f>IF(VLOOKUP(A172,Data_NV!$A:$I,7,0)="Không","",IF(OR(AND(Y172=0,Z172=0),AND(Y172&lt;&gt;0,Z172&lt;&gt;0)),"","Quên chấm công"))</f>
        <v/>
      </c>
      <c r="AD172" s="14">
        <f>IF(VLOOKUP(A172,Data_NV!$A:$I,7,0)="Không",0,IF(AND(Y172=0,Z172=0),0,IF(X172&lt;=Z172,0,ROUNDDOWN((X172-Z172)*24*60,0))))</f>
        <v>0</v>
      </c>
      <c r="AE172" s="14">
        <f>IF(VLOOKUP(A172,Data_NV!$A:$I,6,0)="Không",0,IF(Z172&lt;=X172,0,ROUNDDOWN((Z172-X172)*24*60,0)))</f>
        <v>0</v>
      </c>
      <c r="AF172" s="29">
        <f t="shared" si="15"/>
        <v>0</v>
      </c>
      <c r="AG172" s="30" t="str">
        <f>IF(AC172="","",IF(COUNTIFS($AC$3:AC172,"Quên chấm công",$S$3:S172,S172)&gt;3,"Không chấm công do vi phạm quá 3 lần",IF(COUNTIFS($AC$3:AC172,"Quên chấm công",$S$3:S172,S172)&gt;2,"Trừ toàn bộ chuyên cần tháng do vi phạm lần 3",IF(COUNTIFS($AC$3:AC172,"Quên chấm công",$S$3:S172,S172)&gt;1,"Trừ 1/2 ngày lương",50000))))</f>
        <v/>
      </c>
      <c r="AH172" s="14" t="str">
        <f>IF(AF172=0,"",IF(COUNTIFS($AF$3:AF172,"&gt;0",$S$3:S172,S172)&gt;3,"Trừ toàn bộ chuyên cần tháng",""))</f>
        <v/>
      </c>
      <c r="AI172" s="14"/>
      <c r="AJ172" s="14"/>
    </row>
    <row r="173" spans="1:36" x14ac:dyDescent="0.25">
      <c r="A173" s="4" t="s">
        <v>304</v>
      </c>
      <c r="B173" s="1" t="s">
        <v>305</v>
      </c>
      <c r="C173" s="1" t="s">
        <v>19</v>
      </c>
      <c r="D173" s="1" t="s">
        <v>51</v>
      </c>
      <c r="E173" s="1" t="s">
        <v>21</v>
      </c>
      <c r="F173" s="1" t="s">
        <v>22</v>
      </c>
      <c r="G173" s="1" t="s">
        <v>12</v>
      </c>
      <c r="H173" s="12" t="s">
        <v>23</v>
      </c>
      <c r="I173" s="1" t="s">
        <v>23</v>
      </c>
      <c r="J173" s="1" t="s">
        <v>24</v>
      </c>
      <c r="K173" s="1" t="s">
        <v>24</v>
      </c>
      <c r="L173" s="1" t="s">
        <v>25</v>
      </c>
      <c r="M173" s="1" t="s">
        <v>24</v>
      </c>
      <c r="N173" s="1" t="s">
        <v>24</v>
      </c>
      <c r="O173" s="1" t="s">
        <v>24</v>
      </c>
      <c r="P173" s="1" t="s">
        <v>24</v>
      </c>
      <c r="Q173" s="1" t="s">
        <v>24</v>
      </c>
      <c r="R173" s="75" t="str">
        <f t="shared" si="13"/>
        <v>4545921</v>
      </c>
      <c r="S173" t="str">
        <f>VLOOKUP(A173,Data_NV!$A:$C,3,0)</f>
        <v>Trần Hạo Nhị</v>
      </c>
      <c r="T173" t="str">
        <f>VLOOKUP(A173,Data_NV!$A:$E,4,0)</f>
        <v>Kinh doanh</v>
      </c>
      <c r="U173" s="72">
        <f>DATEVALUE(Table2[[#This Row],[Ngày]])</f>
        <v>45921</v>
      </c>
      <c r="V173" t="str">
        <f>VLOOKUP(A173,Data_NV!$A:$E,5,0)</f>
        <v>Đang làm việc</v>
      </c>
      <c r="W173" s="11">
        <f>VLOOKUP(A173,Data_NV!$A:$I,8,0)</f>
        <v>0.33333333333333331</v>
      </c>
      <c r="X173" s="11">
        <f>VLOOKUP(A173,Data_NV!$A:$I,9,0)</f>
        <v>0.70833333333333337</v>
      </c>
      <c r="Y173" s="11">
        <f>IFERROR(TIMEVALUE(Table2[[#This Row],[Vào]]),0)</f>
        <v>0</v>
      </c>
      <c r="Z173" s="11">
        <f>IFERROR(TIMEVALUE(Table2[[#This Row],[Ra]]),0)</f>
        <v>0</v>
      </c>
      <c r="AA173" t="str">
        <f t="shared" si="14"/>
        <v/>
      </c>
      <c r="AB173" s="14">
        <f t="shared" si="18"/>
        <v>0</v>
      </c>
      <c r="AC173" s="14" t="str">
        <f>IF(VLOOKUP(A173,Data_NV!$A:$I,7,0)="Không","",IF(OR(AND(Y173=0,Z173=0),AND(Y173&lt;&gt;0,Z173&lt;&gt;0)),"","Quên chấm công"))</f>
        <v/>
      </c>
      <c r="AD173" s="14">
        <f>IF(VLOOKUP(A173,Data_NV!$A:$I,7,0)="Không",0,IF(AND(Y173=0,Z173=0),0,IF(X173&lt;=Z173,0,ROUNDDOWN((X173-Z173)*24*60,0))))</f>
        <v>0</v>
      </c>
      <c r="AE173" s="14">
        <f>IF(VLOOKUP(A173,Data_NV!$A:$I,6,0)="Không",0,IF(Z173&lt;=X173,0,ROUNDDOWN((Z173-X173)*24*60,0)))</f>
        <v>0</v>
      </c>
      <c r="AF173" s="29">
        <f t="shared" si="15"/>
        <v>0</v>
      </c>
      <c r="AG173" s="30" t="str">
        <f>IF(AC173="","",IF(COUNTIFS($AC$3:AC173,"Quên chấm công",$S$3:S173,S173)&gt;3,"Không chấm công do vi phạm quá 3 lần",IF(COUNTIFS($AC$3:AC173,"Quên chấm công",$S$3:S173,S173)&gt;2,"Trừ toàn bộ chuyên cần tháng do vi phạm lần 3",IF(COUNTIFS($AC$3:AC173,"Quên chấm công",$S$3:S173,S173)&gt;1,"Trừ 1/2 ngày lương",50000))))</f>
        <v/>
      </c>
      <c r="AH173" s="14" t="str">
        <f>IF(AF173=0,"",IF(COUNTIFS($AF$3:AF173,"&gt;0",$S$3:S173,S173)&gt;3,"Trừ toàn bộ chuyên cần tháng",""))</f>
        <v/>
      </c>
      <c r="AI173" s="14"/>
      <c r="AJ173" s="14"/>
    </row>
    <row r="174" spans="1:36" x14ac:dyDescent="0.25">
      <c r="A174" s="4" t="s">
        <v>304</v>
      </c>
      <c r="B174" s="1" t="s">
        <v>305</v>
      </c>
      <c r="C174" s="1" t="s">
        <v>19</v>
      </c>
      <c r="D174" s="1" t="s">
        <v>52</v>
      </c>
      <c r="E174" s="1" t="s">
        <v>21</v>
      </c>
      <c r="F174" s="1" t="s">
        <v>22</v>
      </c>
      <c r="G174" s="1" t="s">
        <v>12</v>
      </c>
      <c r="H174" s="12" t="s">
        <v>319</v>
      </c>
      <c r="I174" s="1" t="s">
        <v>23</v>
      </c>
      <c r="J174" s="1" t="s">
        <v>190</v>
      </c>
      <c r="K174" s="1" t="s">
        <v>24</v>
      </c>
      <c r="L174" s="1" t="s">
        <v>25</v>
      </c>
      <c r="M174" s="1" t="s">
        <v>24</v>
      </c>
      <c r="N174" s="1" t="s">
        <v>24</v>
      </c>
      <c r="O174" s="1" t="s">
        <v>24</v>
      </c>
      <c r="P174" s="1" t="s">
        <v>24</v>
      </c>
      <c r="Q174" s="1" t="s">
        <v>24</v>
      </c>
      <c r="R174" s="75" t="str">
        <f t="shared" si="13"/>
        <v>4545922</v>
      </c>
      <c r="S174" t="str">
        <f>VLOOKUP(A174,Data_NV!$A:$C,3,0)</f>
        <v>Trần Hạo Nhị</v>
      </c>
      <c r="T174" t="str">
        <f>VLOOKUP(A174,Data_NV!$A:$E,4,0)</f>
        <v>Kinh doanh</v>
      </c>
      <c r="U174" s="72">
        <f>DATEVALUE(Table2[[#This Row],[Ngày]])</f>
        <v>45922</v>
      </c>
      <c r="V174" t="str">
        <f>VLOOKUP(A174,Data_NV!$A:$E,5,0)</f>
        <v>Đang làm việc</v>
      </c>
      <c r="W174" s="11">
        <f>VLOOKUP(A174,Data_NV!$A:$I,8,0)</f>
        <v>0.33333333333333331</v>
      </c>
      <c r="X174" s="11">
        <f>VLOOKUP(A174,Data_NV!$A:$I,9,0)</f>
        <v>0.70833333333333337</v>
      </c>
      <c r="Y174" s="11">
        <f>IFERROR(TIMEVALUE(Table2[[#This Row],[Vào]]),0)</f>
        <v>0.33556712962962965</v>
      </c>
      <c r="Z174" s="11">
        <f>IFERROR(TIMEVALUE(Table2[[#This Row],[Ra]]),0)</f>
        <v>0</v>
      </c>
      <c r="AA174" t="str">
        <f t="shared" si="14"/>
        <v>x</v>
      </c>
      <c r="AB174" s="14">
        <f t="shared" si="18"/>
        <v>3</v>
      </c>
      <c r="AC174" s="14" t="str">
        <f>IF(VLOOKUP(A174,Data_NV!$A:$I,7,0)="Không","",IF(OR(AND(Y174=0,Z174=0),AND(Y174&lt;&gt;0,Z174&lt;&gt;0)),"","Quên chấm công"))</f>
        <v/>
      </c>
      <c r="AD174" s="14">
        <f>IF(VLOOKUP(A174,Data_NV!$A:$I,7,0)="Không",0,IF(AND(Y174=0,Z174=0),0,IF(X174&lt;=Z174,0,ROUNDDOWN((X174-Z174)*24*60,0))))</f>
        <v>0</v>
      </c>
      <c r="AE174" s="14">
        <f>IF(VLOOKUP(A174,Data_NV!$A:$I,6,0)="Không",0,IF(Z174&lt;=X174,0,ROUNDDOWN((Z174-X174)*24*60,0)))</f>
        <v>0</v>
      </c>
      <c r="AF174" s="29">
        <f t="shared" si="15"/>
        <v>0</v>
      </c>
      <c r="AG174" s="30" t="str">
        <f>IF(AC174="","",IF(COUNTIFS($AC$3:AC174,"Quên chấm công",$S$3:S174,S174)&gt;3,"Không chấm công do vi phạm quá 3 lần",IF(COUNTIFS($AC$3:AC174,"Quên chấm công",$S$3:S174,S174)&gt;2,"Trừ toàn bộ chuyên cần tháng do vi phạm lần 3",IF(COUNTIFS($AC$3:AC174,"Quên chấm công",$S$3:S174,S174)&gt;1,"Trừ 1/2 ngày lương",50000))))</f>
        <v/>
      </c>
      <c r="AH174" s="14" t="str">
        <f>IF(AF174=0,"",IF(COUNTIFS($AF$3:AF174,"&gt;0",$S$3:S174,S174)&gt;3,"Trừ toàn bộ chuyên cần tháng",""))</f>
        <v/>
      </c>
      <c r="AI174" s="14"/>
      <c r="AJ174" s="14"/>
    </row>
    <row r="175" spans="1:36" x14ac:dyDescent="0.25">
      <c r="A175" s="4" t="s">
        <v>304</v>
      </c>
      <c r="B175" s="1" t="s">
        <v>305</v>
      </c>
      <c r="C175" s="1" t="s">
        <v>19</v>
      </c>
      <c r="D175" s="1" t="s">
        <v>54</v>
      </c>
      <c r="E175" s="1" t="s">
        <v>21</v>
      </c>
      <c r="F175" s="1" t="s">
        <v>22</v>
      </c>
      <c r="G175" s="1" t="s">
        <v>12</v>
      </c>
      <c r="H175" s="12" t="s">
        <v>320</v>
      </c>
      <c r="I175" s="1" t="s">
        <v>23</v>
      </c>
      <c r="J175" s="1" t="s">
        <v>24</v>
      </c>
      <c r="K175" s="1" t="s">
        <v>24</v>
      </c>
      <c r="L175" s="1" t="s">
        <v>25</v>
      </c>
      <c r="M175" s="1" t="s">
        <v>24</v>
      </c>
      <c r="N175" s="1" t="s">
        <v>24</v>
      </c>
      <c r="O175" s="1" t="s">
        <v>24</v>
      </c>
      <c r="P175" s="1" t="s">
        <v>24</v>
      </c>
      <c r="Q175" s="1" t="s">
        <v>24</v>
      </c>
      <c r="R175" s="75" t="str">
        <f t="shared" si="13"/>
        <v>4545923</v>
      </c>
      <c r="S175" t="str">
        <f>VLOOKUP(A175,Data_NV!$A:$C,3,0)</f>
        <v>Trần Hạo Nhị</v>
      </c>
      <c r="T175" t="str">
        <f>VLOOKUP(A175,Data_NV!$A:$E,4,0)</f>
        <v>Kinh doanh</v>
      </c>
      <c r="U175" s="72">
        <f>DATEVALUE(Table2[[#This Row],[Ngày]])</f>
        <v>45923</v>
      </c>
      <c r="V175" t="str">
        <f>VLOOKUP(A175,Data_NV!$A:$E,5,0)</f>
        <v>Đang làm việc</v>
      </c>
      <c r="W175" s="11">
        <f>VLOOKUP(A175,Data_NV!$A:$I,8,0)</f>
        <v>0.33333333333333331</v>
      </c>
      <c r="X175" s="11">
        <f>VLOOKUP(A175,Data_NV!$A:$I,9,0)</f>
        <v>0.70833333333333337</v>
      </c>
      <c r="Y175" s="11">
        <f>IFERROR(TIMEVALUE(Table2[[#This Row],[Vào]]),0)</f>
        <v>0.33150462962962962</v>
      </c>
      <c r="Z175" s="11">
        <f>IFERROR(TIMEVALUE(Table2[[#This Row],[Ra]]),0)</f>
        <v>0</v>
      </c>
      <c r="AA175" t="str">
        <f t="shared" si="14"/>
        <v>x</v>
      </c>
      <c r="AB175" s="14">
        <f t="shared" si="18"/>
        <v>0</v>
      </c>
      <c r="AC175" s="14" t="str">
        <f>IF(VLOOKUP(A175,Data_NV!$A:$I,7,0)="Không","",IF(OR(AND(Y175=0,Z175=0),AND(Y175&lt;&gt;0,Z175&lt;&gt;0)),"","Quên chấm công"))</f>
        <v/>
      </c>
      <c r="AD175" s="14">
        <f>IF(VLOOKUP(A175,Data_NV!$A:$I,7,0)="Không",0,IF(AND(Y175=0,Z175=0),0,IF(X175&lt;=Z175,0,ROUNDDOWN((X175-Z175)*24*60,0))))</f>
        <v>0</v>
      </c>
      <c r="AE175" s="14">
        <f>IF(VLOOKUP(A175,Data_NV!$A:$I,6,0)="Không",0,IF(Z175&lt;=X175,0,ROUNDDOWN((Z175-X175)*24*60,0)))</f>
        <v>0</v>
      </c>
      <c r="AF175" s="29">
        <f t="shared" si="15"/>
        <v>0</v>
      </c>
      <c r="AG175" s="30" t="str">
        <f>IF(AC175="","",IF(COUNTIFS($AC$3:AC175,"Quên chấm công",$S$3:S175,S175)&gt;3,"Không chấm công do vi phạm quá 3 lần",IF(COUNTIFS($AC$3:AC175,"Quên chấm công",$S$3:S175,S175)&gt;2,"Trừ toàn bộ chuyên cần tháng do vi phạm lần 3",IF(COUNTIFS($AC$3:AC175,"Quên chấm công",$S$3:S175,S175)&gt;1,"Trừ 1/2 ngày lương",50000))))</f>
        <v/>
      </c>
      <c r="AH175" s="14" t="str">
        <f>IF(AF175=0,"",IF(COUNTIFS($AF$3:AF175,"&gt;0",$S$3:S175,S175)&gt;3,"Trừ toàn bộ chuyên cần tháng",""))</f>
        <v/>
      </c>
      <c r="AI175" s="14"/>
      <c r="AJ175" s="14"/>
    </row>
    <row r="176" spans="1:36" x14ac:dyDescent="0.25">
      <c r="A176" s="4" t="s">
        <v>304</v>
      </c>
      <c r="B176" s="1" t="s">
        <v>305</v>
      </c>
      <c r="C176" s="1" t="s">
        <v>19</v>
      </c>
      <c r="D176" s="1" t="s">
        <v>55</v>
      </c>
      <c r="E176" s="1" t="s">
        <v>21</v>
      </c>
      <c r="F176" s="1" t="s">
        <v>22</v>
      </c>
      <c r="G176" s="1" t="s">
        <v>12</v>
      </c>
      <c r="H176" s="12" t="s">
        <v>321</v>
      </c>
      <c r="I176" s="1" t="s">
        <v>23</v>
      </c>
      <c r="J176" s="1" t="s">
        <v>24</v>
      </c>
      <c r="K176" s="1" t="s">
        <v>24</v>
      </c>
      <c r="L176" s="1" t="s">
        <v>25</v>
      </c>
      <c r="M176" s="1" t="s">
        <v>24</v>
      </c>
      <c r="N176" s="1" t="s">
        <v>24</v>
      </c>
      <c r="O176" s="1" t="s">
        <v>24</v>
      </c>
      <c r="P176" s="1" t="s">
        <v>24</v>
      </c>
      <c r="Q176" s="1" t="s">
        <v>24</v>
      </c>
      <c r="R176" s="75" t="str">
        <f t="shared" si="13"/>
        <v>4545924</v>
      </c>
      <c r="S176" t="str">
        <f>VLOOKUP(A176,Data_NV!$A:$C,3,0)</f>
        <v>Trần Hạo Nhị</v>
      </c>
      <c r="T176" t="str">
        <f>VLOOKUP(A176,Data_NV!$A:$E,4,0)</f>
        <v>Kinh doanh</v>
      </c>
      <c r="U176" s="72">
        <f>DATEVALUE(Table2[[#This Row],[Ngày]])</f>
        <v>45924</v>
      </c>
      <c r="V176" t="str">
        <f>VLOOKUP(A176,Data_NV!$A:$E,5,0)</f>
        <v>Đang làm việc</v>
      </c>
      <c r="W176" s="11">
        <f>VLOOKUP(A176,Data_NV!$A:$I,8,0)</f>
        <v>0.33333333333333331</v>
      </c>
      <c r="X176" s="11">
        <f>VLOOKUP(A176,Data_NV!$A:$I,9,0)</f>
        <v>0.70833333333333337</v>
      </c>
      <c r="Y176" s="11">
        <f>IFERROR(TIMEVALUE(Table2[[#This Row],[Vào]]),0)</f>
        <v>0.3319097222222222</v>
      </c>
      <c r="Z176" s="11">
        <f>IFERROR(TIMEVALUE(Table2[[#This Row],[Ra]]),0)</f>
        <v>0</v>
      </c>
      <c r="AA176" t="str">
        <f t="shared" si="14"/>
        <v>x</v>
      </c>
      <c r="AB176" s="14">
        <f t="shared" si="18"/>
        <v>0</v>
      </c>
      <c r="AC176" s="14" t="str">
        <f>IF(VLOOKUP(A176,Data_NV!$A:$I,7,0)="Không","",IF(OR(AND(Y176=0,Z176=0),AND(Y176&lt;&gt;0,Z176&lt;&gt;0)),"","Quên chấm công"))</f>
        <v/>
      </c>
      <c r="AD176" s="14">
        <f>IF(VLOOKUP(A176,Data_NV!$A:$I,7,0)="Không",0,IF(AND(Y176=0,Z176=0),0,IF(X176&lt;=Z176,0,ROUNDDOWN((X176-Z176)*24*60,0))))</f>
        <v>0</v>
      </c>
      <c r="AE176" s="14">
        <f>IF(VLOOKUP(A176,Data_NV!$A:$I,6,0)="Không",0,IF(Z176&lt;=X176,0,ROUNDDOWN((Z176-X176)*24*60,0)))</f>
        <v>0</v>
      </c>
      <c r="AF176" s="29">
        <f t="shared" si="15"/>
        <v>0</v>
      </c>
      <c r="AG176" s="30" t="str">
        <f>IF(AC176="","",IF(COUNTIFS($AC$3:AC176,"Quên chấm công",$S$3:S176,S176)&gt;3,"Không chấm công do vi phạm quá 3 lần",IF(COUNTIFS($AC$3:AC176,"Quên chấm công",$S$3:S176,S176)&gt;2,"Trừ toàn bộ chuyên cần tháng do vi phạm lần 3",IF(COUNTIFS($AC$3:AC176,"Quên chấm công",$S$3:S176,S176)&gt;1,"Trừ 1/2 ngày lương",50000))))</f>
        <v/>
      </c>
      <c r="AH176" s="14" t="str">
        <f>IF(AF176=0,"",IF(COUNTIFS($AF$3:AF176,"&gt;0",$S$3:S176,S176)&gt;3,"Trừ toàn bộ chuyên cần tháng",""))</f>
        <v/>
      </c>
      <c r="AI176" s="14"/>
      <c r="AJ176" s="14"/>
    </row>
    <row r="177" spans="1:36" x14ac:dyDescent="0.25">
      <c r="A177" s="4" t="s">
        <v>304</v>
      </c>
      <c r="B177" s="1" t="s">
        <v>305</v>
      </c>
      <c r="C177" s="1" t="s">
        <v>19</v>
      </c>
      <c r="D177" s="1" t="s">
        <v>56</v>
      </c>
      <c r="E177" s="1" t="s">
        <v>21</v>
      </c>
      <c r="F177" s="1" t="s">
        <v>22</v>
      </c>
      <c r="G177" s="1" t="s">
        <v>12</v>
      </c>
      <c r="H177" s="12" t="s">
        <v>322</v>
      </c>
      <c r="I177" s="1" t="s">
        <v>23</v>
      </c>
      <c r="J177" s="1" t="s">
        <v>190</v>
      </c>
      <c r="K177" s="1" t="s">
        <v>24</v>
      </c>
      <c r="L177" s="1" t="s">
        <v>25</v>
      </c>
      <c r="M177" s="1" t="s">
        <v>24</v>
      </c>
      <c r="N177" s="1" t="s">
        <v>24</v>
      </c>
      <c r="O177" s="1" t="s">
        <v>24</v>
      </c>
      <c r="P177" s="1" t="s">
        <v>24</v>
      </c>
      <c r="Q177" s="1" t="s">
        <v>24</v>
      </c>
      <c r="R177" s="75" t="str">
        <f t="shared" si="13"/>
        <v>4545925</v>
      </c>
      <c r="S177" t="str">
        <f>VLOOKUP(A177,Data_NV!$A:$C,3,0)</f>
        <v>Trần Hạo Nhị</v>
      </c>
      <c r="T177" t="str">
        <f>VLOOKUP(A177,Data_NV!$A:$E,4,0)</f>
        <v>Kinh doanh</v>
      </c>
      <c r="U177" s="72">
        <f>DATEVALUE(Table2[[#This Row],[Ngày]])</f>
        <v>45925</v>
      </c>
      <c r="V177" t="str">
        <f>VLOOKUP(A177,Data_NV!$A:$E,5,0)</f>
        <v>Đang làm việc</v>
      </c>
      <c r="W177" s="11">
        <f>VLOOKUP(A177,Data_NV!$A:$I,8,0)</f>
        <v>0.33333333333333331</v>
      </c>
      <c r="X177" s="11">
        <f>VLOOKUP(A177,Data_NV!$A:$I,9,0)</f>
        <v>0.70833333333333337</v>
      </c>
      <c r="Y177" s="11">
        <f>IFERROR(TIMEVALUE(Table2[[#This Row],[Vào]]),0)</f>
        <v>0.33512731481481484</v>
      </c>
      <c r="Z177" s="11">
        <f>IFERROR(TIMEVALUE(Table2[[#This Row],[Ra]]),0)</f>
        <v>0</v>
      </c>
      <c r="AA177" t="str">
        <f t="shared" si="14"/>
        <v>x</v>
      </c>
      <c r="AB177" s="14">
        <f t="shared" si="18"/>
        <v>2</v>
      </c>
      <c r="AC177" s="14" t="str">
        <f>IF(VLOOKUP(A177,Data_NV!$A:$I,7,0)="Không","",IF(OR(AND(Y177=0,Z177=0),AND(Y177&lt;&gt;0,Z177&lt;&gt;0)),"","Quên chấm công"))</f>
        <v/>
      </c>
      <c r="AD177" s="14">
        <f>IF(VLOOKUP(A177,Data_NV!$A:$I,7,0)="Không",0,IF(AND(Y177=0,Z177=0),0,IF(X177&lt;=Z177,0,ROUNDDOWN((X177-Z177)*24*60,0))))</f>
        <v>0</v>
      </c>
      <c r="AE177" s="14">
        <f>IF(VLOOKUP(A177,Data_NV!$A:$I,6,0)="Không",0,IF(Z177&lt;=X177,0,ROUNDDOWN((Z177-X177)*24*60,0)))</f>
        <v>0</v>
      </c>
      <c r="AF177" s="29">
        <f t="shared" si="15"/>
        <v>0</v>
      </c>
      <c r="AG177" s="30" t="str">
        <f>IF(AC177="","",IF(COUNTIFS($AC$3:AC177,"Quên chấm công",$S$3:S177,S177)&gt;3,"Không chấm công do vi phạm quá 3 lần",IF(COUNTIFS($AC$3:AC177,"Quên chấm công",$S$3:S177,S177)&gt;2,"Trừ toàn bộ chuyên cần tháng do vi phạm lần 3",IF(COUNTIFS($AC$3:AC177,"Quên chấm công",$S$3:S177,S177)&gt;1,"Trừ 1/2 ngày lương",50000))))</f>
        <v/>
      </c>
      <c r="AH177" s="14" t="str">
        <f>IF(AF177=0,"",IF(COUNTIFS($AF$3:AF177,"&gt;0",$S$3:S177,S177)&gt;3,"Trừ toàn bộ chuyên cần tháng",""))</f>
        <v/>
      </c>
      <c r="AI177" s="14"/>
      <c r="AJ177" s="14"/>
    </row>
    <row r="178" spans="1:36" x14ac:dyDescent="0.25">
      <c r="A178" s="4" t="s">
        <v>304</v>
      </c>
      <c r="B178" s="1" t="s">
        <v>305</v>
      </c>
      <c r="C178" s="1" t="s">
        <v>19</v>
      </c>
      <c r="D178" s="1" t="s">
        <v>57</v>
      </c>
      <c r="E178" s="1" t="s">
        <v>21</v>
      </c>
      <c r="F178" s="1" t="s">
        <v>22</v>
      </c>
      <c r="G178" s="1" t="s">
        <v>12</v>
      </c>
      <c r="H178" s="12" t="s">
        <v>323</v>
      </c>
      <c r="I178" s="1" t="s">
        <v>23</v>
      </c>
      <c r="J178" s="1" t="s">
        <v>181</v>
      </c>
      <c r="K178" s="1" t="s">
        <v>24</v>
      </c>
      <c r="L178" s="1" t="s">
        <v>25</v>
      </c>
      <c r="M178" s="1" t="s">
        <v>24</v>
      </c>
      <c r="N178" s="1" t="s">
        <v>24</v>
      </c>
      <c r="O178" s="1" t="s">
        <v>24</v>
      </c>
      <c r="P178" s="1" t="s">
        <v>24</v>
      </c>
      <c r="Q178" s="1" t="s">
        <v>24</v>
      </c>
      <c r="R178" s="75" t="str">
        <f t="shared" si="13"/>
        <v>4545926</v>
      </c>
      <c r="S178" t="str">
        <f>VLOOKUP(A178,Data_NV!$A:$C,3,0)</f>
        <v>Trần Hạo Nhị</v>
      </c>
      <c r="T178" t="str">
        <f>VLOOKUP(A178,Data_NV!$A:$E,4,0)</f>
        <v>Kinh doanh</v>
      </c>
      <c r="U178" s="72">
        <f>DATEVALUE(Table2[[#This Row],[Ngày]])</f>
        <v>45926</v>
      </c>
      <c r="V178" t="str">
        <f>VLOOKUP(A178,Data_NV!$A:$E,5,0)</f>
        <v>Đang làm việc</v>
      </c>
      <c r="W178" s="11">
        <f>VLOOKUP(A178,Data_NV!$A:$I,8,0)</f>
        <v>0.33333333333333331</v>
      </c>
      <c r="X178" s="11">
        <f>VLOOKUP(A178,Data_NV!$A:$I,9,0)</f>
        <v>0.70833333333333337</v>
      </c>
      <c r="Y178" s="11">
        <f>IFERROR(TIMEVALUE(Table2[[#This Row],[Vào]]),0)</f>
        <v>0.33688657407407407</v>
      </c>
      <c r="Z178" s="11">
        <f>IFERROR(TIMEVALUE(Table2[[#This Row],[Ra]]),0)</f>
        <v>0</v>
      </c>
      <c r="AA178" t="str">
        <f t="shared" si="14"/>
        <v>x</v>
      </c>
      <c r="AB178" s="14">
        <f t="shared" si="18"/>
        <v>5</v>
      </c>
      <c r="AC178" s="14" t="str">
        <f>IF(VLOOKUP(A178,Data_NV!$A:$I,7,0)="Không","",IF(OR(AND(Y178=0,Z178=0),AND(Y178&lt;&gt;0,Z178&lt;&gt;0)),"","Quên chấm công"))</f>
        <v/>
      </c>
      <c r="AD178" s="14">
        <f>IF(VLOOKUP(A178,Data_NV!$A:$I,7,0)="Không",0,IF(AND(Y178=0,Z178=0),0,IF(X178&lt;=Z178,0,ROUNDDOWN((X178-Z178)*24*60,0))))</f>
        <v>0</v>
      </c>
      <c r="AE178" s="14">
        <f>IF(VLOOKUP(A178,Data_NV!$A:$I,6,0)="Không",0,IF(Z178&lt;=X178,0,ROUNDDOWN((Z178-X178)*24*60,0)))</f>
        <v>0</v>
      </c>
      <c r="AF178" s="29">
        <f t="shared" si="15"/>
        <v>0</v>
      </c>
      <c r="AG178" s="30" t="str">
        <f>IF(AC178="","",IF(COUNTIFS($AC$3:AC178,"Quên chấm công",$S$3:S178,S178)&gt;3,"Không chấm công do vi phạm quá 3 lần",IF(COUNTIFS($AC$3:AC178,"Quên chấm công",$S$3:S178,S178)&gt;2,"Trừ toàn bộ chuyên cần tháng do vi phạm lần 3",IF(COUNTIFS($AC$3:AC178,"Quên chấm công",$S$3:S178,S178)&gt;1,"Trừ 1/2 ngày lương",50000))))</f>
        <v/>
      </c>
      <c r="AH178" s="14" t="str">
        <f>IF(AF178=0,"",IF(COUNTIFS($AF$3:AF178,"&gt;0",$S$3:S178,S178)&gt;3,"Trừ toàn bộ chuyên cần tháng",""))</f>
        <v/>
      </c>
      <c r="AI178" s="14"/>
      <c r="AJ178" s="14"/>
    </row>
    <row r="179" spans="1:36" x14ac:dyDescent="0.25">
      <c r="A179" s="4" t="s">
        <v>304</v>
      </c>
      <c r="B179" s="1" t="s">
        <v>305</v>
      </c>
      <c r="C179" s="1" t="s">
        <v>19</v>
      </c>
      <c r="D179" s="1" t="s">
        <v>58</v>
      </c>
      <c r="E179" s="1" t="s">
        <v>21</v>
      </c>
      <c r="F179" s="1" t="s">
        <v>22</v>
      </c>
      <c r="G179" s="1" t="s">
        <v>12</v>
      </c>
      <c r="H179" s="12" t="s">
        <v>23</v>
      </c>
      <c r="I179" s="1" t="s">
        <v>23</v>
      </c>
      <c r="J179" s="1" t="s">
        <v>24</v>
      </c>
      <c r="K179" s="1" t="s">
        <v>24</v>
      </c>
      <c r="L179" s="1" t="s">
        <v>25</v>
      </c>
      <c r="M179" s="1" t="s">
        <v>24</v>
      </c>
      <c r="N179" s="1" t="s">
        <v>24</v>
      </c>
      <c r="O179" s="1" t="s">
        <v>24</v>
      </c>
      <c r="P179" s="1" t="s">
        <v>24</v>
      </c>
      <c r="Q179" s="1" t="s">
        <v>24</v>
      </c>
      <c r="R179" s="75" t="str">
        <f t="shared" si="13"/>
        <v>4545927</v>
      </c>
      <c r="S179" t="str">
        <f>VLOOKUP(A179,Data_NV!$A:$C,3,0)</f>
        <v>Trần Hạo Nhị</v>
      </c>
      <c r="T179" t="str">
        <f>VLOOKUP(A179,Data_NV!$A:$E,4,0)</f>
        <v>Kinh doanh</v>
      </c>
      <c r="U179" s="72">
        <f>DATEVALUE(Table2[[#This Row],[Ngày]])</f>
        <v>45927</v>
      </c>
      <c r="V179" t="str">
        <f>VLOOKUP(A179,Data_NV!$A:$E,5,0)</f>
        <v>Đang làm việc</v>
      </c>
      <c r="W179" s="11">
        <f>VLOOKUP(A179,Data_NV!$A:$I,8,0)</f>
        <v>0.33333333333333331</v>
      </c>
      <c r="X179" s="11">
        <f>VLOOKUP(A179,Data_NV!$A:$I,9,0)</f>
        <v>0.70833333333333337</v>
      </c>
      <c r="Y179" s="11">
        <f>IFERROR(TIMEVALUE(Table2[[#This Row],[Vào]]),0)</f>
        <v>0</v>
      </c>
      <c r="Z179" s="11">
        <f>IFERROR(TIMEVALUE(Table2[[#This Row],[Ra]]),0)</f>
        <v>0</v>
      </c>
      <c r="AA179" t="str">
        <f t="shared" si="14"/>
        <v/>
      </c>
      <c r="AB179" s="14">
        <f t="shared" si="18"/>
        <v>0</v>
      </c>
      <c r="AC179" s="14" t="str">
        <f>IF(VLOOKUP(A179,Data_NV!$A:$I,7,0)="Không","",IF(OR(AND(Y179=0,Z179=0),AND(Y179&lt;&gt;0,Z179&lt;&gt;0)),"","Quên chấm công"))</f>
        <v/>
      </c>
      <c r="AD179" s="14">
        <f>IF(VLOOKUP(A179,Data_NV!$A:$I,7,0)="Không",0,IF(AND(Y179=0,Z179=0),0,IF(X179&lt;=Z179,0,ROUNDDOWN((X179-Z179)*24*60,0))))</f>
        <v>0</v>
      </c>
      <c r="AE179" s="14">
        <f>IF(VLOOKUP(A179,Data_NV!$A:$I,6,0)="Không",0,IF(Z179&lt;=X179,0,ROUNDDOWN((Z179-X179)*24*60,0)))</f>
        <v>0</v>
      </c>
      <c r="AF179" s="29">
        <f t="shared" si="15"/>
        <v>0</v>
      </c>
      <c r="AG179" s="30" t="str">
        <f>IF(AC179="","",IF(COUNTIFS($AC$3:AC179,"Quên chấm công",$S$3:S179,S179)&gt;3,"Không chấm công do vi phạm quá 3 lần",IF(COUNTIFS($AC$3:AC179,"Quên chấm công",$S$3:S179,S179)&gt;2,"Trừ toàn bộ chuyên cần tháng do vi phạm lần 3",IF(COUNTIFS($AC$3:AC179,"Quên chấm công",$S$3:S179,S179)&gt;1,"Trừ 1/2 ngày lương",50000))))</f>
        <v/>
      </c>
      <c r="AH179" s="14" t="str">
        <f>IF(AF179=0,"",IF(COUNTIFS($AF$3:AF179,"&gt;0",$S$3:S179,S179)&gt;3,"Trừ toàn bộ chuyên cần tháng",""))</f>
        <v/>
      </c>
      <c r="AI179" s="14"/>
      <c r="AJ179" s="14"/>
    </row>
    <row r="180" spans="1:36" x14ac:dyDescent="0.25">
      <c r="A180" s="4" t="s">
        <v>304</v>
      </c>
      <c r="B180" s="1" t="s">
        <v>305</v>
      </c>
      <c r="C180" s="1" t="s">
        <v>19</v>
      </c>
      <c r="D180" s="1" t="s">
        <v>59</v>
      </c>
      <c r="E180" s="1" t="s">
        <v>21</v>
      </c>
      <c r="F180" s="1" t="s">
        <v>22</v>
      </c>
      <c r="G180" s="1" t="s">
        <v>12</v>
      </c>
      <c r="H180" s="12" t="s">
        <v>23</v>
      </c>
      <c r="I180" s="1" t="s">
        <v>23</v>
      </c>
      <c r="J180" s="1" t="s">
        <v>24</v>
      </c>
      <c r="K180" s="1" t="s">
        <v>24</v>
      </c>
      <c r="L180" s="1" t="s">
        <v>25</v>
      </c>
      <c r="M180" s="1" t="s">
        <v>24</v>
      </c>
      <c r="N180" s="1" t="s">
        <v>24</v>
      </c>
      <c r="O180" s="1" t="s">
        <v>24</v>
      </c>
      <c r="P180" s="1" t="s">
        <v>24</v>
      </c>
      <c r="Q180" s="1" t="s">
        <v>24</v>
      </c>
      <c r="R180" s="75" t="str">
        <f t="shared" si="13"/>
        <v>4545928</v>
      </c>
      <c r="S180" t="str">
        <f>VLOOKUP(A180,Data_NV!$A:$C,3,0)</f>
        <v>Trần Hạo Nhị</v>
      </c>
      <c r="T180" t="str">
        <f>VLOOKUP(A180,Data_NV!$A:$E,4,0)</f>
        <v>Kinh doanh</v>
      </c>
      <c r="U180" s="72">
        <f>DATEVALUE(Table2[[#This Row],[Ngày]])</f>
        <v>45928</v>
      </c>
      <c r="V180" t="str">
        <f>VLOOKUP(A180,Data_NV!$A:$E,5,0)</f>
        <v>Đang làm việc</v>
      </c>
      <c r="W180" s="11">
        <f>VLOOKUP(A180,Data_NV!$A:$I,8,0)</f>
        <v>0.33333333333333331</v>
      </c>
      <c r="X180" s="11">
        <f>VLOOKUP(A180,Data_NV!$A:$I,9,0)</f>
        <v>0.70833333333333337</v>
      </c>
      <c r="Y180" s="11">
        <f>IFERROR(TIMEVALUE(Table2[[#This Row],[Vào]]),0)</f>
        <v>0</v>
      </c>
      <c r="Z180" s="11">
        <f>IFERROR(TIMEVALUE(Table2[[#This Row],[Ra]]),0)</f>
        <v>0</v>
      </c>
      <c r="AA180" t="str">
        <f t="shared" si="14"/>
        <v/>
      </c>
      <c r="AB180" s="14">
        <f t="shared" si="18"/>
        <v>0</v>
      </c>
      <c r="AC180" s="14" t="str">
        <f>IF(VLOOKUP(A180,Data_NV!$A:$I,7,0)="Không","",IF(OR(AND(Y180=0,Z180=0),AND(Y180&lt;&gt;0,Z180&lt;&gt;0)),"","Quên chấm công"))</f>
        <v/>
      </c>
      <c r="AD180" s="14">
        <f>IF(VLOOKUP(A180,Data_NV!$A:$I,7,0)="Không",0,IF(AND(Y180=0,Z180=0),0,IF(X180&lt;=Z180,0,ROUNDDOWN((X180-Z180)*24*60,0))))</f>
        <v>0</v>
      </c>
      <c r="AE180" s="14">
        <f>IF(VLOOKUP(A180,Data_NV!$A:$I,6,0)="Không",0,IF(Z180&lt;=X180,0,ROUNDDOWN((Z180-X180)*24*60,0)))</f>
        <v>0</v>
      </c>
      <c r="AF180" s="29">
        <f t="shared" si="15"/>
        <v>0</v>
      </c>
      <c r="AG180" s="30" t="str">
        <f>IF(AC180="","",IF(COUNTIFS($AC$3:AC180,"Quên chấm công",$S$3:S180,S180)&gt;3,"Không chấm công do vi phạm quá 3 lần",IF(COUNTIFS($AC$3:AC180,"Quên chấm công",$S$3:S180,S180)&gt;2,"Trừ toàn bộ chuyên cần tháng do vi phạm lần 3",IF(COUNTIFS($AC$3:AC180,"Quên chấm công",$S$3:S180,S180)&gt;1,"Trừ 1/2 ngày lương",50000))))</f>
        <v/>
      </c>
      <c r="AH180" s="14" t="str">
        <f>IF(AF180=0,"",IF(COUNTIFS($AF$3:AF180,"&gt;0",$S$3:S180,S180)&gt;3,"Trừ toàn bộ chuyên cần tháng",""))</f>
        <v/>
      </c>
      <c r="AI180" s="14"/>
      <c r="AJ180" s="14"/>
    </row>
    <row r="181" spans="1:36" x14ac:dyDescent="0.25">
      <c r="A181" s="4" t="s">
        <v>304</v>
      </c>
      <c r="B181" s="1" t="s">
        <v>305</v>
      </c>
      <c r="C181" s="1" t="s">
        <v>19</v>
      </c>
      <c r="D181" s="1" t="s">
        <v>60</v>
      </c>
      <c r="E181" s="1" t="s">
        <v>21</v>
      </c>
      <c r="F181" s="1" t="s">
        <v>22</v>
      </c>
      <c r="G181" s="1" t="s">
        <v>12</v>
      </c>
      <c r="H181" s="12" t="s">
        <v>324</v>
      </c>
      <c r="I181" s="1" t="s">
        <v>23</v>
      </c>
      <c r="J181" s="1" t="s">
        <v>135</v>
      </c>
      <c r="K181" s="1" t="s">
        <v>24</v>
      </c>
      <c r="L181" s="1" t="s">
        <v>25</v>
      </c>
      <c r="M181" s="1" t="s">
        <v>24</v>
      </c>
      <c r="N181" s="1" t="s">
        <v>24</v>
      </c>
      <c r="O181" s="1" t="s">
        <v>24</v>
      </c>
      <c r="P181" s="1" t="s">
        <v>24</v>
      </c>
      <c r="Q181" s="1" t="s">
        <v>24</v>
      </c>
      <c r="R181" s="75" t="str">
        <f t="shared" si="13"/>
        <v>4545929</v>
      </c>
      <c r="S181" t="str">
        <f>VLOOKUP(A181,Data_NV!$A:$C,3,0)</f>
        <v>Trần Hạo Nhị</v>
      </c>
      <c r="T181" t="str">
        <f>VLOOKUP(A181,Data_NV!$A:$E,4,0)</f>
        <v>Kinh doanh</v>
      </c>
      <c r="U181" s="72">
        <f>DATEVALUE(Table2[[#This Row],[Ngày]])</f>
        <v>45929</v>
      </c>
      <c r="V181" t="str">
        <f>VLOOKUP(A181,Data_NV!$A:$E,5,0)</f>
        <v>Đang làm việc</v>
      </c>
      <c r="W181" s="11">
        <f>VLOOKUP(A181,Data_NV!$A:$I,8,0)</f>
        <v>0.33333333333333331</v>
      </c>
      <c r="X181" s="11">
        <f>VLOOKUP(A181,Data_NV!$A:$I,9,0)</f>
        <v>0.70833333333333337</v>
      </c>
      <c r="Y181" s="11">
        <f>IFERROR(TIMEVALUE(Table2[[#This Row],[Vào]]),0)</f>
        <v>0.33368055555555554</v>
      </c>
      <c r="Z181" s="11">
        <f>IFERROR(TIMEVALUE(Table2[[#This Row],[Ra]]),0)</f>
        <v>0</v>
      </c>
      <c r="AA181" t="str">
        <f t="shared" si="14"/>
        <v>x</v>
      </c>
      <c r="AB181" s="14">
        <f t="shared" si="18"/>
        <v>0</v>
      </c>
      <c r="AC181" s="14" t="str">
        <f>IF(VLOOKUP(A181,Data_NV!$A:$I,7,0)="Không","",IF(OR(AND(Y181=0,Z181=0),AND(Y181&lt;&gt;0,Z181&lt;&gt;0)),"","Quên chấm công"))</f>
        <v/>
      </c>
      <c r="AD181" s="14">
        <f>IF(VLOOKUP(A181,Data_NV!$A:$I,7,0)="Không",0,IF(AND(Y181=0,Z181=0),0,IF(X181&lt;=Z181,0,ROUNDDOWN((X181-Z181)*24*60,0))))</f>
        <v>0</v>
      </c>
      <c r="AE181" s="14">
        <f>IF(VLOOKUP(A181,Data_NV!$A:$I,6,0)="Không",0,IF(Z181&lt;=X181,0,ROUNDDOWN((Z181-X181)*24*60,0)))</f>
        <v>0</v>
      </c>
      <c r="AF181" s="29">
        <f t="shared" si="15"/>
        <v>0</v>
      </c>
      <c r="AG181" s="30" t="str">
        <f>IF(AC181="","",IF(COUNTIFS($AC$3:AC181,"Quên chấm công",$S$3:S181,S181)&gt;3,"Không chấm công do vi phạm quá 3 lần",IF(COUNTIFS($AC$3:AC181,"Quên chấm công",$S$3:S181,S181)&gt;2,"Trừ toàn bộ chuyên cần tháng do vi phạm lần 3",IF(COUNTIFS($AC$3:AC181,"Quên chấm công",$S$3:S181,S181)&gt;1,"Trừ 1/2 ngày lương",50000))))</f>
        <v/>
      </c>
      <c r="AH181" s="14" t="str">
        <f>IF(AF181=0,"",IF(COUNTIFS($AF$3:AF181,"&gt;0",$S$3:S181,S181)&gt;3,"Trừ toàn bộ chuyên cần tháng",""))</f>
        <v/>
      </c>
      <c r="AI181" s="14"/>
      <c r="AJ181" s="14"/>
    </row>
    <row r="182" spans="1:36" x14ac:dyDescent="0.25">
      <c r="A182" s="4" t="s">
        <v>304</v>
      </c>
      <c r="B182" s="1" t="s">
        <v>305</v>
      </c>
      <c r="C182" s="1" t="s">
        <v>19</v>
      </c>
      <c r="D182" s="1" t="s">
        <v>61</v>
      </c>
      <c r="E182" s="1" t="s">
        <v>21</v>
      </c>
      <c r="F182" s="1" t="s">
        <v>22</v>
      </c>
      <c r="G182" s="1" t="s">
        <v>12</v>
      </c>
      <c r="H182" s="12" t="s">
        <v>325</v>
      </c>
      <c r="I182" s="1" t="s">
        <v>23</v>
      </c>
      <c r="J182" s="1" t="s">
        <v>181</v>
      </c>
      <c r="K182" s="1" t="s">
        <v>24</v>
      </c>
      <c r="L182" s="1" t="s">
        <v>25</v>
      </c>
      <c r="M182" s="1" t="s">
        <v>24</v>
      </c>
      <c r="N182" s="1" t="s">
        <v>24</v>
      </c>
      <c r="O182" s="1" t="s">
        <v>24</v>
      </c>
      <c r="P182" s="1" t="s">
        <v>24</v>
      </c>
      <c r="Q182" s="1" t="s">
        <v>24</v>
      </c>
      <c r="R182" s="75" t="str">
        <f t="shared" si="13"/>
        <v>4545930</v>
      </c>
      <c r="S182" t="str">
        <f>VLOOKUP(A182,Data_NV!$A:$C,3,0)</f>
        <v>Trần Hạo Nhị</v>
      </c>
      <c r="T182" t="str">
        <f>VLOOKUP(A182,Data_NV!$A:$E,4,0)</f>
        <v>Kinh doanh</v>
      </c>
      <c r="U182" s="72">
        <f>DATEVALUE(Table2[[#This Row],[Ngày]])</f>
        <v>45930</v>
      </c>
      <c r="V182" t="str">
        <f>VLOOKUP(A182,Data_NV!$A:$E,5,0)</f>
        <v>Đang làm việc</v>
      </c>
      <c r="W182" s="11">
        <f>VLOOKUP(A182,Data_NV!$A:$I,8,0)</f>
        <v>0.33333333333333331</v>
      </c>
      <c r="X182" s="11">
        <f>VLOOKUP(A182,Data_NV!$A:$I,9,0)</f>
        <v>0.70833333333333337</v>
      </c>
      <c r="Y182" s="11">
        <f>IFERROR(TIMEVALUE(Table2[[#This Row],[Vào]]),0)</f>
        <v>0.33699074074074076</v>
      </c>
      <c r="Z182" s="11">
        <f>IFERROR(TIMEVALUE(Table2[[#This Row],[Ra]]),0)</f>
        <v>0</v>
      </c>
      <c r="AA182" t="str">
        <f t="shared" si="14"/>
        <v>x</v>
      </c>
      <c r="AB182" s="14">
        <f t="shared" si="18"/>
        <v>5</v>
      </c>
      <c r="AC182" s="14" t="str">
        <f>IF(VLOOKUP(A182,Data_NV!$A:$I,7,0)="Không","",IF(OR(AND(Y182=0,Z182=0),AND(Y182&lt;&gt;0,Z182&lt;&gt;0)),"","Quên chấm công"))</f>
        <v/>
      </c>
      <c r="AD182" s="14">
        <f>IF(VLOOKUP(A182,Data_NV!$A:$I,7,0)="Không",0,IF(AND(Y182=0,Z182=0),0,IF(X182&lt;=Z182,0,ROUNDDOWN((X182-Z182)*24*60,0))))</f>
        <v>0</v>
      </c>
      <c r="AE182" s="14">
        <f>IF(VLOOKUP(A182,Data_NV!$A:$I,6,0)="Không",0,IF(Z182&lt;=X182,0,ROUNDDOWN((Z182-X182)*24*60,0)))</f>
        <v>0</v>
      </c>
      <c r="AF182" s="29">
        <f t="shared" si="15"/>
        <v>0</v>
      </c>
      <c r="AG182" s="30" t="str">
        <f>IF(AC182="","",IF(COUNTIFS($AC$3:AC182,"Quên chấm công",$S$3:S182,S182)&gt;3,"Không chấm công do vi phạm quá 3 lần",IF(COUNTIFS($AC$3:AC182,"Quên chấm công",$S$3:S182,S182)&gt;2,"Trừ toàn bộ chuyên cần tháng do vi phạm lần 3",IF(COUNTIFS($AC$3:AC182,"Quên chấm công",$S$3:S182,S182)&gt;1,"Trừ 1/2 ngày lương",50000))))</f>
        <v/>
      </c>
      <c r="AH182" s="14" t="str">
        <f>IF(AF182=0,"",IF(COUNTIFS($AF$3:AF182,"&gt;0",$S$3:S182,S182)&gt;3,"Trừ toàn bộ chuyên cần tháng",""))</f>
        <v/>
      </c>
      <c r="AI182" s="14"/>
      <c r="AJ182" s="14"/>
    </row>
    <row r="183" spans="1:36" x14ac:dyDescent="0.25">
      <c r="A183" s="4" t="s">
        <v>338</v>
      </c>
      <c r="B183" s="1" t="s">
        <v>339</v>
      </c>
      <c r="C183" s="1" t="s">
        <v>19</v>
      </c>
      <c r="D183" s="1" t="s">
        <v>20</v>
      </c>
      <c r="E183" s="1" t="s">
        <v>21</v>
      </c>
      <c r="F183" s="1" t="s">
        <v>22</v>
      </c>
      <c r="G183" s="1" t="s">
        <v>12</v>
      </c>
      <c r="H183" s="12" t="s">
        <v>23</v>
      </c>
      <c r="I183" s="1" t="s">
        <v>23</v>
      </c>
      <c r="J183" s="1" t="s">
        <v>24</v>
      </c>
      <c r="K183" s="1" t="s">
        <v>24</v>
      </c>
      <c r="L183" s="1" t="s">
        <v>25</v>
      </c>
      <c r="M183" s="1" t="s">
        <v>24</v>
      </c>
      <c r="N183" s="1" t="s">
        <v>24</v>
      </c>
      <c r="O183" s="1" t="s">
        <v>24</v>
      </c>
      <c r="P183" s="1" t="s">
        <v>24</v>
      </c>
      <c r="Q183" s="1" t="s">
        <v>24</v>
      </c>
      <c r="R183" s="75" t="str">
        <f t="shared" ref="R183:R188" si="19">A183&amp;U183</f>
        <v>5145901</v>
      </c>
      <c r="S183" t="str">
        <f>VLOOKUP(A183,Data_NV!$A:$C,3,0)</f>
        <v>Dương Thị Kim Hồng</v>
      </c>
      <c r="T183" t="str">
        <f>VLOOKUP(A183,Data_NV!$A:$E,4,0)</f>
        <v>Kinh doanh</v>
      </c>
      <c r="U183" s="72">
        <f>DATEVALUE(Table2[[#This Row],[Ngày]])</f>
        <v>45901</v>
      </c>
      <c r="V183" t="str">
        <f>VLOOKUP(A183,Data_NV!$A:$E,5,0)</f>
        <v>Đang làm việc</v>
      </c>
      <c r="W183" s="11">
        <f>VLOOKUP(A183,Data_NV!$A:$I,8,0)</f>
        <v>0.33333333333333331</v>
      </c>
      <c r="X183" s="11">
        <f>VLOOKUP(A183,Data_NV!$A:$I,9,0)</f>
        <v>0.70833333333333337</v>
      </c>
      <c r="Y183" s="11">
        <f>IFERROR(TIMEVALUE(Table2[[#This Row],[Vào]]),0)</f>
        <v>0</v>
      </c>
      <c r="Z183" s="11">
        <f>IFERROR(TIMEVALUE(Table2[[#This Row],[Ra]]),0)</f>
        <v>0</v>
      </c>
      <c r="AA183" s="10" t="s">
        <v>508</v>
      </c>
      <c r="AB183" s="14">
        <f t="shared" ref="AB183:AB210" si="20">IF(Y183&lt;=W183,0,ROUNDDOWN((Y183-W183)*24*60,0))</f>
        <v>0</v>
      </c>
      <c r="AC183" s="14" t="str">
        <f>IF(VLOOKUP(A183,Data_NV!$A:$I,7,0)="Không","",IF(OR(AND(Y183=0,Z183=0),AND(Y183&lt;&gt;0,Z183&lt;&gt;0)),"","Quên chấm công"))</f>
        <v/>
      </c>
      <c r="AD183" s="14">
        <f>IF(VLOOKUP(A183,Data_NV!$A:$I,7,0)="Không",0,IF(AND(Y183=0,Z183=0),0,IF(X183&lt;=Z183,0,ROUNDDOWN((X183-Z183)*24*60,0))))</f>
        <v>0</v>
      </c>
      <c r="AE183" s="14">
        <f>IF(VLOOKUP(A183,Data_NV!$A:$I,6,0)="Không",0,IF(Z183&lt;=X183,0,ROUNDDOWN((Z183-X183)*24*60,0)))</f>
        <v>0</v>
      </c>
      <c r="AF183" s="29">
        <f t="shared" ref="AF183:AF188" si="21">IF(AB183&gt;60,"Trừ 1/2 ngày lương",IF(AB183&gt;15,50000,IF(AB183&gt;6,30000,0)))</f>
        <v>0</v>
      </c>
      <c r="AG183" s="30" t="str">
        <f>IF(AC183="","",IF(COUNTIFS($AC$3:AC183,"Quên chấm công",$S$3:S183,S183)&gt;3,"Không chấm công do vi phạm quá 3 lần",IF(COUNTIFS($AC$3:AC183,"Quên chấm công",$S$3:S183,S183)&gt;2,"Trừ toàn bộ chuyên cần tháng do vi phạm lần 3",IF(COUNTIFS($AC$3:AC183,"Quên chấm công",$S$3:S183,S183)&gt;1,"Trừ 1/2 ngày lương",50000))))</f>
        <v/>
      </c>
      <c r="AH183" s="14" t="str">
        <f>IF(AF183=0,"",IF(COUNTIFS($AF$3:AF183,"&gt;0",$S$3:S183,S183)&gt;3,"Trừ toàn bộ chuyên cần tháng",""))</f>
        <v/>
      </c>
      <c r="AI183" s="14"/>
      <c r="AJ183" s="14"/>
    </row>
    <row r="184" spans="1:36" x14ac:dyDescent="0.25">
      <c r="A184" s="4" t="s">
        <v>338</v>
      </c>
      <c r="B184" s="1" t="s">
        <v>339</v>
      </c>
      <c r="C184" s="1" t="s">
        <v>19</v>
      </c>
      <c r="D184" s="1" t="s">
        <v>26</v>
      </c>
      <c r="E184" s="1" t="s">
        <v>21</v>
      </c>
      <c r="F184" s="1" t="s">
        <v>22</v>
      </c>
      <c r="G184" s="1" t="s">
        <v>12</v>
      </c>
      <c r="H184" s="12" t="s">
        <v>23</v>
      </c>
      <c r="I184" s="1" t="s">
        <v>23</v>
      </c>
      <c r="J184" s="1" t="s">
        <v>24</v>
      </c>
      <c r="K184" s="1" t="s">
        <v>24</v>
      </c>
      <c r="L184" s="1" t="s">
        <v>25</v>
      </c>
      <c r="M184" s="1" t="s">
        <v>24</v>
      </c>
      <c r="N184" s="1" t="s">
        <v>24</v>
      </c>
      <c r="O184" s="1" t="s">
        <v>24</v>
      </c>
      <c r="P184" s="1" t="s">
        <v>24</v>
      </c>
      <c r="Q184" s="1" t="s">
        <v>24</v>
      </c>
      <c r="R184" s="75" t="str">
        <f t="shared" si="19"/>
        <v>5145902</v>
      </c>
      <c r="S184" t="str">
        <f>VLOOKUP(A184,Data_NV!$A:$C,3,0)</f>
        <v>Dương Thị Kim Hồng</v>
      </c>
      <c r="T184" t="str">
        <f>VLOOKUP(A184,Data_NV!$A:$E,4,0)</f>
        <v>Kinh doanh</v>
      </c>
      <c r="U184" s="72">
        <f>DATEVALUE(Table2[[#This Row],[Ngày]])</f>
        <v>45902</v>
      </c>
      <c r="V184" t="str">
        <f>VLOOKUP(A184,Data_NV!$A:$E,5,0)</f>
        <v>Đang làm việc</v>
      </c>
      <c r="W184" s="11">
        <f>VLOOKUP(A184,Data_NV!$A:$I,8,0)</f>
        <v>0.33333333333333331</v>
      </c>
      <c r="X184" s="11">
        <f>VLOOKUP(A184,Data_NV!$A:$I,9,0)</f>
        <v>0.70833333333333337</v>
      </c>
      <c r="Y184" s="11">
        <f>IFERROR(TIMEVALUE(Table2[[#This Row],[Vào]]),0)</f>
        <v>0</v>
      </c>
      <c r="Z184" s="11">
        <f>IFERROR(TIMEVALUE(Table2[[#This Row],[Ra]]),0)</f>
        <v>0</v>
      </c>
      <c r="AA184" s="10" t="s">
        <v>508</v>
      </c>
      <c r="AB184" s="14">
        <f t="shared" si="20"/>
        <v>0</v>
      </c>
      <c r="AC184" s="14" t="str">
        <f>IF(VLOOKUP(A184,Data_NV!$A:$I,7,0)="Không","",IF(OR(AND(Y184=0,Z184=0),AND(Y184&lt;&gt;0,Z184&lt;&gt;0)),"","Quên chấm công"))</f>
        <v/>
      </c>
      <c r="AD184" s="14">
        <f>IF(VLOOKUP(A184,Data_NV!$A:$I,7,0)="Không",0,IF(AND(Y184=0,Z184=0),0,IF(X184&lt;=Z184,0,ROUNDDOWN((X184-Z184)*24*60,0))))</f>
        <v>0</v>
      </c>
      <c r="AE184" s="14">
        <f>IF(VLOOKUP(A184,Data_NV!$A:$I,6,0)="Không",0,IF(Z184&lt;=X184,0,ROUNDDOWN((Z184-X184)*24*60,0)))</f>
        <v>0</v>
      </c>
      <c r="AF184" s="29">
        <f t="shared" si="21"/>
        <v>0</v>
      </c>
      <c r="AG184" s="30" t="str">
        <f>IF(AC184="","",IF(COUNTIFS($AC$3:AC184,"Quên chấm công",$S$3:S184,S184)&gt;3,"Không chấm công do vi phạm quá 3 lần",IF(COUNTIFS($AC$3:AC184,"Quên chấm công",$S$3:S184,S184)&gt;2,"Trừ toàn bộ chuyên cần tháng do vi phạm lần 3",IF(COUNTIFS($AC$3:AC184,"Quên chấm công",$S$3:S184,S184)&gt;1,"Trừ 1/2 ngày lương",50000))))</f>
        <v/>
      </c>
      <c r="AH184" s="14" t="str">
        <f>IF(AF184=0,"",IF(COUNTIFS($AF$3:AF184,"&gt;0",$S$3:S184,S184)&gt;3,"Trừ toàn bộ chuyên cần tháng",""))</f>
        <v/>
      </c>
      <c r="AI184" s="14"/>
      <c r="AJ184" s="14"/>
    </row>
    <row r="185" spans="1:36" x14ac:dyDescent="0.25">
      <c r="A185" s="4" t="s">
        <v>338</v>
      </c>
      <c r="B185" s="1" t="s">
        <v>339</v>
      </c>
      <c r="C185" s="1" t="s">
        <v>19</v>
      </c>
      <c r="D185" s="1" t="s">
        <v>27</v>
      </c>
      <c r="E185" s="1" t="s">
        <v>21</v>
      </c>
      <c r="F185" s="1" t="s">
        <v>22</v>
      </c>
      <c r="G185" s="1" t="s">
        <v>12</v>
      </c>
      <c r="H185" s="12" t="s">
        <v>340</v>
      </c>
      <c r="I185" s="1" t="s">
        <v>23</v>
      </c>
      <c r="J185" s="1" t="s">
        <v>24</v>
      </c>
      <c r="K185" s="1" t="s">
        <v>24</v>
      </c>
      <c r="L185" s="1" t="s">
        <v>25</v>
      </c>
      <c r="M185" s="1" t="s">
        <v>24</v>
      </c>
      <c r="N185" s="1" t="s">
        <v>24</v>
      </c>
      <c r="O185" s="1" t="s">
        <v>24</v>
      </c>
      <c r="P185" s="1" t="s">
        <v>24</v>
      </c>
      <c r="Q185" s="1" t="s">
        <v>24</v>
      </c>
      <c r="R185" s="75" t="str">
        <f t="shared" si="19"/>
        <v>5145903</v>
      </c>
      <c r="S185" t="str">
        <f>VLOOKUP(A185,Data_NV!$A:$C,3,0)</f>
        <v>Dương Thị Kim Hồng</v>
      </c>
      <c r="T185" t="str">
        <f>VLOOKUP(A185,Data_NV!$A:$E,4,0)</f>
        <v>Kinh doanh</v>
      </c>
      <c r="U185" s="72">
        <f>DATEVALUE(Table2[[#This Row],[Ngày]])</f>
        <v>45903</v>
      </c>
      <c r="V185" t="str">
        <f>VLOOKUP(A185,Data_NV!$A:$E,5,0)</f>
        <v>Đang làm việc</v>
      </c>
      <c r="W185" s="11">
        <f>VLOOKUP(A185,Data_NV!$A:$I,8,0)</f>
        <v>0.33333333333333331</v>
      </c>
      <c r="X185" s="11">
        <f>VLOOKUP(A185,Data_NV!$A:$I,9,0)</f>
        <v>0.70833333333333337</v>
      </c>
      <c r="Y185" s="11">
        <f>IFERROR(TIMEVALUE(Table2[[#This Row],[Vào]]),0)</f>
        <v>0.3334375</v>
      </c>
      <c r="Z185" s="11">
        <f>IFERROR(TIMEVALUE(Table2[[#This Row],[Ra]]),0)</f>
        <v>0</v>
      </c>
      <c r="AA185" t="str">
        <f t="shared" ref="AA185:AA188" si="22">IF(OR(AND(Y185=0,Z185=0),AG185="Không chấm công do vi phạm quá 3 lần"),"",IF(OR(AG185="Trừ 1/2 ngày lương",AF185="Trừ 1/2 ngày lương",AB185&gt;=60),"1/2","x"))</f>
        <v>x</v>
      </c>
      <c r="AB185" s="14">
        <f t="shared" si="20"/>
        <v>0</v>
      </c>
      <c r="AC185" s="14" t="str">
        <f>IF(VLOOKUP(A185,Data_NV!$A:$I,7,0)="Không","",IF(OR(AND(Y185=0,Z185=0),AND(Y185&lt;&gt;0,Z185&lt;&gt;0)),"","Quên chấm công"))</f>
        <v/>
      </c>
      <c r="AD185" s="14">
        <f>IF(VLOOKUP(A185,Data_NV!$A:$I,7,0)="Không",0,IF(AND(Y185=0,Z185=0),0,IF(X185&lt;=Z185,0,ROUNDDOWN((X185-Z185)*24*60,0))))</f>
        <v>0</v>
      </c>
      <c r="AE185" s="14">
        <f>IF(VLOOKUP(A185,Data_NV!$A:$I,6,0)="Không",0,IF(Z185&lt;=X185,0,ROUNDDOWN((Z185-X185)*24*60,0)))</f>
        <v>0</v>
      </c>
      <c r="AF185" s="29">
        <f t="shared" si="21"/>
        <v>0</v>
      </c>
      <c r="AG185" s="30" t="str">
        <f>IF(AC185="","",IF(COUNTIFS($AC$3:AC185,"Quên chấm công",$S$3:S185,S185)&gt;3,"Không chấm công do vi phạm quá 3 lần",IF(COUNTIFS($AC$3:AC185,"Quên chấm công",$S$3:S185,S185)&gt;2,"Trừ toàn bộ chuyên cần tháng do vi phạm lần 3",IF(COUNTIFS($AC$3:AC185,"Quên chấm công",$S$3:S185,S185)&gt;1,"Trừ 1/2 ngày lương",50000))))</f>
        <v/>
      </c>
      <c r="AH185" s="14" t="str">
        <f>IF(AF185=0,"",IF(COUNTIFS($AF$3:AF185,"&gt;0",$S$3:S185,S185)&gt;3,"Trừ toàn bộ chuyên cần tháng",""))</f>
        <v/>
      </c>
      <c r="AI185" s="14"/>
      <c r="AJ185" s="14"/>
    </row>
    <row r="186" spans="1:36" x14ac:dyDescent="0.25">
      <c r="A186" s="4" t="s">
        <v>338</v>
      </c>
      <c r="B186" s="1" t="s">
        <v>339</v>
      </c>
      <c r="C186" s="1" t="s">
        <v>19</v>
      </c>
      <c r="D186" s="1" t="s">
        <v>31</v>
      </c>
      <c r="E186" s="1" t="s">
        <v>21</v>
      </c>
      <c r="F186" s="1" t="s">
        <v>22</v>
      </c>
      <c r="G186" s="1" t="s">
        <v>12</v>
      </c>
      <c r="H186" s="12" t="s">
        <v>341</v>
      </c>
      <c r="I186" s="1" t="s">
        <v>23</v>
      </c>
      <c r="J186" s="1" t="s">
        <v>135</v>
      </c>
      <c r="K186" s="1" t="s">
        <v>24</v>
      </c>
      <c r="L186" s="1" t="s">
        <v>25</v>
      </c>
      <c r="M186" s="1" t="s">
        <v>24</v>
      </c>
      <c r="N186" s="1" t="s">
        <v>24</v>
      </c>
      <c r="O186" s="1" t="s">
        <v>24</v>
      </c>
      <c r="P186" s="1" t="s">
        <v>24</v>
      </c>
      <c r="Q186" s="1" t="s">
        <v>24</v>
      </c>
      <c r="R186" s="75" t="str">
        <f t="shared" si="19"/>
        <v>5145904</v>
      </c>
      <c r="S186" t="str">
        <f>VLOOKUP(A186,Data_NV!$A:$C,3,0)</f>
        <v>Dương Thị Kim Hồng</v>
      </c>
      <c r="T186" t="str">
        <f>VLOOKUP(A186,Data_NV!$A:$E,4,0)</f>
        <v>Kinh doanh</v>
      </c>
      <c r="U186" s="72">
        <f>DATEVALUE(Table2[[#This Row],[Ngày]])</f>
        <v>45904</v>
      </c>
      <c r="V186" t="str">
        <f>VLOOKUP(A186,Data_NV!$A:$E,5,0)</f>
        <v>Đang làm việc</v>
      </c>
      <c r="W186" s="11">
        <f>VLOOKUP(A186,Data_NV!$A:$I,8,0)</f>
        <v>0.33333333333333331</v>
      </c>
      <c r="X186" s="11">
        <f>VLOOKUP(A186,Data_NV!$A:$I,9,0)</f>
        <v>0.70833333333333337</v>
      </c>
      <c r="Y186" s="11">
        <f>IFERROR(TIMEVALUE(Table2[[#This Row],[Vào]]),0)</f>
        <v>0.33423611111111112</v>
      </c>
      <c r="Z186" s="11">
        <f>IFERROR(TIMEVALUE(Table2[[#This Row],[Ra]]),0)</f>
        <v>0</v>
      </c>
      <c r="AA186" t="str">
        <f t="shared" si="22"/>
        <v>x</v>
      </c>
      <c r="AB186" s="14">
        <f t="shared" si="20"/>
        <v>1</v>
      </c>
      <c r="AC186" s="14" t="str">
        <f>IF(VLOOKUP(A186,Data_NV!$A:$I,7,0)="Không","",IF(OR(AND(Y186=0,Z186=0),AND(Y186&lt;&gt;0,Z186&lt;&gt;0)),"","Quên chấm công"))</f>
        <v/>
      </c>
      <c r="AD186" s="14">
        <f>IF(VLOOKUP(A186,Data_NV!$A:$I,7,0)="Không",0,IF(AND(Y186=0,Z186=0),0,IF(X186&lt;=Z186,0,ROUNDDOWN((X186-Z186)*24*60,0))))</f>
        <v>0</v>
      </c>
      <c r="AE186" s="14">
        <f>IF(VLOOKUP(A186,Data_NV!$A:$I,6,0)="Không",0,IF(Z186&lt;=X186,0,ROUNDDOWN((Z186-X186)*24*60,0)))</f>
        <v>0</v>
      </c>
      <c r="AF186" s="29">
        <f t="shared" si="21"/>
        <v>0</v>
      </c>
      <c r="AG186" s="30" t="str">
        <f>IF(AC186="","",IF(COUNTIFS($AC$3:AC186,"Quên chấm công",$S$3:S186,S186)&gt;3,"Không chấm công do vi phạm quá 3 lần",IF(COUNTIFS($AC$3:AC186,"Quên chấm công",$S$3:S186,S186)&gt;2,"Trừ toàn bộ chuyên cần tháng do vi phạm lần 3",IF(COUNTIFS($AC$3:AC186,"Quên chấm công",$S$3:S186,S186)&gt;1,"Trừ 1/2 ngày lương",50000))))</f>
        <v/>
      </c>
      <c r="AH186" s="14" t="str">
        <f>IF(AF186=0,"",IF(COUNTIFS($AF$3:AF186,"&gt;0",$S$3:S186,S186)&gt;3,"Trừ toàn bộ chuyên cần tháng",""))</f>
        <v/>
      </c>
      <c r="AI186" s="14"/>
      <c r="AJ186" s="14"/>
    </row>
    <row r="187" spans="1:36" x14ac:dyDescent="0.25">
      <c r="A187" s="4" t="s">
        <v>338</v>
      </c>
      <c r="B187" s="1" t="s">
        <v>339</v>
      </c>
      <c r="C187" s="1" t="s">
        <v>19</v>
      </c>
      <c r="D187" s="1" t="s">
        <v>32</v>
      </c>
      <c r="E187" s="1" t="s">
        <v>21</v>
      </c>
      <c r="F187" s="1" t="s">
        <v>22</v>
      </c>
      <c r="G187" s="1" t="s">
        <v>12</v>
      </c>
      <c r="H187" s="12" t="s">
        <v>342</v>
      </c>
      <c r="I187" s="1" t="s">
        <v>23</v>
      </c>
      <c r="J187" s="1" t="s">
        <v>24</v>
      </c>
      <c r="K187" s="1" t="s">
        <v>24</v>
      </c>
      <c r="L187" s="1" t="s">
        <v>25</v>
      </c>
      <c r="M187" s="1" t="s">
        <v>24</v>
      </c>
      <c r="N187" s="1" t="s">
        <v>24</v>
      </c>
      <c r="O187" s="1" t="s">
        <v>24</v>
      </c>
      <c r="P187" s="1" t="s">
        <v>24</v>
      </c>
      <c r="Q187" s="1" t="s">
        <v>24</v>
      </c>
      <c r="R187" s="75" t="str">
        <f t="shared" si="19"/>
        <v>5145905</v>
      </c>
      <c r="S187" t="str">
        <f>VLOOKUP(A187,Data_NV!$A:$C,3,0)</f>
        <v>Dương Thị Kim Hồng</v>
      </c>
      <c r="T187" t="str">
        <f>VLOOKUP(A187,Data_NV!$A:$E,4,0)</f>
        <v>Kinh doanh</v>
      </c>
      <c r="U187" s="72">
        <f>DATEVALUE(Table2[[#This Row],[Ngày]])</f>
        <v>45905</v>
      </c>
      <c r="V187" t="str">
        <f>VLOOKUP(A187,Data_NV!$A:$E,5,0)</f>
        <v>Đang làm việc</v>
      </c>
      <c r="W187" s="11">
        <f>VLOOKUP(A187,Data_NV!$A:$I,8,0)</f>
        <v>0.33333333333333331</v>
      </c>
      <c r="X187" s="11">
        <f>VLOOKUP(A187,Data_NV!$A:$I,9,0)</f>
        <v>0.70833333333333337</v>
      </c>
      <c r="Y187" s="11">
        <f>IFERROR(TIMEVALUE(Table2[[#This Row],[Vào]]),0)</f>
        <v>0.33098379629629632</v>
      </c>
      <c r="Z187" s="11">
        <f>IFERROR(TIMEVALUE(Table2[[#This Row],[Ra]]),0)</f>
        <v>0</v>
      </c>
      <c r="AA187" t="str">
        <f t="shared" si="22"/>
        <v>x</v>
      </c>
      <c r="AB187" s="14">
        <f t="shared" si="20"/>
        <v>0</v>
      </c>
      <c r="AC187" s="14" t="str">
        <f>IF(VLOOKUP(A187,Data_NV!$A:$I,7,0)="Không","",IF(OR(AND(Y187=0,Z187=0),AND(Y187&lt;&gt;0,Z187&lt;&gt;0)),"","Quên chấm công"))</f>
        <v/>
      </c>
      <c r="AD187" s="14">
        <f>IF(VLOOKUP(A187,Data_NV!$A:$I,7,0)="Không",0,IF(AND(Y187=0,Z187=0),0,IF(X187&lt;=Z187,0,ROUNDDOWN((X187-Z187)*24*60,0))))</f>
        <v>0</v>
      </c>
      <c r="AE187" s="14">
        <f>IF(VLOOKUP(A187,Data_NV!$A:$I,6,0)="Không",0,IF(Z187&lt;=X187,0,ROUNDDOWN((Z187-X187)*24*60,0)))</f>
        <v>0</v>
      </c>
      <c r="AF187" s="29">
        <f t="shared" si="21"/>
        <v>0</v>
      </c>
      <c r="AG187" s="30" t="str">
        <f>IF(AC187="","",IF(COUNTIFS($AC$3:AC187,"Quên chấm công",$S$3:S187,S187)&gt;3,"Không chấm công do vi phạm quá 3 lần",IF(COUNTIFS($AC$3:AC187,"Quên chấm công",$S$3:S187,S187)&gt;2,"Trừ toàn bộ chuyên cần tháng do vi phạm lần 3",IF(COUNTIFS($AC$3:AC187,"Quên chấm công",$S$3:S187,S187)&gt;1,"Trừ 1/2 ngày lương",50000))))</f>
        <v/>
      </c>
      <c r="AH187" s="14" t="str">
        <f>IF(AF187=0,"",IF(COUNTIFS($AF$3:AF187,"&gt;0",$S$3:S187,S187)&gt;3,"Trừ toàn bộ chuyên cần tháng",""))</f>
        <v/>
      </c>
      <c r="AI187" s="14"/>
      <c r="AJ187" s="14"/>
    </row>
    <row r="188" spans="1:36" x14ac:dyDescent="0.25">
      <c r="A188" s="4" t="s">
        <v>338</v>
      </c>
      <c r="B188" s="1" t="s">
        <v>339</v>
      </c>
      <c r="C188" s="1" t="s">
        <v>19</v>
      </c>
      <c r="D188" s="1" t="s">
        <v>33</v>
      </c>
      <c r="E188" s="1" t="s">
        <v>21</v>
      </c>
      <c r="F188" s="1" t="s">
        <v>22</v>
      </c>
      <c r="G188" s="1" t="s">
        <v>12</v>
      </c>
      <c r="H188" s="12" t="s">
        <v>123</v>
      </c>
      <c r="I188" s="1" t="s">
        <v>23</v>
      </c>
      <c r="J188" s="1" t="s">
        <v>24</v>
      </c>
      <c r="K188" s="1" t="s">
        <v>24</v>
      </c>
      <c r="L188" s="1" t="s">
        <v>25</v>
      </c>
      <c r="M188" s="1" t="s">
        <v>24</v>
      </c>
      <c r="N188" s="1" t="s">
        <v>24</v>
      </c>
      <c r="O188" s="1" t="s">
        <v>24</v>
      </c>
      <c r="P188" s="1" t="s">
        <v>24</v>
      </c>
      <c r="Q188" s="1" t="s">
        <v>24</v>
      </c>
      <c r="R188" s="75" t="str">
        <f t="shared" si="19"/>
        <v>5145906</v>
      </c>
      <c r="S188" t="str">
        <f>VLOOKUP(A188,Data_NV!$A:$C,3,0)</f>
        <v>Dương Thị Kim Hồng</v>
      </c>
      <c r="T188" t="str">
        <f>VLOOKUP(A188,Data_NV!$A:$E,4,0)</f>
        <v>Kinh doanh</v>
      </c>
      <c r="U188" s="72">
        <f>DATEVALUE(Table2[[#This Row],[Ngày]])</f>
        <v>45906</v>
      </c>
      <c r="V188" t="str">
        <f>VLOOKUP(A188,Data_NV!$A:$E,5,0)</f>
        <v>Đang làm việc</v>
      </c>
      <c r="W188" s="11">
        <f>VLOOKUP(A188,Data_NV!$A:$I,8,0)</f>
        <v>0.33333333333333331</v>
      </c>
      <c r="X188" s="11">
        <f>VLOOKUP(A188,Data_NV!$A:$I,9,0)</f>
        <v>0.70833333333333337</v>
      </c>
      <c r="Y188" s="11">
        <f>IFERROR(TIMEVALUE(Table2[[#This Row],[Vào]]),0)</f>
        <v>0.33137731481481481</v>
      </c>
      <c r="Z188" s="11">
        <f>IFERROR(TIMEVALUE(Table2[[#This Row],[Ra]]),0)</f>
        <v>0</v>
      </c>
      <c r="AA188" t="str">
        <f t="shared" si="22"/>
        <v>x</v>
      </c>
      <c r="AB188" s="14">
        <f t="shared" si="20"/>
        <v>0</v>
      </c>
      <c r="AC188" s="14" t="str">
        <f>IF(VLOOKUP(A188,Data_NV!$A:$I,7,0)="Không","",IF(OR(AND(Y188=0,Z188=0),AND(Y188&lt;&gt;0,Z188&lt;&gt;0)),"","Quên chấm công"))</f>
        <v/>
      </c>
      <c r="AD188" s="14">
        <f>IF(VLOOKUP(A188,Data_NV!$A:$I,7,0)="Không",0,IF(AND(Y188=0,Z188=0),0,IF(X188&lt;=Z188,0,ROUNDDOWN((X188-Z188)*24*60,0))))</f>
        <v>0</v>
      </c>
      <c r="AE188" s="14">
        <f>IF(VLOOKUP(A188,Data_NV!$A:$I,6,0)="Không",0,IF(Z188&lt;=X188,0,ROUNDDOWN((Z188-X188)*24*60,0)))</f>
        <v>0</v>
      </c>
      <c r="AF188" s="29">
        <f t="shared" si="21"/>
        <v>0</v>
      </c>
      <c r="AG188" s="30" t="str">
        <f>IF(AC188="","",IF(COUNTIFS($AC$3:AC188,"Quên chấm công",$S$3:S188,S188)&gt;3,"Không chấm công do vi phạm quá 3 lần",IF(COUNTIFS($AC$3:AC188,"Quên chấm công",$S$3:S188,S188)&gt;2,"Trừ toàn bộ chuyên cần tháng do vi phạm lần 3",IF(COUNTIFS($AC$3:AC188,"Quên chấm công",$S$3:S188,S188)&gt;1,"Trừ 1/2 ngày lương",50000))))</f>
        <v/>
      </c>
      <c r="AH188" s="14" t="str">
        <f>IF(AF188=0,"",IF(COUNTIFS($AF$3:AF188,"&gt;0",$S$3:S188,S188)&gt;3,"Trừ toàn bộ chuyên cần tháng",""))</f>
        <v/>
      </c>
      <c r="AI188" s="14"/>
      <c r="AJ188" s="14"/>
    </row>
    <row r="189" spans="1:36" x14ac:dyDescent="0.25">
      <c r="A189" s="4" t="s">
        <v>338</v>
      </c>
      <c r="B189" s="1" t="s">
        <v>339</v>
      </c>
      <c r="C189" s="1" t="s">
        <v>19</v>
      </c>
      <c r="D189" s="1" t="s">
        <v>35</v>
      </c>
      <c r="E189" s="1" t="s">
        <v>21</v>
      </c>
      <c r="F189" s="1" t="s">
        <v>22</v>
      </c>
      <c r="G189" s="1" t="s">
        <v>12</v>
      </c>
      <c r="H189" s="12" t="s">
        <v>23</v>
      </c>
      <c r="I189" s="1" t="s">
        <v>23</v>
      </c>
      <c r="J189" s="1" t="s">
        <v>24</v>
      </c>
      <c r="K189" s="1" t="s">
        <v>24</v>
      </c>
      <c r="L189" s="1" t="s">
        <v>25</v>
      </c>
      <c r="M189" s="1" t="s">
        <v>24</v>
      </c>
      <c r="N189" s="1" t="s">
        <v>24</v>
      </c>
      <c r="O189" s="1" t="s">
        <v>24</v>
      </c>
      <c r="P189" s="1" t="s">
        <v>24</v>
      </c>
      <c r="Q189" s="1" t="s">
        <v>24</v>
      </c>
      <c r="R189" s="75" t="str">
        <f t="shared" ref="R189:R242" si="23">A189&amp;U189</f>
        <v>5145907</v>
      </c>
      <c r="S189" t="str">
        <f>VLOOKUP(A189,Data_NV!$A:$C,3,0)</f>
        <v>Dương Thị Kim Hồng</v>
      </c>
      <c r="T189" t="str">
        <f>VLOOKUP(A189,Data_NV!$A:$E,4,0)</f>
        <v>Kinh doanh</v>
      </c>
      <c r="U189" s="72">
        <f>DATEVALUE(Table2[[#This Row],[Ngày]])</f>
        <v>45907</v>
      </c>
      <c r="V189" t="str">
        <f>VLOOKUP(A189,Data_NV!$A:$E,5,0)</f>
        <v>Đang làm việc</v>
      </c>
      <c r="W189" s="11">
        <f>VLOOKUP(A189,Data_NV!$A:$I,8,0)</f>
        <v>0.33333333333333331</v>
      </c>
      <c r="X189" s="11">
        <f>VLOOKUP(A189,Data_NV!$A:$I,9,0)</f>
        <v>0.70833333333333337</v>
      </c>
      <c r="Y189" s="11">
        <f>IFERROR(TIMEVALUE(Table2[[#This Row],[Vào]]),0)</f>
        <v>0</v>
      </c>
      <c r="Z189" s="11">
        <f>IFERROR(TIMEVALUE(Table2[[#This Row],[Ra]]),0)</f>
        <v>0</v>
      </c>
      <c r="AA189" t="str">
        <f t="shared" ref="AA189:AA242" si="24">IF(OR(AND(Y189=0,Z189=0),AG189="Không chấm công do vi phạm quá 3 lần"),"",IF(OR(AG189="Trừ 1/2 ngày lương",AF189="Trừ 1/2 ngày lương",AB189&gt;=60),"1/2","x"))</f>
        <v/>
      </c>
      <c r="AB189" s="14">
        <f t="shared" si="20"/>
        <v>0</v>
      </c>
      <c r="AC189" s="14" t="str">
        <f>IF(VLOOKUP(A189,Data_NV!$A:$I,7,0)="Không","",IF(OR(AND(Y189=0,Z189=0),AND(Y189&lt;&gt;0,Z189&lt;&gt;0)),"","Quên chấm công"))</f>
        <v/>
      </c>
      <c r="AD189" s="14">
        <f>IF(VLOOKUP(A189,Data_NV!$A:$I,7,0)="Không",0,IF(AND(Y189=0,Z189=0),0,IF(X189&lt;=Z189,0,ROUNDDOWN((X189-Z189)*24*60,0))))</f>
        <v>0</v>
      </c>
      <c r="AE189" s="14">
        <f>IF(VLOOKUP(A189,Data_NV!$A:$I,6,0)="Không",0,IF(Z189&lt;=X189,0,ROUNDDOWN((Z189-X189)*24*60,0)))</f>
        <v>0</v>
      </c>
      <c r="AF189" s="29">
        <f t="shared" ref="AF189:AF242" si="25">IF(AB189&gt;60,"Trừ 1/2 ngày lương",IF(AB189&gt;15,50000,IF(AB189&gt;6,30000,0)))</f>
        <v>0</v>
      </c>
      <c r="AG189" s="30" t="str">
        <f>IF(AC189="","",IF(COUNTIFS($AC$3:AC189,"Quên chấm công",$S$3:S189,S189)&gt;3,"Không chấm công do vi phạm quá 3 lần",IF(COUNTIFS($AC$3:AC189,"Quên chấm công",$S$3:S189,S189)&gt;2,"Trừ toàn bộ chuyên cần tháng do vi phạm lần 3",IF(COUNTIFS($AC$3:AC189,"Quên chấm công",$S$3:S189,S189)&gt;1,"Trừ 1/2 ngày lương",50000))))</f>
        <v/>
      </c>
      <c r="AH189" s="14" t="str">
        <f>IF(AF189=0,"",IF(COUNTIFS($AF$3:AF189,"&gt;0",$S$3:S189,S189)&gt;3,"Trừ toàn bộ chuyên cần tháng",""))</f>
        <v/>
      </c>
      <c r="AI189" s="14"/>
      <c r="AJ189" s="14"/>
    </row>
    <row r="190" spans="1:36" x14ac:dyDescent="0.25">
      <c r="A190" s="4" t="s">
        <v>338</v>
      </c>
      <c r="B190" s="1" t="s">
        <v>339</v>
      </c>
      <c r="C190" s="1" t="s">
        <v>19</v>
      </c>
      <c r="D190" s="1" t="s">
        <v>36</v>
      </c>
      <c r="E190" s="1" t="s">
        <v>21</v>
      </c>
      <c r="F190" s="1" t="s">
        <v>22</v>
      </c>
      <c r="G190" s="1" t="s">
        <v>12</v>
      </c>
      <c r="H190" s="12" t="s">
        <v>343</v>
      </c>
      <c r="I190" s="1" t="s">
        <v>23</v>
      </c>
      <c r="J190" s="1" t="s">
        <v>135</v>
      </c>
      <c r="K190" s="1" t="s">
        <v>24</v>
      </c>
      <c r="L190" s="1" t="s">
        <v>25</v>
      </c>
      <c r="M190" s="1" t="s">
        <v>24</v>
      </c>
      <c r="N190" s="1" t="s">
        <v>24</v>
      </c>
      <c r="O190" s="1" t="s">
        <v>24</v>
      </c>
      <c r="P190" s="1" t="s">
        <v>24</v>
      </c>
      <c r="Q190" s="1" t="s">
        <v>24</v>
      </c>
      <c r="R190" s="75" t="str">
        <f t="shared" si="23"/>
        <v>5145908</v>
      </c>
      <c r="S190" t="str">
        <f>VLOOKUP(A190,Data_NV!$A:$C,3,0)</f>
        <v>Dương Thị Kim Hồng</v>
      </c>
      <c r="T190" t="str">
        <f>VLOOKUP(A190,Data_NV!$A:$E,4,0)</f>
        <v>Kinh doanh</v>
      </c>
      <c r="U190" s="72">
        <f>DATEVALUE(Table2[[#This Row],[Ngày]])</f>
        <v>45908</v>
      </c>
      <c r="V190" t="str">
        <f>VLOOKUP(A190,Data_NV!$A:$E,5,0)</f>
        <v>Đang làm việc</v>
      </c>
      <c r="W190" s="11">
        <f>VLOOKUP(A190,Data_NV!$A:$I,8,0)</f>
        <v>0.33333333333333331</v>
      </c>
      <c r="X190" s="11">
        <f>VLOOKUP(A190,Data_NV!$A:$I,9,0)</f>
        <v>0.70833333333333337</v>
      </c>
      <c r="Y190" s="11">
        <f>IFERROR(TIMEVALUE(Table2[[#This Row],[Vào]]),0)</f>
        <v>0.33407407407407408</v>
      </c>
      <c r="Z190" s="11">
        <f>IFERROR(TIMEVALUE(Table2[[#This Row],[Ra]]),0)</f>
        <v>0</v>
      </c>
      <c r="AA190" t="str">
        <f t="shared" si="24"/>
        <v>x</v>
      </c>
      <c r="AB190" s="14">
        <f t="shared" si="20"/>
        <v>1</v>
      </c>
      <c r="AC190" s="14" t="str">
        <f>IF(VLOOKUP(A190,Data_NV!$A:$I,7,0)="Không","",IF(OR(AND(Y190=0,Z190=0),AND(Y190&lt;&gt;0,Z190&lt;&gt;0)),"","Quên chấm công"))</f>
        <v/>
      </c>
      <c r="AD190" s="14">
        <f>IF(VLOOKUP(A190,Data_NV!$A:$I,7,0)="Không",0,IF(AND(Y190=0,Z190=0),0,IF(X190&lt;=Z190,0,ROUNDDOWN((X190-Z190)*24*60,0))))</f>
        <v>0</v>
      </c>
      <c r="AE190" s="14">
        <f>IF(VLOOKUP(A190,Data_NV!$A:$I,6,0)="Không",0,IF(Z190&lt;=X190,0,ROUNDDOWN((Z190-X190)*24*60,0)))</f>
        <v>0</v>
      </c>
      <c r="AF190" s="29">
        <f t="shared" si="25"/>
        <v>0</v>
      </c>
      <c r="AG190" s="30" t="str">
        <f>IF(AC190="","",IF(COUNTIFS($AC$3:AC190,"Quên chấm công",$S$3:S190,S190)&gt;3,"Không chấm công do vi phạm quá 3 lần",IF(COUNTIFS($AC$3:AC190,"Quên chấm công",$S$3:S190,S190)&gt;2,"Trừ toàn bộ chuyên cần tháng do vi phạm lần 3",IF(COUNTIFS($AC$3:AC190,"Quên chấm công",$S$3:S190,S190)&gt;1,"Trừ 1/2 ngày lương",50000))))</f>
        <v/>
      </c>
      <c r="AH190" s="14" t="str">
        <f>IF(AF190=0,"",IF(COUNTIFS($AF$3:AF190,"&gt;0",$S$3:S190,S190)&gt;3,"Trừ toàn bộ chuyên cần tháng",""))</f>
        <v/>
      </c>
      <c r="AI190" s="14"/>
      <c r="AJ190" s="14"/>
    </row>
    <row r="191" spans="1:36" x14ac:dyDescent="0.25">
      <c r="A191" s="4" t="s">
        <v>338</v>
      </c>
      <c r="B191" s="1" t="s">
        <v>339</v>
      </c>
      <c r="C191" s="1" t="s">
        <v>19</v>
      </c>
      <c r="D191" s="1" t="s">
        <v>37</v>
      </c>
      <c r="E191" s="1" t="s">
        <v>21</v>
      </c>
      <c r="F191" s="1" t="s">
        <v>22</v>
      </c>
      <c r="G191" s="1" t="s">
        <v>12</v>
      </c>
      <c r="H191" s="12" t="s">
        <v>137</v>
      </c>
      <c r="I191" s="1" t="s">
        <v>23</v>
      </c>
      <c r="J191" s="1" t="s">
        <v>109</v>
      </c>
      <c r="K191" s="1" t="s">
        <v>24</v>
      </c>
      <c r="L191" s="1" t="s">
        <v>25</v>
      </c>
      <c r="M191" s="1" t="s">
        <v>24</v>
      </c>
      <c r="N191" s="1" t="s">
        <v>24</v>
      </c>
      <c r="O191" s="1" t="s">
        <v>24</v>
      </c>
      <c r="P191" s="1" t="s">
        <v>24</v>
      </c>
      <c r="Q191" s="1" t="s">
        <v>24</v>
      </c>
      <c r="R191" s="75" t="str">
        <f t="shared" si="23"/>
        <v>5145909</v>
      </c>
      <c r="S191" t="str">
        <f>VLOOKUP(A191,Data_NV!$A:$C,3,0)</f>
        <v>Dương Thị Kim Hồng</v>
      </c>
      <c r="T191" t="str">
        <f>VLOOKUP(A191,Data_NV!$A:$E,4,0)</f>
        <v>Kinh doanh</v>
      </c>
      <c r="U191" s="72">
        <f>DATEVALUE(Table2[[#This Row],[Ngày]])</f>
        <v>45909</v>
      </c>
      <c r="V191" t="str">
        <f>VLOOKUP(A191,Data_NV!$A:$E,5,0)</f>
        <v>Đang làm việc</v>
      </c>
      <c r="W191" s="11">
        <f>VLOOKUP(A191,Data_NV!$A:$I,8,0)</f>
        <v>0.33333333333333331</v>
      </c>
      <c r="X191" s="11">
        <f>VLOOKUP(A191,Data_NV!$A:$I,9,0)</f>
        <v>0.70833333333333337</v>
      </c>
      <c r="Y191" s="11">
        <f>IFERROR(TIMEVALUE(Table2[[#This Row],[Vào]]),0)</f>
        <v>0.33501157407407406</v>
      </c>
      <c r="Z191" s="11">
        <f>IFERROR(TIMEVALUE(Table2[[#This Row],[Ra]]),0)</f>
        <v>0</v>
      </c>
      <c r="AA191" t="str">
        <f t="shared" si="24"/>
        <v>x</v>
      </c>
      <c r="AB191" s="14">
        <f t="shared" si="20"/>
        <v>2</v>
      </c>
      <c r="AC191" s="14" t="str">
        <f>IF(VLOOKUP(A191,Data_NV!$A:$I,7,0)="Không","",IF(OR(AND(Y191=0,Z191=0),AND(Y191&lt;&gt;0,Z191&lt;&gt;0)),"","Quên chấm công"))</f>
        <v/>
      </c>
      <c r="AD191" s="14">
        <f>IF(VLOOKUP(A191,Data_NV!$A:$I,7,0)="Không",0,IF(AND(Y191=0,Z191=0),0,IF(X191&lt;=Z191,0,ROUNDDOWN((X191-Z191)*24*60,0))))</f>
        <v>0</v>
      </c>
      <c r="AE191" s="14">
        <f>IF(VLOOKUP(A191,Data_NV!$A:$I,6,0)="Không",0,IF(Z191&lt;=X191,0,ROUNDDOWN((Z191-X191)*24*60,0)))</f>
        <v>0</v>
      </c>
      <c r="AF191" s="29">
        <f t="shared" si="25"/>
        <v>0</v>
      </c>
      <c r="AG191" s="30" t="str">
        <f>IF(AC191="","",IF(COUNTIFS($AC$3:AC191,"Quên chấm công",$S$3:S191,S191)&gt;3,"Không chấm công do vi phạm quá 3 lần",IF(COUNTIFS($AC$3:AC191,"Quên chấm công",$S$3:S191,S191)&gt;2,"Trừ toàn bộ chuyên cần tháng do vi phạm lần 3",IF(COUNTIFS($AC$3:AC191,"Quên chấm công",$S$3:S191,S191)&gt;1,"Trừ 1/2 ngày lương",50000))))</f>
        <v/>
      </c>
      <c r="AH191" s="14" t="str">
        <f>IF(AF191=0,"",IF(COUNTIFS($AF$3:AF191,"&gt;0",$S$3:S191,S191)&gt;3,"Trừ toàn bộ chuyên cần tháng",""))</f>
        <v/>
      </c>
      <c r="AI191" s="14"/>
      <c r="AJ191" s="14"/>
    </row>
    <row r="192" spans="1:36" x14ac:dyDescent="0.25">
      <c r="A192" s="4" t="s">
        <v>338</v>
      </c>
      <c r="B192" s="1" t="s">
        <v>339</v>
      </c>
      <c r="C192" s="1" t="s">
        <v>19</v>
      </c>
      <c r="D192" s="1" t="s">
        <v>38</v>
      </c>
      <c r="E192" s="1" t="s">
        <v>21</v>
      </c>
      <c r="F192" s="1" t="s">
        <v>22</v>
      </c>
      <c r="G192" s="1" t="s">
        <v>12</v>
      </c>
      <c r="H192" s="12" t="s">
        <v>344</v>
      </c>
      <c r="I192" s="1" t="s">
        <v>23</v>
      </c>
      <c r="J192" s="1" t="s">
        <v>181</v>
      </c>
      <c r="K192" s="1" t="s">
        <v>24</v>
      </c>
      <c r="L192" s="1" t="s">
        <v>25</v>
      </c>
      <c r="M192" s="1" t="s">
        <v>24</v>
      </c>
      <c r="N192" s="1" t="s">
        <v>24</v>
      </c>
      <c r="O192" s="1" t="s">
        <v>24</v>
      </c>
      <c r="P192" s="1" t="s">
        <v>24</v>
      </c>
      <c r="Q192" s="1" t="s">
        <v>24</v>
      </c>
      <c r="R192" s="75" t="str">
        <f t="shared" si="23"/>
        <v>5145910</v>
      </c>
      <c r="S192" t="str">
        <f>VLOOKUP(A192,Data_NV!$A:$C,3,0)</f>
        <v>Dương Thị Kim Hồng</v>
      </c>
      <c r="T192" t="str">
        <f>VLOOKUP(A192,Data_NV!$A:$E,4,0)</f>
        <v>Kinh doanh</v>
      </c>
      <c r="U192" s="72">
        <f>DATEVALUE(Table2[[#This Row],[Ngày]])</f>
        <v>45910</v>
      </c>
      <c r="V192" t="str">
        <f>VLOOKUP(A192,Data_NV!$A:$E,5,0)</f>
        <v>Đang làm việc</v>
      </c>
      <c r="W192" s="11">
        <f>VLOOKUP(A192,Data_NV!$A:$I,8,0)</f>
        <v>0.33333333333333331</v>
      </c>
      <c r="X192" s="11">
        <f>VLOOKUP(A192,Data_NV!$A:$I,9,0)</f>
        <v>0.70833333333333337</v>
      </c>
      <c r="Y192" s="11">
        <f>IFERROR(TIMEVALUE(Table2[[#This Row],[Vào]]),0)</f>
        <v>0.33703703703703702</v>
      </c>
      <c r="Z192" s="11">
        <f>IFERROR(TIMEVALUE(Table2[[#This Row],[Ra]]),0)</f>
        <v>0</v>
      </c>
      <c r="AA192" t="str">
        <f t="shared" si="24"/>
        <v>x</v>
      </c>
      <c r="AB192" s="14">
        <f t="shared" si="20"/>
        <v>5</v>
      </c>
      <c r="AC192" s="14" t="str">
        <f>IF(VLOOKUP(A192,Data_NV!$A:$I,7,0)="Không","",IF(OR(AND(Y192=0,Z192=0),AND(Y192&lt;&gt;0,Z192&lt;&gt;0)),"","Quên chấm công"))</f>
        <v/>
      </c>
      <c r="AD192" s="14">
        <f>IF(VLOOKUP(A192,Data_NV!$A:$I,7,0)="Không",0,IF(AND(Y192=0,Z192=0),0,IF(X192&lt;=Z192,0,ROUNDDOWN((X192-Z192)*24*60,0))))</f>
        <v>0</v>
      </c>
      <c r="AE192" s="14">
        <f>IF(VLOOKUP(A192,Data_NV!$A:$I,6,0)="Không",0,IF(Z192&lt;=X192,0,ROUNDDOWN((Z192-X192)*24*60,0)))</f>
        <v>0</v>
      </c>
      <c r="AF192" s="29">
        <f t="shared" si="25"/>
        <v>0</v>
      </c>
      <c r="AG192" s="30" t="str">
        <f>IF(AC192="","",IF(COUNTIFS($AC$3:AC192,"Quên chấm công",$S$3:S192,S192)&gt;3,"Không chấm công do vi phạm quá 3 lần",IF(COUNTIFS($AC$3:AC192,"Quên chấm công",$S$3:S192,S192)&gt;2,"Trừ toàn bộ chuyên cần tháng do vi phạm lần 3",IF(COUNTIFS($AC$3:AC192,"Quên chấm công",$S$3:S192,S192)&gt;1,"Trừ 1/2 ngày lương",50000))))</f>
        <v/>
      </c>
      <c r="AH192" s="14" t="str">
        <f>IF(AF192=0,"",IF(COUNTIFS($AF$3:AF192,"&gt;0",$S$3:S192,S192)&gt;3,"Trừ toàn bộ chuyên cần tháng",""))</f>
        <v/>
      </c>
      <c r="AI192" s="14"/>
      <c r="AJ192" s="14"/>
    </row>
    <row r="193" spans="1:36" x14ac:dyDescent="0.25">
      <c r="A193" s="4" t="s">
        <v>338</v>
      </c>
      <c r="B193" s="1" t="s">
        <v>339</v>
      </c>
      <c r="C193" s="1" t="s">
        <v>19</v>
      </c>
      <c r="D193" s="1" t="s">
        <v>39</v>
      </c>
      <c r="E193" s="1" t="s">
        <v>21</v>
      </c>
      <c r="F193" s="1" t="s">
        <v>22</v>
      </c>
      <c r="G193" s="1" t="s">
        <v>12</v>
      </c>
      <c r="H193" s="12" t="s">
        <v>345</v>
      </c>
      <c r="I193" s="1" t="s">
        <v>23</v>
      </c>
      <c r="J193" s="1" t="s">
        <v>346</v>
      </c>
      <c r="K193" s="1" t="s">
        <v>24</v>
      </c>
      <c r="L193" s="1" t="s">
        <v>25</v>
      </c>
      <c r="M193" s="1" t="s">
        <v>24</v>
      </c>
      <c r="N193" s="1" t="s">
        <v>24</v>
      </c>
      <c r="O193" s="1" t="s">
        <v>24</v>
      </c>
      <c r="P193" s="1" t="s">
        <v>24</v>
      </c>
      <c r="Q193" s="1" t="s">
        <v>24</v>
      </c>
      <c r="R193" s="75" t="str">
        <f t="shared" si="23"/>
        <v>5145911</v>
      </c>
      <c r="S193" t="str">
        <f>VLOOKUP(A193,Data_NV!$A:$C,3,0)</f>
        <v>Dương Thị Kim Hồng</v>
      </c>
      <c r="T193" t="str">
        <f>VLOOKUP(A193,Data_NV!$A:$E,4,0)</f>
        <v>Kinh doanh</v>
      </c>
      <c r="U193" s="72">
        <f>DATEVALUE(Table2[[#This Row],[Ngày]])</f>
        <v>45911</v>
      </c>
      <c r="V193" t="str">
        <f>VLOOKUP(A193,Data_NV!$A:$E,5,0)</f>
        <v>Đang làm việc</v>
      </c>
      <c r="W193" s="11">
        <f>VLOOKUP(A193,Data_NV!$A:$I,8,0)</f>
        <v>0.33333333333333331</v>
      </c>
      <c r="X193" s="11">
        <f>VLOOKUP(A193,Data_NV!$A:$I,9,0)</f>
        <v>0.70833333333333337</v>
      </c>
      <c r="Y193" s="11">
        <f>IFERROR(TIMEVALUE(Table2[[#This Row],[Vào]]),0)</f>
        <v>0.35574074074074075</v>
      </c>
      <c r="Z193" s="11">
        <f>IFERROR(TIMEVALUE(Table2[[#This Row],[Ra]]),0)</f>
        <v>0</v>
      </c>
      <c r="AA193" t="str">
        <f t="shared" si="24"/>
        <v>x</v>
      </c>
      <c r="AB193" s="14">
        <f t="shared" si="20"/>
        <v>32</v>
      </c>
      <c r="AC193" s="14" t="str">
        <f>IF(VLOOKUP(A193,Data_NV!$A:$I,7,0)="Không","",IF(OR(AND(Y193=0,Z193=0),AND(Y193&lt;&gt;0,Z193&lt;&gt;0)),"","Quên chấm công"))</f>
        <v/>
      </c>
      <c r="AD193" s="14">
        <f>IF(VLOOKUP(A193,Data_NV!$A:$I,7,0)="Không",0,IF(AND(Y193=0,Z193=0),0,IF(X193&lt;=Z193,0,ROUNDDOWN((X193-Z193)*24*60,0))))</f>
        <v>0</v>
      </c>
      <c r="AE193" s="14">
        <f>IF(VLOOKUP(A193,Data_NV!$A:$I,6,0)="Không",0,IF(Z193&lt;=X193,0,ROUNDDOWN((Z193-X193)*24*60,0)))</f>
        <v>0</v>
      </c>
      <c r="AF193" s="29">
        <f t="shared" si="25"/>
        <v>50000</v>
      </c>
      <c r="AG193" s="30" t="str">
        <f>IF(AC193="","",IF(COUNTIFS($AC$3:AC193,"Quên chấm công",$S$3:S193,S193)&gt;3,"Không chấm công do vi phạm quá 3 lần",IF(COUNTIFS($AC$3:AC193,"Quên chấm công",$S$3:S193,S193)&gt;2,"Trừ toàn bộ chuyên cần tháng do vi phạm lần 3",IF(COUNTIFS($AC$3:AC193,"Quên chấm công",$S$3:S193,S193)&gt;1,"Trừ 1/2 ngày lương",50000))))</f>
        <v/>
      </c>
      <c r="AH193" s="14" t="str">
        <f>IF(AF193=0,"",IF(COUNTIFS($AF$3:AF193,"&gt;0",$S$3:S193,S193)&gt;3,"Trừ toàn bộ chuyên cần tháng",""))</f>
        <v/>
      </c>
      <c r="AI193" s="14"/>
      <c r="AJ193" s="14"/>
    </row>
    <row r="194" spans="1:36" x14ac:dyDescent="0.25">
      <c r="A194" s="4" t="s">
        <v>338</v>
      </c>
      <c r="B194" s="1" t="s">
        <v>339</v>
      </c>
      <c r="C194" s="1" t="s">
        <v>19</v>
      </c>
      <c r="D194" s="1" t="s">
        <v>40</v>
      </c>
      <c r="E194" s="1" t="s">
        <v>21</v>
      </c>
      <c r="F194" s="1" t="s">
        <v>22</v>
      </c>
      <c r="G194" s="1" t="s">
        <v>12</v>
      </c>
      <c r="H194" s="12" t="s">
        <v>23</v>
      </c>
      <c r="I194" s="1" t="s">
        <v>23</v>
      </c>
      <c r="J194" s="1" t="s">
        <v>24</v>
      </c>
      <c r="K194" s="1" t="s">
        <v>24</v>
      </c>
      <c r="L194" s="1" t="s">
        <v>25</v>
      </c>
      <c r="M194" s="1" t="s">
        <v>24</v>
      </c>
      <c r="N194" s="1" t="s">
        <v>24</v>
      </c>
      <c r="O194" s="1" t="s">
        <v>24</v>
      </c>
      <c r="P194" s="1" t="s">
        <v>24</v>
      </c>
      <c r="Q194" s="1" t="s">
        <v>24</v>
      </c>
      <c r="R194" s="75" t="str">
        <f t="shared" si="23"/>
        <v>5145912</v>
      </c>
      <c r="S194" t="str">
        <f>VLOOKUP(A194,Data_NV!$A:$C,3,0)</f>
        <v>Dương Thị Kim Hồng</v>
      </c>
      <c r="T194" t="str">
        <f>VLOOKUP(A194,Data_NV!$A:$E,4,0)</f>
        <v>Kinh doanh</v>
      </c>
      <c r="U194" s="72">
        <f>DATEVALUE(Table2[[#This Row],[Ngày]])</f>
        <v>45912</v>
      </c>
      <c r="V194" t="str">
        <f>VLOOKUP(A194,Data_NV!$A:$E,5,0)</f>
        <v>Đang làm việc</v>
      </c>
      <c r="W194" s="11">
        <f>VLOOKUP(A194,Data_NV!$A:$I,8,0)</f>
        <v>0.33333333333333331</v>
      </c>
      <c r="X194" s="11">
        <f>VLOOKUP(A194,Data_NV!$A:$I,9,0)</f>
        <v>0.70833333333333337</v>
      </c>
      <c r="Y194" s="11">
        <f>IFERROR(TIMEVALUE(Table2[[#This Row],[Vào]]),0)</f>
        <v>0</v>
      </c>
      <c r="Z194" s="11">
        <f>IFERROR(TIMEVALUE(Table2[[#This Row],[Ra]]),0)</f>
        <v>0</v>
      </c>
      <c r="AA194" t="str">
        <f t="shared" si="24"/>
        <v/>
      </c>
      <c r="AB194" s="14">
        <f t="shared" si="20"/>
        <v>0</v>
      </c>
      <c r="AC194" s="14" t="str">
        <f>IF(VLOOKUP(A194,Data_NV!$A:$I,7,0)="Không","",IF(OR(AND(Y194=0,Z194=0),AND(Y194&lt;&gt;0,Z194&lt;&gt;0)),"","Quên chấm công"))</f>
        <v/>
      </c>
      <c r="AD194" s="14">
        <f>IF(VLOOKUP(A194,Data_NV!$A:$I,7,0)="Không",0,IF(AND(Y194=0,Z194=0),0,IF(X194&lt;=Z194,0,ROUNDDOWN((X194-Z194)*24*60,0))))</f>
        <v>0</v>
      </c>
      <c r="AE194" s="14">
        <f>IF(VLOOKUP(A194,Data_NV!$A:$I,6,0)="Không",0,IF(Z194&lt;=X194,0,ROUNDDOWN((Z194-X194)*24*60,0)))</f>
        <v>0</v>
      </c>
      <c r="AF194" s="29">
        <f t="shared" si="25"/>
        <v>0</v>
      </c>
      <c r="AG194" s="30" t="str">
        <f>IF(AC194="","",IF(COUNTIFS($AC$3:AC194,"Quên chấm công",$S$3:S194,S194)&gt;3,"Không chấm công do vi phạm quá 3 lần",IF(COUNTIFS($AC$3:AC194,"Quên chấm công",$S$3:S194,S194)&gt;2,"Trừ toàn bộ chuyên cần tháng do vi phạm lần 3",IF(COUNTIFS($AC$3:AC194,"Quên chấm công",$S$3:S194,S194)&gt;1,"Trừ 1/2 ngày lương",50000))))</f>
        <v/>
      </c>
      <c r="AH194" s="14" t="str">
        <f>IF(AF194=0,"",IF(COUNTIFS($AF$3:AF194,"&gt;0",$S$3:S194,S194)&gt;3,"Trừ toàn bộ chuyên cần tháng",""))</f>
        <v/>
      </c>
      <c r="AI194" s="14"/>
      <c r="AJ194" s="14"/>
    </row>
    <row r="195" spans="1:36" x14ac:dyDescent="0.25">
      <c r="A195" s="4" t="s">
        <v>338</v>
      </c>
      <c r="B195" s="1" t="s">
        <v>339</v>
      </c>
      <c r="C195" s="1" t="s">
        <v>19</v>
      </c>
      <c r="D195" s="1" t="s">
        <v>41</v>
      </c>
      <c r="E195" s="1" t="s">
        <v>21</v>
      </c>
      <c r="F195" s="1" t="s">
        <v>22</v>
      </c>
      <c r="G195" s="1" t="s">
        <v>12</v>
      </c>
      <c r="H195" s="12" t="s">
        <v>347</v>
      </c>
      <c r="I195" s="1" t="s">
        <v>23</v>
      </c>
      <c r="J195" s="1" t="s">
        <v>111</v>
      </c>
      <c r="K195" s="1" t="s">
        <v>24</v>
      </c>
      <c r="L195" s="1" t="s">
        <v>25</v>
      </c>
      <c r="M195" s="1" t="s">
        <v>24</v>
      </c>
      <c r="N195" s="1" t="s">
        <v>24</v>
      </c>
      <c r="O195" s="1" t="s">
        <v>24</v>
      </c>
      <c r="P195" s="1" t="s">
        <v>24</v>
      </c>
      <c r="Q195" s="1" t="s">
        <v>24</v>
      </c>
      <c r="R195" s="75" t="str">
        <f t="shared" si="23"/>
        <v>5145913</v>
      </c>
      <c r="S195" t="str">
        <f>VLOOKUP(A195,Data_NV!$A:$C,3,0)</f>
        <v>Dương Thị Kim Hồng</v>
      </c>
      <c r="T195" t="str">
        <f>VLOOKUP(A195,Data_NV!$A:$E,4,0)</f>
        <v>Kinh doanh</v>
      </c>
      <c r="U195" s="72">
        <f>DATEVALUE(Table2[[#This Row],[Ngày]])</f>
        <v>45913</v>
      </c>
      <c r="V195" t="str">
        <f>VLOOKUP(A195,Data_NV!$A:$E,5,0)</f>
        <v>Đang làm việc</v>
      </c>
      <c r="W195" s="11">
        <f>VLOOKUP(A195,Data_NV!$A:$I,8,0)</f>
        <v>0.33333333333333331</v>
      </c>
      <c r="X195" s="11">
        <f>VLOOKUP(A195,Data_NV!$A:$I,9,0)</f>
        <v>0.70833333333333337</v>
      </c>
      <c r="Y195" s="11">
        <f>IFERROR(TIMEVALUE(Table2[[#This Row],[Vào]]),0)</f>
        <v>0.37188657407407405</v>
      </c>
      <c r="Z195" s="11">
        <f>IFERROR(TIMEVALUE(Table2[[#This Row],[Ra]]),0)</f>
        <v>0</v>
      </c>
      <c r="AA195" t="str">
        <f t="shared" si="24"/>
        <v>x</v>
      </c>
      <c r="AB195" s="14">
        <f t="shared" si="20"/>
        <v>55</v>
      </c>
      <c r="AC195" s="14" t="str">
        <f>IF(VLOOKUP(A195,Data_NV!$A:$I,7,0)="Không","",IF(OR(AND(Y195=0,Z195=0),AND(Y195&lt;&gt;0,Z195&lt;&gt;0)),"","Quên chấm công"))</f>
        <v/>
      </c>
      <c r="AD195" s="14">
        <f>IF(VLOOKUP(A195,Data_NV!$A:$I,7,0)="Không",0,IF(AND(Y195=0,Z195=0),0,IF(X195&lt;=Z195,0,ROUNDDOWN((X195-Z195)*24*60,0))))</f>
        <v>0</v>
      </c>
      <c r="AE195" s="14">
        <f>IF(VLOOKUP(A195,Data_NV!$A:$I,6,0)="Không",0,IF(Z195&lt;=X195,0,ROUNDDOWN((Z195-X195)*24*60,0)))</f>
        <v>0</v>
      </c>
      <c r="AF195" s="29">
        <f t="shared" si="25"/>
        <v>50000</v>
      </c>
      <c r="AG195" s="30" t="str">
        <f>IF(AC195="","",IF(COUNTIFS($AC$3:AC195,"Quên chấm công",$S$3:S195,S195)&gt;3,"Không chấm công do vi phạm quá 3 lần",IF(COUNTIFS($AC$3:AC195,"Quên chấm công",$S$3:S195,S195)&gt;2,"Trừ toàn bộ chuyên cần tháng do vi phạm lần 3",IF(COUNTIFS($AC$3:AC195,"Quên chấm công",$S$3:S195,S195)&gt;1,"Trừ 1/2 ngày lương",50000))))</f>
        <v/>
      </c>
      <c r="AH195" s="14" t="str">
        <f>IF(AF195=0,"",IF(COUNTIFS($AF$3:AF195,"&gt;0",$S$3:S195,S195)&gt;3,"Trừ toàn bộ chuyên cần tháng",""))</f>
        <v/>
      </c>
      <c r="AI195" s="14"/>
      <c r="AJ195" s="14"/>
    </row>
    <row r="196" spans="1:36" x14ac:dyDescent="0.25">
      <c r="A196" s="4" t="s">
        <v>338</v>
      </c>
      <c r="B196" s="1" t="s">
        <v>339</v>
      </c>
      <c r="C196" s="1" t="s">
        <v>19</v>
      </c>
      <c r="D196" s="1" t="s">
        <v>42</v>
      </c>
      <c r="E196" s="1" t="s">
        <v>21</v>
      </c>
      <c r="F196" s="1" t="s">
        <v>22</v>
      </c>
      <c r="G196" s="1" t="s">
        <v>12</v>
      </c>
      <c r="H196" s="12" t="s">
        <v>23</v>
      </c>
      <c r="I196" s="1" t="s">
        <v>23</v>
      </c>
      <c r="J196" s="1" t="s">
        <v>24</v>
      </c>
      <c r="K196" s="1" t="s">
        <v>24</v>
      </c>
      <c r="L196" s="1" t="s">
        <v>25</v>
      </c>
      <c r="M196" s="1" t="s">
        <v>24</v>
      </c>
      <c r="N196" s="1" t="s">
        <v>24</v>
      </c>
      <c r="O196" s="1" t="s">
        <v>24</v>
      </c>
      <c r="P196" s="1" t="s">
        <v>24</v>
      </c>
      <c r="Q196" s="1" t="s">
        <v>24</v>
      </c>
      <c r="R196" s="75" t="str">
        <f t="shared" si="23"/>
        <v>5145914</v>
      </c>
      <c r="S196" t="str">
        <f>VLOOKUP(A196,Data_NV!$A:$C,3,0)</f>
        <v>Dương Thị Kim Hồng</v>
      </c>
      <c r="T196" t="str">
        <f>VLOOKUP(A196,Data_NV!$A:$E,4,0)</f>
        <v>Kinh doanh</v>
      </c>
      <c r="U196" s="72">
        <f>DATEVALUE(Table2[[#This Row],[Ngày]])</f>
        <v>45914</v>
      </c>
      <c r="V196" t="str">
        <f>VLOOKUP(A196,Data_NV!$A:$E,5,0)</f>
        <v>Đang làm việc</v>
      </c>
      <c r="W196" s="11">
        <f>VLOOKUP(A196,Data_NV!$A:$I,8,0)</f>
        <v>0.33333333333333331</v>
      </c>
      <c r="X196" s="11">
        <f>VLOOKUP(A196,Data_NV!$A:$I,9,0)</f>
        <v>0.70833333333333337</v>
      </c>
      <c r="Y196" s="11">
        <f>IFERROR(TIMEVALUE(Table2[[#This Row],[Vào]]),0)</f>
        <v>0</v>
      </c>
      <c r="Z196" s="11">
        <f>IFERROR(TIMEVALUE(Table2[[#This Row],[Ra]]),0)</f>
        <v>0</v>
      </c>
      <c r="AA196" t="str">
        <f t="shared" si="24"/>
        <v/>
      </c>
      <c r="AB196" s="14">
        <f t="shared" si="20"/>
        <v>0</v>
      </c>
      <c r="AC196" s="14" t="str">
        <f>IF(VLOOKUP(A196,Data_NV!$A:$I,7,0)="Không","",IF(OR(AND(Y196=0,Z196=0),AND(Y196&lt;&gt;0,Z196&lt;&gt;0)),"","Quên chấm công"))</f>
        <v/>
      </c>
      <c r="AD196" s="14">
        <f>IF(VLOOKUP(A196,Data_NV!$A:$I,7,0)="Không",0,IF(AND(Y196=0,Z196=0),0,IF(X196&lt;=Z196,0,ROUNDDOWN((X196-Z196)*24*60,0))))</f>
        <v>0</v>
      </c>
      <c r="AE196" s="14">
        <f>IF(VLOOKUP(A196,Data_NV!$A:$I,6,0)="Không",0,IF(Z196&lt;=X196,0,ROUNDDOWN((Z196-X196)*24*60,0)))</f>
        <v>0</v>
      </c>
      <c r="AF196" s="29">
        <f t="shared" si="25"/>
        <v>0</v>
      </c>
      <c r="AG196" s="30" t="str">
        <f>IF(AC196="","",IF(COUNTIFS($AC$3:AC196,"Quên chấm công",$S$3:S196,S196)&gt;3,"Không chấm công do vi phạm quá 3 lần",IF(COUNTIFS($AC$3:AC196,"Quên chấm công",$S$3:S196,S196)&gt;2,"Trừ toàn bộ chuyên cần tháng do vi phạm lần 3",IF(COUNTIFS($AC$3:AC196,"Quên chấm công",$S$3:S196,S196)&gt;1,"Trừ 1/2 ngày lương",50000))))</f>
        <v/>
      </c>
      <c r="AH196" s="14" t="str">
        <f>IF(AF196=0,"",IF(COUNTIFS($AF$3:AF196,"&gt;0",$S$3:S196,S196)&gt;3,"Trừ toàn bộ chuyên cần tháng",""))</f>
        <v/>
      </c>
      <c r="AI196" s="14"/>
      <c r="AJ196" s="14"/>
    </row>
    <row r="197" spans="1:36" x14ac:dyDescent="0.25">
      <c r="A197" s="4" t="s">
        <v>338</v>
      </c>
      <c r="B197" s="1" t="s">
        <v>339</v>
      </c>
      <c r="C197" s="1" t="s">
        <v>19</v>
      </c>
      <c r="D197" s="1" t="s">
        <v>43</v>
      </c>
      <c r="E197" s="1" t="s">
        <v>21</v>
      </c>
      <c r="F197" s="1" t="s">
        <v>22</v>
      </c>
      <c r="G197" s="1" t="s">
        <v>12</v>
      </c>
      <c r="H197" s="12" t="s">
        <v>348</v>
      </c>
      <c r="I197" s="1" t="s">
        <v>23</v>
      </c>
      <c r="J197" s="1" t="s">
        <v>65</v>
      </c>
      <c r="K197" s="1" t="s">
        <v>24</v>
      </c>
      <c r="L197" s="1" t="s">
        <v>25</v>
      </c>
      <c r="M197" s="1" t="s">
        <v>24</v>
      </c>
      <c r="N197" s="1" t="s">
        <v>24</v>
      </c>
      <c r="O197" s="1" t="s">
        <v>24</v>
      </c>
      <c r="P197" s="1" t="s">
        <v>24</v>
      </c>
      <c r="Q197" s="1" t="s">
        <v>24</v>
      </c>
      <c r="R197" s="75" t="str">
        <f t="shared" si="23"/>
        <v>5145915</v>
      </c>
      <c r="S197" t="str">
        <f>VLOOKUP(A197,Data_NV!$A:$C,3,0)</f>
        <v>Dương Thị Kim Hồng</v>
      </c>
      <c r="T197" t="str">
        <f>VLOOKUP(A197,Data_NV!$A:$E,4,0)</f>
        <v>Kinh doanh</v>
      </c>
      <c r="U197" s="72">
        <f>DATEVALUE(Table2[[#This Row],[Ngày]])</f>
        <v>45915</v>
      </c>
      <c r="V197" t="str">
        <f>VLOOKUP(A197,Data_NV!$A:$E,5,0)</f>
        <v>Đang làm việc</v>
      </c>
      <c r="W197" s="11">
        <f>VLOOKUP(A197,Data_NV!$A:$I,8,0)</f>
        <v>0.33333333333333331</v>
      </c>
      <c r="X197" s="11">
        <f>VLOOKUP(A197,Data_NV!$A:$I,9,0)</f>
        <v>0.70833333333333337</v>
      </c>
      <c r="Y197" s="11">
        <f>IFERROR(TIMEVALUE(Table2[[#This Row],[Vào]]),0)</f>
        <v>0.33769675925925924</v>
      </c>
      <c r="Z197" s="11">
        <f>IFERROR(TIMEVALUE(Table2[[#This Row],[Ra]]),0)</f>
        <v>0</v>
      </c>
      <c r="AA197" t="str">
        <f t="shared" si="24"/>
        <v>x</v>
      </c>
      <c r="AB197" s="14">
        <f t="shared" si="20"/>
        <v>6</v>
      </c>
      <c r="AC197" s="14" t="str">
        <f>IF(VLOOKUP(A197,Data_NV!$A:$I,7,0)="Không","",IF(OR(AND(Y197=0,Z197=0),AND(Y197&lt;&gt;0,Z197&lt;&gt;0)),"","Quên chấm công"))</f>
        <v/>
      </c>
      <c r="AD197" s="14">
        <f>IF(VLOOKUP(A197,Data_NV!$A:$I,7,0)="Không",0,IF(AND(Y197=0,Z197=0),0,IF(X197&lt;=Z197,0,ROUNDDOWN((X197-Z197)*24*60,0))))</f>
        <v>0</v>
      </c>
      <c r="AE197" s="14">
        <f>IF(VLOOKUP(A197,Data_NV!$A:$I,6,0)="Không",0,IF(Z197&lt;=X197,0,ROUNDDOWN((Z197-X197)*24*60,0)))</f>
        <v>0</v>
      </c>
      <c r="AF197" s="29">
        <f t="shared" si="25"/>
        <v>0</v>
      </c>
      <c r="AG197" s="30" t="str">
        <f>IF(AC197="","",IF(COUNTIFS($AC$3:AC197,"Quên chấm công",$S$3:S197,S197)&gt;3,"Không chấm công do vi phạm quá 3 lần",IF(COUNTIFS($AC$3:AC197,"Quên chấm công",$S$3:S197,S197)&gt;2,"Trừ toàn bộ chuyên cần tháng do vi phạm lần 3",IF(COUNTIFS($AC$3:AC197,"Quên chấm công",$S$3:S197,S197)&gt;1,"Trừ 1/2 ngày lương",50000))))</f>
        <v/>
      </c>
      <c r="AH197" s="14" t="str">
        <f>IF(AF197=0,"",IF(COUNTIFS($AF$3:AF197,"&gt;0",$S$3:S197,S197)&gt;3,"Trừ toàn bộ chuyên cần tháng",""))</f>
        <v/>
      </c>
      <c r="AI197" s="14"/>
      <c r="AJ197" s="14"/>
    </row>
    <row r="198" spans="1:36" x14ac:dyDescent="0.25">
      <c r="A198" s="4" t="s">
        <v>338</v>
      </c>
      <c r="B198" s="1" t="s">
        <v>339</v>
      </c>
      <c r="C198" s="1" t="s">
        <v>19</v>
      </c>
      <c r="D198" s="1" t="s">
        <v>44</v>
      </c>
      <c r="E198" s="1" t="s">
        <v>21</v>
      </c>
      <c r="F198" s="1" t="s">
        <v>22</v>
      </c>
      <c r="G198" s="1" t="s">
        <v>12</v>
      </c>
      <c r="H198" s="12" t="s">
        <v>349</v>
      </c>
      <c r="I198" s="1" t="s">
        <v>23</v>
      </c>
      <c r="J198" s="1" t="s">
        <v>140</v>
      </c>
      <c r="K198" s="1" t="s">
        <v>24</v>
      </c>
      <c r="L198" s="1" t="s">
        <v>25</v>
      </c>
      <c r="M198" s="1" t="s">
        <v>24</v>
      </c>
      <c r="N198" s="1" t="s">
        <v>24</v>
      </c>
      <c r="O198" s="1" t="s">
        <v>24</v>
      </c>
      <c r="P198" s="1" t="s">
        <v>24</v>
      </c>
      <c r="Q198" s="1" t="s">
        <v>24</v>
      </c>
      <c r="R198" s="75" t="str">
        <f t="shared" si="23"/>
        <v>5145916</v>
      </c>
      <c r="S198" t="str">
        <f>VLOOKUP(A198,Data_NV!$A:$C,3,0)</f>
        <v>Dương Thị Kim Hồng</v>
      </c>
      <c r="T198" t="str">
        <f>VLOOKUP(A198,Data_NV!$A:$E,4,0)</f>
        <v>Kinh doanh</v>
      </c>
      <c r="U198" s="72">
        <f>DATEVALUE(Table2[[#This Row],[Ngày]])</f>
        <v>45916</v>
      </c>
      <c r="V198" t="str">
        <f>VLOOKUP(A198,Data_NV!$A:$E,5,0)</f>
        <v>Đang làm việc</v>
      </c>
      <c r="W198" s="11">
        <f>VLOOKUP(A198,Data_NV!$A:$I,8,0)</f>
        <v>0.33333333333333331</v>
      </c>
      <c r="X198" s="11">
        <f>VLOOKUP(A198,Data_NV!$A:$I,9,0)</f>
        <v>0.70833333333333337</v>
      </c>
      <c r="Y198" s="11">
        <f>IFERROR(TIMEVALUE(Table2[[#This Row],[Vào]]),0)</f>
        <v>0.34233796296296298</v>
      </c>
      <c r="Z198" s="11">
        <f>IFERROR(TIMEVALUE(Table2[[#This Row],[Ra]]),0)</f>
        <v>0</v>
      </c>
      <c r="AA198" t="str">
        <f t="shared" si="24"/>
        <v>x</v>
      </c>
      <c r="AB198" s="14">
        <f t="shared" si="20"/>
        <v>12</v>
      </c>
      <c r="AC198" s="14" t="str">
        <f>IF(VLOOKUP(A198,Data_NV!$A:$I,7,0)="Không","",IF(OR(AND(Y198=0,Z198=0),AND(Y198&lt;&gt;0,Z198&lt;&gt;0)),"","Quên chấm công"))</f>
        <v/>
      </c>
      <c r="AD198" s="14">
        <f>IF(VLOOKUP(A198,Data_NV!$A:$I,7,0)="Không",0,IF(AND(Y198=0,Z198=0),0,IF(X198&lt;=Z198,0,ROUNDDOWN((X198-Z198)*24*60,0))))</f>
        <v>0</v>
      </c>
      <c r="AE198" s="14">
        <f>IF(VLOOKUP(A198,Data_NV!$A:$I,6,0)="Không",0,IF(Z198&lt;=X198,0,ROUNDDOWN((Z198-X198)*24*60,0)))</f>
        <v>0</v>
      </c>
      <c r="AF198" s="29">
        <f t="shared" si="25"/>
        <v>30000</v>
      </c>
      <c r="AG198" s="30" t="str">
        <f>IF(AC198="","",IF(COUNTIFS($AC$3:AC198,"Quên chấm công",$S$3:S198,S198)&gt;3,"Không chấm công do vi phạm quá 3 lần",IF(COUNTIFS($AC$3:AC198,"Quên chấm công",$S$3:S198,S198)&gt;2,"Trừ toàn bộ chuyên cần tháng do vi phạm lần 3",IF(COUNTIFS($AC$3:AC198,"Quên chấm công",$S$3:S198,S198)&gt;1,"Trừ 1/2 ngày lương",50000))))</f>
        <v/>
      </c>
      <c r="AH198" s="14" t="str">
        <f>IF(AF198=0,"",IF(COUNTIFS($AF$3:AF198,"&gt;0",$S$3:S198,S198)&gt;3,"Trừ toàn bộ chuyên cần tháng",""))</f>
        <v/>
      </c>
      <c r="AI198" s="14"/>
      <c r="AJ198" s="14"/>
    </row>
    <row r="199" spans="1:36" x14ac:dyDescent="0.25">
      <c r="A199" s="4" t="s">
        <v>338</v>
      </c>
      <c r="B199" s="1" t="s">
        <v>339</v>
      </c>
      <c r="C199" s="1" t="s">
        <v>19</v>
      </c>
      <c r="D199" s="1" t="s">
        <v>45</v>
      </c>
      <c r="E199" s="1" t="s">
        <v>21</v>
      </c>
      <c r="F199" s="1" t="s">
        <v>22</v>
      </c>
      <c r="G199" s="1" t="s">
        <v>12</v>
      </c>
      <c r="H199" s="12" t="s">
        <v>350</v>
      </c>
      <c r="I199" s="1" t="s">
        <v>23</v>
      </c>
      <c r="J199" s="1" t="s">
        <v>181</v>
      </c>
      <c r="K199" s="1" t="s">
        <v>24</v>
      </c>
      <c r="L199" s="1" t="s">
        <v>25</v>
      </c>
      <c r="M199" s="1" t="s">
        <v>24</v>
      </c>
      <c r="N199" s="1" t="s">
        <v>24</v>
      </c>
      <c r="O199" s="1" t="s">
        <v>24</v>
      </c>
      <c r="P199" s="1" t="s">
        <v>24</v>
      </c>
      <c r="Q199" s="1" t="s">
        <v>24</v>
      </c>
      <c r="R199" s="75" t="str">
        <f t="shared" si="23"/>
        <v>5145917</v>
      </c>
      <c r="S199" t="str">
        <f>VLOOKUP(A199,Data_NV!$A:$C,3,0)</f>
        <v>Dương Thị Kim Hồng</v>
      </c>
      <c r="T199" t="str">
        <f>VLOOKUP(A199,Data_NV!$A:$E,4,0)</f>
        <v>Kinh doanh</v>
      </c>
      <c r="U199" s="72">
        <f>DATEVALUE(Table2[[#This Row],[Ngày]])</f>
        <v>45917</v>
      </c>
      <c r="V199" t="str">
        <f>VLOOKUP(A199,Data_NV!$A:$E,5,0)</f>
        <v>Đang làm việc</v>
      </c>
      <c r="W199" s="11">
        <f>VLOOKUP(A199,Data_NV!$A:$I,8,0)</f>
        <v>0.33333333333333331</v>
      </c>
      <c r="X199" s="11">
        <f>VLOOKUP(A199,Data_NV!$A:$I,9,0)</f>
        <v>0.70833333333333337</v>
      </c>
      <c r="Y199" s="11">
        <f>IFERROR(TIMEVALUE(Table2[[#This Row],[Vào]]),0)</f>
        <v>0.33694444444444444</v>
      </c>
      <c r="Z199" s="11">
        <f>IFERROR(TIMEVALUE(Table2[[#This Row],[Ra]]),0)</f>
        <v>0</v>
      </c>
      <c r="AA199" t="str">
        <f t="shared" si="24"/>
        <v>x</v>
      </c>
      <c r="AB199" s="14">
        <f t="shared" si="20"/>
        <v>5</v>
      </c>
      <c r="AC199" s="14" t="str">
        <f>IF(VLOOKUP(A199,Data_NV!$A:$I,7,0)="Không","",IF(OR(AND(Y199=0,Z199=0),AND(Y199&lt;&gt;0,Z199&lt;&gt;0)),"","Quên chấm công"))</f>
        <v/>
      </c>
      <c r="AD199" s="14">
        <f>IF(VLOOKUP(A199,Data_NV!$A:$I,7,0)="Không",0,IF(AND(Y199=0,Z199=0),0,IF(X199&lt;=Z199,0,ROUNDDOWN((X199-Z199)*24*60,0))))</f>
        <v>0</v>
      </c>
      <c r="AE199" s="14">
        <f>IF(VLOOKUP(A199,Data_NV!$A:$I,6,0)="Không",0,IF(Z199&lt;=X199,0,ROUNDDOWN((Z199-X199)*24*60,0)))</f>
        <v>0</v>
      </c>
      <c r="AF199" s="29">
        <f t="shared" si="25"/>
        <v>0</v>
      </c>
      <c r="AG199" s="30" t="str">
        <f>IF(AC199="","",IF(COUNTIFS($AC$3:AC199,"Quên chấm công",$S$3:S199,S199)&gt;3,"Không chấm công do vi phạm quá 3 lần",IF(COUNTIFS($AC$3:AC199,"Quên chấm công",$S$3:S199,S199)&gt;2,"Trừ toàn bộ chuyên cần tháng do vi phạm lần 3",IF(COUNTIFS($AC$3:AC199,"Quên chấm công",$S$3:S199,S199)&gt;1,"Trừ 1/2 ngày lương",50000))))</f>
        <v/>
      </c>
      <c r="AH199" s="14" t="str">
        <f>IF(AF199=0,"",IF(COUNTIFS($AF$3:AF199,"&gt;0",$S$3:S199,S199)&gt;3,"Trừ toàn bộ chuyên cần tháng",""))</f>
        <v/>
      </c>
      <c r="AI199" s="14"/>
      <c r="AJ199" s="14"/>
    </row>
    <row r="200" spans="1:36" x14ac:dyDescent="0.25">
      <c r="A200" s="4" t="s">
        <v>338</v>
      </c>
      <c r="B200" s="1" t="s">
        <v>339</v>
      </c>
      <c r="C200" s="1" t="s">
        <v>19</v>
      </c>
      <c r="D200" s="1" t="s">
        <v>46</v>
      </c>
      <c r="E200" s="1" t="s">
        <v>21</v>
      </c>
      <c r="F200" s="1" t="s">
        <v>22</v>
      </c>
      <c r="G200" s="1" t="s">
        <v>12</v>
      </c>
      <c r="H200" s="12" t="s">
        <v>351</v>
      </c>
      <c r="I200" s="1" t="s">
        <v>23</v>
      </c>
      <c r="J200" s="1" t="s">
        <v>24</v>
      </c>
      <c r="K200" s="1" t="s">
        <v>24</v>
      </c>
      <c r="L200" s="1" t="s">
        <v>25</v>
      </c>
      <c r="M200" s="1" t="s">
        <v>24</v>
      </c>
      <c r="N200" s="1" t="s">
        <v>24</v>
      </c>
      <c r="O200" s="1" t="s">
        <v>24</v>
      </c>
      <c r="P200" s="1" t="s">
        <v>24</v>
      </c>
      <c r="Q200" s="1" t="s">
        <v>24</v>
      </c>
      <c r="R200" s="75" t="str">
        <f t="shared" si="23"/>
        <v>5145918</v>
      </c>
      <c r="S200" t="str">
        <f>VLOOKUP(A200,Data_NV!$A:$C,3,0)</f>
        <v>Dương Thị Kim Hồng</v>
      </c>
      <c r="T200" t="str">
        <f>VLOOKUP(A200,Data_NV!$A:$E,4,0)</f>
        <v>Kinh doanh</v>
      </c>
      <c r="U200" s="72">
        <f>DATEVALUE(Table2[[#This Row],[Ngày]])</f>
        <v>45918</v>
      </c>
      <c r="V200" t="str">
        <f>VLOOKUP(A200,Data_NV!$A:$E,5,0)</f>
        <v>Đang làm việc</v>
      </c>
      <c r="W200" s="11">
        <f>VLOOKUP(A200,Data_NV!$A:$I,8,0)</f>
        <v>0.33333333333333331</v>
      </c>
      <c r="X200" s="11">
        <f>VLOOKUP(A200,Data_NV!$A:$I,9,0)</f>
        <v>0.70833333333333337</v>
      </c>
      <c r="Y200" s="11">
        <f>IFERROR(TIMEVALUE(Table2[[#This Row],[Vào]]),0)</f>
        <v>0.30596064814814816</v>
      </c>
      <c r="Z200" s="11">
        <f>IFERROR(TIMEVALUE(Table2[[#This Row],[Ra]]),0)</f>
        <v>0</v>
      </c>
      <c r="AA200" t="str">
        <f t="shared" si="24"/>
        <v>x</v>
      </c>
      <c r="AB200" s="14">
        <f t="shared" si="20"/>
        <v>0</v>
      </c>
      <c r="AC200" s="14" t="str">
        <f>IF(VLOOKUP(A200,Data_NV!$A:$I,7,0)="Không","",IF(OR(AND(Y200=0,Z200=0),AND(Y200&lt;&gt;0,Z200&lt;&gt;0)),"","Quên chấm công"))</f>
        <v/>
      </c>
      <c r="AD200" s="14">
        <f>IF(VLOOKUP(A200,Data_NV!$A:$I,7,0)="Không",0,IF(AND(Y200=0,Z200=0),0,IF(X200&lt;=Z200,0,ROUNDDOWN((X200-Z200)*24*60,0))))</f>
        <v>0</v>
      </c>
      <c r="AE200" s="14">
        <f>IF(VLOOKUP(A200,Data_NV!$A:$I,6,0)="Không",0,IF(Z200&lt;=X200,0,ROUNDDOWN((Z200-X200)*24*60,0)))</f>
        <v>0</v>
      </c>
      <c r="AF200" s="29">
        <f t="shared" si="25"/>
        <v>0</v>
      </c>
      <c r="AG200" s="30" t="str">
        <f>IF(AC200="","",IF(COUNTIFS($AC$3:AC200,"Quên chấm công",$S$3:S200,S200)&gt;3,"Không chấm công do vi phạm quá 3 lần",IF(COUNTIFS($AC$3:AC200,"Quên chấm công",$S$3:S200,S200)&gt;2,"Trừ toàn bộ chuyên cần tháng do vi phạm lần 3",IF(COUNTIFS($AC$3:AC200,"Quên chấm công",$S$3:S200,S200)&gt;1,"Trừ 1/2 ngày lương",50000))))</f>
        <v/>
      </c>
      <c r="AH200" s="14" t="str">
        <f>IF(AF200=0,"",IF(COUNTIFS($AF$3:AF200,"&gt;0",$S$3:S200,S200)&gt;3,"Trừ toàn bộ chuyên cần tháng",""))</f>
        <v/>
      </c>
      <c r="AI200" s="14"/>
      <c r="AJ200" s="14"/>
    </row>
    <row r="201" spans="1:36" x14ac:dyDescent="0.25">
      <c r="A201" s="4" t="s">
        <v>338</v>
      </c>
      <c r="B201" s="1" t="s">
        <v>339</v>
      </c>
      <c r="C201" s="1" t="s">
        <v>19</v>
      </c>
      <c r="D201" s="1" t="s">
        <v>48</v>
      </c>
      <c r="E201" s="1" t="s">
        <v>21</v>
      </c>
      <c r="F201" s="1" t="s">
        <v>22</v>
      </c>
      <c r="G201" s="1" t="s">
        <v>12</v>
      </c>
      <c r="H201" s="12" t="s">
        <v>352</v>
      </c>
      <c r="I201" s="1" t="s">
        <v>23</v>
      </c>
      <c r="J201" s="1" t="s">
        <v>127</v>
      </c>
      <c r="K201" s="1" t="s">
        <v>24</v>
      </c>
      <c r="L201" s="1" t="s">
        <v>25</v>
      </c>
      <c r="M201" s="1" t="s">
        <v>24</v>
      </c>
      <c r="N201" s="1" t="s">
        <v>24</v>
      </c>
      <c r="O201" s="1" t="s">
        <v>24</v>
      </c>
      <c r="P201" s="1" t="s">
        <v>24</v>
      </c>
      <c r="Q201" s="1" t="s">
        <v>24</v>
      </c>
      <c r="R201" s="75" t="str">
        <f t="shared" si="23"/>
        <v>5145919</v>
      </c>
      <c r="S201" t="str">
        <f>VLOOKUP(A201,Data_NV!$A:$C,3,0)</f>
        <v>Dương Thị Kim Hồng</v>
      </c>
      <c r="T201" t="str">
        <f>VLOOKUP(A201,Data_NV!$A:$E,4,0)</f>
        <v>Kinh doanh</v>
      </c>
      <c r="U201" s="72">
        <f>DATEVALUE(Table2[[#This Row],[Ngày]])</f>
        <v>45919</v>
      </c>
      <c r="V201" t="str">
        <f>VLOOKUP(A201,Data_NV!$A:$E,5,0)</f>
        <v>Đang làm việc</v>
      </c>
      <c r="W201" s="11">
        <f>VLOOKUP(A201,Data_NV!$A:$I,8,0)</f>
        <v>0.33333333333333331</v>
      </c>
      <c r="X201" s="11">
        <f>VLOOKUP(A201,Data_NV!$A:$I,9,0)</f>
        <v>0.70833333333333337</v>
      </c>
      <c r="Y201" s="11">
        <f>IFERROR(TIMEVALUE(Table2[[#This Row],[Vào]]),0)</f>
        <v>0.34672453703703704</v>
      </c>
      <c r="Z201" s="11">
        <f>IFERROR(TIMEVALUE(Table2[[#This Row],[Ra]]),0)</f>
        <v>0</v>
      </c>
      <c r="AA201" t="str">
        <f t="shared" si="24"/>
        <v>x</v>
      </c>
      <c r="AB201" s="14">
        <f t="shared" si="20"/>
        <v>19</v>
      </c>
      <c r="AC201" s="14" t="str">
        <f>IF(VLOOKUP(A201,Data_NV!$A:$I,7,0)="Không","",IF(OR(AND(Y201=0,Z201=0),AND(Y201&lt;&gt;0,Z201&lt;&gt;0)),"","Quên chấm công"))</f>
        <v/>
      </c>
      <c r="AD201" s="14">
        <f>IF(VLOOKUP(A201,Data_NV!$A:$I,7,0)="Không",0,IF(AND(Y201=0,Z201=0),0,IF(X201&lt;=Z201,0,ROUNDDOWN((X201-Z201)*24*60,0))))</f>
        <v>0</v>
      </c>
      <c r="AE201" s="14">
        <f>IF(VLOOKUP(A201,Data_NV!$A:$I,6,0)="Không",0,IF(Z201&lt;=X201,0,ROUNDDOWN((Z201-X201)*24*60,0)))</f>
        <v>0</v>
      </c>
      <c r="AF201" s="29">
        <f t="shared" si="25"/>
        <v>50000</v>
      </c>
      <c r="AG201" s="30" t="str">
        <f>IF(AC201="","",IF(COUNTIFS($AC$3:AC201,"Quên chấm công",$S$3:S201,S201)&gt;3,"Không chấm công do vi phạm quá 3 lần",IF(COUNTIFS($AC$3:AC201,"Quên chấm công",$S$3:S201,S201)&gt;2,"Trừ toàn bộ chuyên cần tháng do vi phạm lần 3",IF(COUNTIFS($AC$3:AC201,"Quên chấm công",$S$3:S201,S201)&gt;1,"Trừ 1/2 ngày lương",50000))))</f>
        <v/>
      </c>
      <c r="AH201" s="14" t="str">
        <f>IF(AF201=0,"",IF(COUNTIFS($AF$3:AF201,"&gt;0",$S$3:S201,S201)&gt;3,"Trừ toàn bộ chuyên cần tháng",""))</f>
        <v>Trừ toàn bộ chuyên cần tháng</v>
      </c>
      <c r="AI201" s="14"/>
      <c r="AJ201" s="14"/>
    </row>
    <row r="202" spans="1:36" x14ac:dyDescent="0.25">
      <c r="A202" s="4" t="s">
        <v>338</v>
      </c>
      <c r="B202" s="1" t="s">
        <v>339</v>
      </c>
      <c r="C202" s="1" t="s">
        <v>19</v>
      </c>
      <c r="D202" s="1" t="s">
        <v>50</v>
      </c>
      <c r="E202" s="1" t="s">
        <v>21</v>
      </c>
      <c r="F202" s="1" t="s">
        <v>22</v>
      </c>
      <c r="G202" s="1" t="s">
        <v>12</v>
      </c>
      <c r="H202" s="12" t="s">
        <v>353</v>
      </c>
      <c r="I202" s="1" t="s">
        <v>23</v>
      </c>
      <c r="J202" s="1" t="s">
        <v>190</v>
      </c>
      <c r="K202" s="1" t="s">
        <v>24</v>
      </c>
      <c r="L202" s="1" t="s">
        <v>25</v>
      </c>
      <c r="M202" s="1" t="s">
        <v>24</v>
      </c>
      <c r="N202" s="1" t="s">
        <v>24</v>
      </c>
      <c r="O202" s="1" t="s">
        <v>24</v>
      </c>
      <c r="P202" s="1" t="s">
        <v>24</v>
      </c>
      <c r="Q202" s="1" t="s">
        <v>24</v>
      </c>
      <c r="R202" s="75" t="str">
        <f t="shared" si="23"/>
        <v>5145920</v>
      </c>
      <c r="S202" t="str">
        <f>VLOOKUP(A202,Data_NV!$A:$C,3,0)</f>
        <v>Dương Thị Kim Hồng</v>
      </c>
      <c r="T202" t="str">
        <f>VLOOKUP(A202,Data_NV!$A:$E,4,0)</f>
        <v>Kinh doanh</v>
      </c>
      <c r="U202" s="72">
        <f>DATEVALUE(Table2[[#This Row],[Ngày]])</f>
        <v>45920</v>
      </c>
      <c r="V202" t="str">
        <f>VLOOKUP(A202,Data_NV!$A:$E,5,0)</f>
        <v>Đang làm việc</v>
      </c>
      <c r="W202" s="11">
        <f>VLOOKUP(A202,Data_NV!$A:$I,8,0)</f>
        <v>0.33333333333333331</v>
      </c>
      <c r="X202" s="11">
        <f>VLOOKUP(A202,Data_NV!$A:$I,9,0)</f>
        <v>0.70833333333333337</v>
      </c>
      <c r="Y202" s="11">
        <f>IFERROR(TIMEVALUE(Table2[[#This Row],[Vào]]),0)</f>
        <v>0.33538194444444447</v>
      </c>
      <c r="Z202" s="11">
        <f>IFERROR(TIMEVALUE(Table2[[#This Row],[Ra]]),0)</f>
        <v>0</v>
      </c>
      <c r="AA202" t="str">
        <f t="shared" si="24"/>
        <v>x</v>
      </c>
      <c r="AB202" s="14">
        <f t="shared" si="20"/>
        <v>2</v>
      </c>
      <c r="AC202" s="14" t="str">
        <f>IF(VLOOKUP(A202,Data_NV!$A:$I,7,0)="Không","",IF(OR(AND(Y202=0,Z202=0),AND(Y202&lt;&gt;0,Z202&lt;&gt;0)),"","Quên chấm công"))</f>
        <v/>
      </c>
      <c r="AD202" s="14">
        <f>IF(VLOOKUP(A202,Data_NV!$A:$I,7,0)="Không",0,IF(AND(Y202=0,Z202=0),0,IF(X202&lt;=Z202,0,ROUNDDOWN((X202-Z202)*24*60,0))))</f>
        <v>0</v>
      </c>
      <c r="AE202" s="14">
        <f>IF(VLOOKUP(A202,Data_NV!$A:$I,6,0)="Không",0,IF(Z202&lt;=X202,0,ROUNDDOWN((Z202-X202)*24*60,0)))</f>
        <v>0</v>
      </c>
      <c r="AF202" s="29">
        <f t="shared" si="25"/>
        <v>0</v>
      </c>
      <c r="AG202" s="30" t="str">
        <f>IF(AC202="","",IF(COUNTIFS($AC$3:AC202,"Quên chấm công",$S$3:S202,S202)&gt;3,"Không chấm công do vi phạm quá 3 lần",IF(COUNTIFS($AC$3:AC202,"Quên chấm công",$S$3:S202,S202)&gt;2,"Trừ toàn bộ chuyên cần tháng do vi phạm lần 3",IF(COUNTIFS($AC$3:AC202,"Quên chấm công",$S$3:S202,S202)&gt;1,"Trừ 1/2 ngày lương",50000))))</f>
        <v/>
      </c>
      <c r="AH202" s="14" t="str">
        <f>IF(AF202=0,"",IF(COUNTIFS($AF$3:AF202,"&gt;0",$S$3:S202,S202)&gt;3,"Trừ toàn bộ chuyên cần tháng",""))</f>
        <v/>
      </c>
      <c r="AI202" s="14"/>
      <c r="AJ202" s="14"/>
    </row>
    <row r="203" spans="1:36" x14ac:dyDescent="0.25">
      <c r="A203" s="4" t="s">
        <v>338</v>
      </c>
      <c r="B203" s="1" t="s">
        <v>339</v>
      </c>
      <c r="C203" s="1" t="s">
        <v>19</v>
      </c>
      <c r="D203" s="1" t="s">
        <v>51</v>
      </c>
      <c r="E203" s="1" t="s">
        <v>21</v>
      </c>
      <c r="F203" s="1" t="s">
        <v>22</v>
      </c>
      <c r="G203" s="1" t="s">
        <v>12</v>
      </c>
      <c r="H203" s="12" t="s">
        <v>23</v>
      </c>
      <c r="I203" s="1" t="s">
        <v>23</v>
      </c>
      <c r="J203" s="1" t="s">
        <v>24</v>
      </c>
      <c r="K203" s="1" t="s">
        <v>24</v>
      </c>
      <c r="L203" s="1" t="s">
        <v>25</v>
      </c>
      <c r="M203" s="1" t="s">
        <v>24</v>
      </c>
      <c r="N203" s="1" t="s">
        <v>24</v>
      </c>
      <c r="O203" s="1" t="s">
        <v>24</v>
      </c>
      <c r="P203" s="1" t="s">
        <v>24</v>
      </c>
      <c r="Q203" s="1" t="s">
        <v>24</v>
      </c>
      <c r="R203" s="75" t="str">
        <f t="shared" si="23"/>
        <v>5145921</v>
      </c>
      <c r="S203" t="str">
        <f>VLOOKUP(A203,Data_NV!$A:$C,3,0)</f>
        <v>Dương Thị Kim Hồng</v>
      </c>
      <c r="T203" t="str">
        <f>VLOOKUP(A203,Data_NV!$A:$E,4,0)</f>
        <v>Kinh doanh</v>
      </c>
      <c r="U203" s="72">
        <f>DATEVALUE(Table2[[#This Row],[Ngày]])</f>
        <v>45921</v>
      </c>
      <c r="V203" t="str">
        <f>VLOOKUP(A203,Data_NV!$A:$E,5,0)</f>
        <v>Đang làm việc</v>
      </c>
      <c r="W203" s="11">
        <f>VLOOKUP(A203,Data_NV!$A:$I,8,0)</f>
        <v>0.33333333333333331</v>
      </c>
      <c r="X203" s="11">
        <f>VLOOKUP(A203,Data_NV!$A:$I,9,0)</f>
        <v>0.70833333333333337</v>
      </c>
      <c r="Y203" s="11">
        <f>IFERROR(TIMEVALUE(Table2[[#This Row],[Vào]]),0)</f>
        <v>0</v>
      </c>
      <c r="Z203" s="11">
        <f>IFERROR(TIMEVALUE(Table2[[#This Row],[Ra]]),0)</f>
        <v>0</v>
      </c>
      <c r="AA203" t="str">
        <f t="shared" si="24"/>
        <v/>
      </c>
      <c r="AB203" s="14">
        <f t="shared" si="20"/>
        <v>0</v>
      </c>
      <c r="AC203" s="14" t="str">
        <f>IF(VLOOKUP(A203,Data_NV!$A:$I,7,0)="Không","",IF(OR(AND(Y203=0,Z203=0),AND(Y203&lt;&gt;0,Z203&lt;&gt;0)),"","Quên chấm công"))</f>
        <v/>
      </c>
      <c r="AD203" s="14">
        <f>IF(VLOOKUP(A203,Data_NV!$A:$I,7,0)="Không",0,IF(AND(Y203=0,Z203=0),0,IF(X203&lt;=Z203,0,ROUNDDOWN((X203-Z203)*24*60,0))))</f>
        <v>0</v>
      </c>
      <c r="AE203" s="14">
        <f>IF(VLOOKUP(A203,Data_NV!$A:$I,6,0)="Không",0,IF(Z203&lt;=X203,0,ROUNDDOWN((Z203-X203)*24*60,0)))</f>
        <v>0</v>
      </c>
      <c r="AF203" s="29">
        <f t="shared" si="25"/>
        <v>0</v>
      </c>
      <c r="AG203" s="30" t="str">
        <f>IF(AC203="","",IF(COUNTIFS($AC$3:AC203,"Quên chấm công",$S$3:S203,S203)&gt;3,"Không chấm công do vi phạm quá 3 lần",IF(COUNTIFS($AC$3:AC203,"Quên chấm công",$S$3:S203,S203)&gt;2,"Trừ toàn bộ chuyên cần tháng do vi phạm lần 3",IF(COUNTIFS($AC$3:AC203,"Quên chấm công",$S$3:S203,S203)&gt;1,"Trừ 1/2 ngày lương",50000))))</f>
        <v/>
      </c>
      <c r="AH203" s="14" t="str">
        <f>IF(AF203=0,"",IF(COUNTIFS($AF$3:AF203,"&gt;0",$S$3:S203,S203)&gt;3,"Trừ toàn bộ chuyên cần tháng",""))</f>
        <v/>
      </c>
      <c r="AI203" s="14"/>
      <c r="AJ203" s="14"/>
    </row>
    <row r="204" spans="1:36" x14ac:dyDescent="0.25">
      <c r="A204" s="4" t="s">
        <v>338</v>
      </c>
      <c r="B204" s="1" t="s">
        <v>339</v>
      </c>
      <c r="C204" s="1" t="s">
        <v>19</v>
      </c>
      <c r="D204" s="1" t="s">
        <v>52</v>
      </c>
      <c r="E204" s="1" t="s">
        <v>21</v>
      </c>
      <c r="F204" s="1" t="s">
        <v>22</v>
      </c>
      <c r="G204" s="1" t="s">
        <v>12</v>
      </c>
      <c r="H204" s="12" t="s">
        <v>354</v>
      </c>
      <c r="I204" s="1" t="s">
        <v>23</v>
      </c>
      <c r="J204" s="1" t="s">
        <v>24</v>
      </c>
      <c r="K204" s="1" t="s">
        <v>24</v>
      </c>
      <c r="L204" s="1" t="s">
        <v>25</v>
      </c>
      <c r="M204" s="1" t="s">
        <v>24</v>
      </c>
      <c r="N204" s="1" t="s">
        <v>24</v>
      </c>
      <c r="O204" s="1" t="s">
        <v>24</v>
      </c>
      <c r="P204" s="1" t="s">
        <v>24</v>
      </c>
      <c r="Q204" s="1" t="s">
        <v>24</v>
      </c>
      <c r="R204" s="75" t="str">
        <f t="shared" si="23"/>
        <v>5145922</v>
      </c>
      <c r="S204" t="str">
        <f>VLOOKUP(A204,Data_NV!$A:$C,3,0)</f>
        <v>Dương Thị Kim Hồng</v>
      </c>
      <c r="T204" t="str">
        <f>VLOOKUP(A204,Data_NV!$A:$E,4,0)</f>
        <v>Kinh doanh</v>
      </c>
      <c r="U204" s="72">
        <f>DATEVALUE(Table2[[#This Row],[Ngày]])</f>
        <v>45922</v>
      </c>
      <c r="V204" t="str">
        <f>VLOOKUP(A204,Data_NV!$A:$E,5,0)</f>
        <v>Đang làm việc</v>
      </c>
      <c r="W204" s="11">
        <f>VLOOKUP(A204,Data_NV!$A:$I,8,0)</f>
        <v>0.33333333333333331</v>
      </c>
      <c r="X204" s="11">
        <f>VLOOKUP(A204,Data_NV!$A:$I,9,0)</f>
        <v>0.70833333333333337</v>
      </c>
      <c r="Y204" s="11">
        <f>IFERROR(TIMEVALUE(Table2[[#This Row],[Vào]]),0)</f>
        <v>0.32923611111111112</v>
      </c>
      <c r="Z204" s="11">
        <f>IFERROR(TIMEVALUE(Table2[[#This Row],[Ra]]),0)</f>
        <v>0</v>
      </c>
      <c r="AA204" t="str">
        <f t="shared" si="24"/>
        <v>x</v>
      </c>
      <c r="AB204" s="14">
        <f t="shared" si="20"/>
        <v>0</v>
      </c>
      <c r="AC204" s="14" t="str">
        <f>IF(VLOOKUP(A204,Data_NV!$A:$I,7,0)="Không","",IF(OR(AND(Y204=0,Z204=0),AND(Y204&lt;&gt;0,Z204&lt;&gt;0)),"","Quên chấm công"))</f>
        <v/>
      </c>
      <c r="AD204" s="14">
        <f>IF(VLOOKUP(A204,Data_NV!$A:$I,7,0)="Không",0,IF(AND(Y204=0,Z204=0),0,IF(X204&lt;=Z204,0,ROUNDDOWN((X204-Z204)*24*60,0))))</f>
        <v>0</v>
      </c>
      <c r="AE204" s="14">
        <f>IF(VLOOKUP(A204,Data_NV!$A:$I,6,0)="Không",0,IF(Z204&lt;=X204,0,ROUNDDOWN((Z204-X204)*24*60,0)))</f>
        <v>0</v>
      </c>
      <c r="AF204" s="29">
        <f t="shared" si="25"/>
        <v>0</v>
      </c>
      <c r="AG204" s="30" t="str">
        <f>IF(AC204="","",IF(COUNTIFS($AC$3:AC204,"Quên chấm công",$S$3:S204,S204)&gt;3,"Không chấm công do vi phạm quá 3 lần",IF(COUNTIFS($AC$3:AC204,"Quên chấm công",$S$3:S204,S204)&gt;2,"Trừ toàn bộ chuyên cần tháng do vi phạm lần 3",IF(COUNTIFS($AC$3:AC204,"Quên chấm công",$S$3:S204,S204)&gt;1,"Trừ 1/2 ngày lương",50000))))</f>
        <v/>
      </c>
      <c r="AH204" s="14" t="str">
        <f>IF(AF204=0,"",IF(COUNTIFS($AF$3:AF204,"&gt;0",$S$3:S204,S204)&gt;3,"Trừ toàn bộ chuyên cần tháng",""))</f>
        <v/>
      </c>
      <c r="AI204" s="14"/>
      <c r="AJ204" s="14"/>
    </row>
    <row r="205" spans="1:36" x14ac:dyDescent="0.25">
      <c r="A205" s="4" t="s">
        <v>338</v>
      </c>
      <c r="B205" s="1" t="s">
        <v>339</v>
      </c>
      <c r="C205" s="1" t="s">
        <v>19</v>
      </c>
      <c r="D205" s="1" t="s">
        <v>54</v>
      </c>
      <c r="E205" s="1" t="s">
        <v>21</v>
      </c>
      <c r="F205" s="1" t="s">
        <v>22</v>
      </c>
      <c r="G205" s="1" t="s">
        <v>12</v>
      </c>
      <c r="H205" s="12" t="s">
        <v>355</v>
      </c>
      <c r="I205" s="1" t="s">
        <v>23</v>
      </c>
      <c r="J205" s="1" t="s">
        <v>24</v>
      </c>
      <c r="K205" s="1" t="s">
        <v>24</v>
      </c>
      <c r="L205" s="1" t="s">
        <v>25</v>
      </c>
      <c r="M205" s="1" t="s">
        <v>24</v>
      </c>
      <c r="N205" s="1" t="s">
        <v>24</v>
      </c>
      <c r="O205" s="1" t="s">
        <v>24</v>
      </c>
      <c r="P205" s="1" t="s">
        <v>24</v>
      </c>
      <c r="Q205" s="1" t="s">
        <v>24</v>
      </c>
      <c r="R205" s="75" t="str">
        <f t="shared" si="23"/>
        <v>5145923</v>
      </c>
      <c r="S205" t="str">
        <f>VLOOKUP(A205,Data_NV!$A:$C,3,0)</f>
        <v>Dương Thị Kim Hồng</v>
      </c>
      <c r="T205" t="str">
        <f>VLOOKUP(A205,Data_NV!$A:$E,4,0)</f>
        <v>Kinh doanh</v>
      </c>
      <c r="U205" s="72">
        <f>DATEVALUE(Table2[[#This Row],[Ngày]])</f>
        <v>45923</v>
      </c>
      <c r="V205" t="str">
        <f>VLOOKUP(A205,Data_NV!$A:$E,5,0)</f>
        <v>Đang làm việc</v>
      </c>
      <c r="W205" s="11">
        <f>VLOOKUP(A205,Data_NV!$A:$I,8,0)</f>
        <v>0.33333333333333331</v>
      </c>
      <c r="X205" s="11">
        <f>VLOOKUP(A205,Data_NV!$A:$I,9,0)</f>
        <v>0.70833333333333337</v>
      </c>
      <c r="Y205" s="11">
        <f>IFERROR(TIMEVALUE(Table2[[#This Row],[Vào]]),0)</f>
        <v>0.33311342592592591</v>
      </c>
      <c r="Z205" s="11">
        <f>IFERROR(TIMEVALUE(Table2[[#This Row],[Ra]]),0)</f>
        <v>0</v>
      </c>
      <c r="AA205" t="str">
        <f t="shared" si="24"/>
        <v>x</v>
      </c>
      <c r="AB205" s="14">
        <f t="shared" si="20"/>
        <v>0</v>
      </c>
      <c r="AC205" s="14" t="str">
        <f>IF(VLOOKUP(A205,Data_NV!$A:$I,7,0)="Không","",IF(OR(AND(Y205=0,Z205=0),AND(Y205&lt;&gt;0,Z205&lt;&gt;0)),"","Quên chấm công"))</f>
        <v/>
      </c>
      <c r="AD205" s="14">
        <f>IF(VLOOKUP(A205,Data_NV!$A:$I,7,0)="Không",0,IF(AND(Y205=0,Z205=0),0,IF(X205&lt;=Z205,0,ROUNDDOWN((X205-Z205)*24*60,0))))</f>
        <v>0</v>
      </c>
      <c r="AE205" s="14">
        <f>IF(VLOOKUP(A205,Data_NV!$A:$I,6,0)="Không",0,IF(Z205&lt;=X205,0,ROUNDDOWN((Z205-X205)*24*60,0)))</f>
        <v>0</v>
      </c>
      <c r="AF205" s="29">
        <f t="shared" si="25"/>
        <v>0</v>
      </c>
      <c r="AG205" s="30" t="str">
        <f>IF(AC205="","",IF(COUNTIFS($AC$3:AC205,"Quên chấm công",$S$3:S205,S205)&gt;3,"Không chấm công do vi phạm quá 3 lần",IF(COUNTIFS($AC$3:AC205,"Quên chấm công",$S$3:S205,S205)&gt;2,"Trừ toàn bộ chuyên cần tháng do vi phạm lần 3",IF(COUNTIFS($AC$3:AC205,"Quên chấm công",$S$3:S205,S205)&gt;1,"Trừ 1/2 ngày lương",50000))))</f>
        <v/>
      </c>
      <c r="AH205" s="14" t="str">
        <f>IF(AF205=0,"",IF(COUNTIFS($AF$3:AF205,"&gt;0",$S$3:S205,S205)&gt;3,"Trừ toàn bộ chuyên cần tháng",""))</f>
        <v/>
      </c>
      <c r="AI205" s="14"/>
      <c r="AJ205" s="14"/>
    </row>
    <row r="206" spans="1:36" x14ac:dyDescent="0.25">
      <c r="A206" s="4" t="s">
        <v>338</v>
      </c>
      <c r="B206" s="1" t="s">
        <v>339</v>
      </c>
      <c r="C206" s="1" t="s">
        <v>19</v>
      </c>
      <c r="D206" s="1" t="s">
        <v>55</v>
      </c>
      <c r="E206" s="1" t="s">
        <v>21</v>
      </c>
      <c r="F206" s="1" t="s">
        <v>22</v>
      </c>
      <c r="G206" s="1" t="s">
        <v>12</v>
      </c>
      <c r="H206" s="12" t="s">
        <v>356</v>
      </c>
      <c r="I206" s="1" t="s">
        <v>23</v>
      </c>
      <c r="J206" s="1" t="s">
        <v>24</v>
      </c>
      <c r="K206" s="1" t="s">
        <v>24</v>
      </c>
      <c r="L206" s="1" t="s">
        <v>25</v>
      </c>
      <c r="M206" s="1" t="s">
        <v>24</v>
      </c>
      <c r="N206" s="1" t="s">
        <v>24</v>
      </c>
      <c r="O206" s="1" t="s">
        <v>24</v>
      </c>
      <c r="P206" s="1" t="s">
        <v>24</v>
      </c>
      <c r="Q206" s="1" t="s">
        <v>24</v>
      </c>
      <c r="R206" s="75" t="str">
        <f t="shared" si="23"/>
        <v>5145924</v>
      </c>
      <c r="S206" t="str">
        <f>VLOOKUP(A206,Data_NV!$A:$C,3,0)</f>
        <v>Dương Thị Kim Hồng</v>
      </c>
      <c r="T206" t="str">
        <f>VLOOKUP(A206,Data_NV!$A:$E,4,0)</f>
        <v>Kinh doanh</v>
      </c>
      <c r="U206" s="72">
        <f>DATEVALUE(Table2[[#This Row],[Ngày]])</f>
        <v>45924</v>
      </c>
      <c r="V206" t="str">
        <f>VLOOKUP(A206,Data_NV!$A:$E,5,0)</f>
        <v>Đang làm việc</v>
      </c>
      <c r="W206" s="11">
        <f>VLOOKUP(A206,Data_NV!$A:$I,8,0)</f>
        <v>0.33333333333333331</v>
      </c>
      <c r="X206" s="11">
        <f>VLOOKUP(A206,Data_NV!$A:$I,9,0)</f>
        <v>0.70833333333333337</v>
      </c>
      <c r="Y206" s="11">
        <f>IFERROR(TIMEVALUE(Table2[[#This Row],[Vào]]),0)</f>
        <v>0.32082175925925926</v>
      </c>
      <c r="Z206" s="11">
        <f>IFERROR(TIMEVALUE(Table2[[#This Row],[Ra]]),0)</f>
        <v>0</v>
      </c>
      <c r="AA206" t="str">
        <f t="shared" si="24"/>
        <v>x</v>
      </c>
      <c r="AB206" s="14">
        <f t="shared" si="20"/>
        <v>0</v>
      </c>
      <c r="AC206" s="14" t="str">
        <f>IF(VLOOKUP(A206,Data_NV!$A:$I,7,0)="Không","",IF(OR(AND(Y206=0,Z206=0),AND(Y206&lt;&gt;0,Z206&lt;&gt;0)),"","Quên chấm công"))</f>
        <v/>
      </c>
      <c r="AD206" s="14">
        <f>IF(VLOOKUP(A206,Data_NV!$A:$I,7,0)="Không",0,IF(AND(Y206=0,Z206=0),0,IF(X206&lt;=Z206,0,ROUNDDOWN((X206-Z206)*24*60,0))))</f>
        <v>0</v>
      </c>
      <c r="AE206" s="14">
        <f>IF(VLOOKUP(A206,Data_NV!$A:$I,6,0)="Không",0,IF(Z206&lt;=X206,0,ROUNDDOWN((Z206-X206)*24*60,0)))</f>
        <v>0</v>
      </c>
      <c r="AF206" s="29">
        <f t="shared" si="25"/>
        <v>0</v>
      </c>
      <c r="AG206" s="30" t="str">
        <f>IF(AC206="","",IF(COUNTIFS($AC$3:AC206,"Quên chấm công",$S$3:S206,S206)&gt;3,"Không chấm công do vi phạm quá 3 lần",IF(COUNTIFS($AC$3:AC206,"Quên chấm công",$S$3:S206,S206)&gt;2,"Trừ toàn bộ chuyên cần tháng do vi phạm lần 3",IF(COUNTIFS($AC$3:AC206,"Quên chấm công",$S$3:S206,S206)&gt;1,"Trừ 1/2 ngày lương",50000))))</f>
        <v/>
      </c>
      <c r="AH206" s="14" t="str">
        <f>IF(AF206=0,"",IF(COUNTIFS($AF$3:AF206,"&gt;0",$S$3:S206,S206)&gt;3,"Trừ toàn bộ chuyên cần tháng",""))</f>
        <v/>
      </c>
      <c r="AI206" s="14"/>
      <c r="AJ206" s="14"/>
    </row>
    <row r="207" spans="1:36" x14ac:dyDescent="0.25">
      <c r="A207" s="4" t="s">
        <v>338</v>
      </c>
      <c r="B207" s="1" t="s">
        <v>339</v>
      </c>
      <c r="C207" s="1" t="s">
        <v>19</v>
      </c>
      <c r="D207" s="1" t="s">
        <v>56</v>
      </c>
      <c r="E207" s="1" t="s">
        <v>21</v>
      </c>
      <c r="F207" s="1" t="s">
        <v>22</v>
      </c>
      <c r="G207" s="1" t="s">
        <v>12</v>
      </c>
      <c r="H207" s="12" t="s">
        <v>357</v>
      </c>
      <c r="I207" s="1" t="s">
        <v>23</v>
      </c>
      <c r="J207" s="1" t="s">
        <v>24</v>
      </c>
      <c r="K207" s="1" t="s">
        <v>24</v>
      </c>
      <c r="L207" s="1" t="s">
        <v>25</v>
      </c>
      <c r="M207" s="1" t="s">
        <v>24</v>
      </c>
      <c r="N207" s="1" t="s">
        <v>24</v>
      </c>
      <c r="O207" s="1" t="s">
        <v>24</v>
      </c>
      <c r="P207" s="1" t="s">
        <v>24</v>
      </c>
      <c r="Q207" s="1" t="s">
        <v>24</v>
      </c>
      <c r="R207" s="75" t="str">
        <f t="shared" si="23"/>
        <v>5145925</v>
      </c>
      <c r="S207" t="str">
        <f>VLOOKUP(A207,Data_NV!$A:$C,3,0)</f>
        <v>Dương Thị Kim Hồng</v>
      </c>
      <c r="T207" t="str">
        <f>VLOOKUP(A207,Data_NV!$A:$E,4,0)</f>
        <v>Kinh doanh</v>
      </c>
      <c r="U207" s="72">
        <f>DATEVALUE(Table2[[#This Row],[Ngày]])</f>
        <v>45925</v>
      </c>
      <c r="V207" t="str">
        <f>VLOOKUP(A207,Data_NV!$A:$E,5,0)</f>
        <v>Đang làm việc</v>
      </c>
      <c r="W207" s="11">
        <f>VLOOKUP(A207,Data_NV!$A:$I,8,0)</f>
        <v>0.33333333333333331</v>
      </c>
      <c r="X207" s="11">
        <f>VLOOKUP(A207,Data_NV!$A:$I,9,0)</f>
        <v>0.70833333333333337</v>
      </c>
      <c r="Y207" s="11">
        <f>IFERROR(TIMEVALUE(Table2[[#This Row],[Vào]]),0)</f>
        <v>0.33162037037037034</v>
      </c>
      <c r="Z207" s="11">
        <f>IFERROR(TIMEVALUE(Table2[[#This Row],[Ra]]),0)</f>
        <v>0</v>
      </c>
      <c r="AA207" t="str">
        <f t="shared" si="24"/>
        <v>x</v>
      </c>
      <c r="AB207" s="14">
        <f t="shared" si="20"/>
        <v>0</v>
      </c>
      <c r="AC207" s="14" t="str">
        <f>IF(VLOOKUP(A207,Data_NV!$A:$I,7,0)="Không","",IF(OR(AND(Y207=0,Z207=0),AND(Y207&lt;&gt;0,Z207&lt;&gt;0)),"","Quên chấm công"))</f>
        <v/>
      </c>
      <c r="AD207" s="14">
        <f>IF(VLOOKUP(A207,Data_NV!$A:$I,7,0)="Không",0,IF(AND(Y207=0,Z207=0),0,IF(X207&lt;=Z207,0,ROUNDDOWN((X207-Z207)*24*60,0))))</f>
        <v>0</v>
      </c>
      <c r="AE207" s="14">
        <f>IF(VLOOKUP(A207,Data_NV!$A:$I,6,0)="Không",0,IF(Z207&lt;=X207,0,ROUNDDOWN((Z207-X207)*24*60,0)))</f>
        <v>0</v>
      </c>
      <c r="AF207" s="29">
        <f t="shared" si="25"/>
        <v>0</v>
      </c>
      <c r="AG207" s="30" t="str">
        <f>IF(AC207="","",IF(COUNTIFS($AC$3:AC207,"Quên chấm công",$S$3:S207,S207)&gt;3,"Không chấm công do vi phạm quá 3 lần",IF(COUNTIFS($AC$3:AC207,"Quên chấm công",$S$3:S207,S207)&gt;2,"Trừ toàn bộ chuyên cần tháng do vi phạm lần 3",IF(COUNTIFS($AC$3:AC207,"Quên chấm công",$S$3:S207,S207)&gt;1,"Trừ 1/2 ngày lương",50000))))</f>
        <v/>
      </c>
      <c r="AH207" s="14" t="str">
        <f>IF(AF207=0,"",IF(COUNTIFS($AF$3:AF207,"&gt;0",$S$3:S207,S207)&gt;3,"Trừ toàn bộ chuyên cần tháng",""))</f>
        <v/>
      </c>
      <c r="AI207" s="14"/>
      <c r="AJ207" s="14"/>
    </row>
    <row r="208" spans="1:36" x14ac:dyDescent="0.25">
      <c r="A208" s="4" t="s">
        <v>338</v>
      </c>
      <c r="B208" s="1" t="s">
        <v>339</v>
      </c>
      <c r="C208" s="1" t="s">
        <v>19</v>
      </c>
      <c r="D208" s="1" t="s">
        <v>57</v>
      </c>
      <c r="E208" s="1" t="s">
        <v>21</v>
      </c>
      <c r="F208" s="1" t="s">
        <v>22</v>
      </c>
      <c r="G208" s="1" t="s">
        <v>12</v>
      </c>
      <c r="H208" s="12" t="s">
        <v>67</v>
      </c>
      <c r="I208" s="1" t="s">
        <v>23</v>
      </c>
      <c r="J208" s="1" t="s">
        <v>24</v>
      </c>
      <c r="K208" s="1" t="s">
        <v>24</v>
      </c>
      <c r="L208" s="1" t="s">
        <v>25</v>
      </c>
      <c r="M208" s="1" t="s">
        <v>24</v>
      </c>
      <c r="N208" s="1" t="s">
        <v>24</v>
      </c>
      <c r="O208" s="1" t="s">
        <v>24</v>
      </c>
      <c r="P208" s="1" t="s">
        <v>24</v>
      </c>
      <c r="Q208" s="1" t="s">
        <v>24</v>
      </c>
      <c r="R208" s="75" t="str">
        <f t="shared" si="23"/>
        <v>5145926</v>
      </c>
      <c r="S208" t="str">
        <f>VLOOKUP(A208,Data_NV!$A:$C,3,0)</f>
        <v>Dương Thị Kim Hồng</v>
      </c>
      <c r="T208" t="str">
        <f>VLOOKUP(A208,Data_NV!$A:$E,4,0)</f>
        <v>Kinh doanh</v>
      </c>
      <c r="U208" s="72">
        <f>DATEVALUE(Table2[[#This Row],[Ngày]])</f>
        <v>45926</v>
      </c>
      <c r="V208" t="str">
        <f>VLOOKUP(A208,Data_NV!$A:$E,5,0)</f>
        <v>Đang làm việc</v>
      </c>
      <c r="W208" s="11">
        <f>VLOOKUP(A208,Data_NV!$A:$I,8,0)</f>
        <v>0.33333333333333331</v>
      </c>
      <c r="X208" s="11">
        <f>VLOOKUP(A208,Data_NV!$A:$I,9,0)</f>
        <v>0.70833333333333337</v>
      </c>
      <c r="Y208" s="11">
        <f>IFERROR(TIMEVALUE(Table2[[#This Row],[Vào]]),0)</f>
        <v>0.32969907407407406</v>
      </c>
      <c r="Z208" s="11">
        <f>IFERROR(TIMEVALUE(Table2[[#This Row],[Ra]]),0)</f>
        <v>0</v>
      </c>
      <c r="AA208" t="str">
        <f t="shared" si="24"/>
        <v>x</v>
      </c>
      <c r="AB208" s="14">
        <f t="shared" si="20"/>
        <v>0</v>
      </c>
      <c r="AC208" s="14" t="str">
        <f>IF(VLOOKUP(A208,Data_NV!$A:$I,7,0)="Không","",IF(OR(AND(Y208=0,Z208=0),AND(Y208&lt;&gt;0,Z208&lt;&gt;0)),"","Quên chấm công"))</f>
        <v/>
      </c>
      <c r="AD208" s="14">
        <f>IF(VLOOKUP(A208,Data_NV!$A:$I,7,0)="Không",0,IF(AND(Y208=0,Z208=0),0,IF(X208&lt;=Z208,0,ROUNDDOWN((X208-Z208)*24*60,0))))</f>
        <v>0</v>
      </c>
      <c r="AE208" s="14">
        <f>IF(VLOOKUP(A208,Data_NV!$A:$I,6,0)="Không",0,IF(Z208&lt;=X208,0,ROUNDDOWN((Z208-X208)*24*60,0)))</f>
        <v>0</v>
      </c>
      <c r="AF208" s="29">
        <f t="shared" si="25"/>
        <v>0</v>
      </c>
      <c r="AG208" s="30" t="str">
        <f>IF(AC208="","",IF(COUNTIFS($AC$3:AC208,"Quên chấm công",$S$3:S208,S208)&gt;3,"Không chấm công do vi phạm quá 3 lần",IF(COUNTIFS($AC$3:AC208,"Quên chấm công",$S$3:S208,S208)&gt;2,"Trừ toàn bộ chuyên cần tháng do vi phạm lần 3",IF(COUNTIFS($AC$3:AC208,"Quên chấm công",$S$3:S208,S208)&gt;1,"Trừ 1/2 ngày lương",50000))))</f>
        <v/>
      </c>
      <c r="AH208" s="14" t="str">
        <f>IF(AF208=0,"",IF(COUNTIFS($AF$3:AF208,"&gt;0",$S$3:S208,S208)&gt;3,"Trừ toàn bộ chuyên cần tháng",""))</f>
        <v/>
      </c>
      <c r="AI208" s="14"/>
      <c r="AJ208" s="14"/>
    </row>
    <row r="209" spans="1:36" x14ac:dyDescent="0.25">
      <c r="A209" s="4" t="s">
        <v>338</v>
      </c>
      <c r="B209" s="1" t="s">
        <v>339</v>
      </c>
      <c r="C209" s="1" t="s">
        <v>19</v>
      </c>
      <c r="D209" s="1" t="s">
        <v>58</v>
      </c>
      <c r="E209" s="1" t="s">
        <v>21</v>
      </c>
      <c r="F209" s="1" t="s">
        <v>22</v>
      </c>
      <c r="G209" s="1" t="s">
        <v>12</v>
      </c>
      <c r="H209" s="12" t="s">
        <v>23</v>
      </c>
      <c r="I209" s="1" t="s">
        <v>23</v>
      </c>
      <c r="J209" s="1" t="s">
        <v>24</v>
      </c>
      <c r="K209" s="1" t="s">
        <v>24</v>
      </c>
      <c r="L209" s="1" t="s">
        <v>25</v>
      </c>
      <c r="M209" s="1" t="s">
        <v>24</v>
      </c>
      <c r="N209" s="1" t="s">
        <v>24</v>
      </c>
      <c r="O209" s="1" t="s">
        <v>24</v>
      </c>
      <c r="P209" s="1" t="s">
        <v>24</v>
      </c>
      <c r="Q209" s="1" t="s">
        <v>24</v>
      </c>
      <c r="R209" s="75" t="str">
        <f t="shared" si="23"/>
        <v>5145927</v>
      </c>
      <c r="S209" t="str">
        <f>VLOOKUP(A209,Data_NV!$A:$C,3,0)</f>
        <v>Dương Thị Kim Hồng</v>
      </c>
      <c r="T209" t="str">
        <f>VLOOKUP(A209,Data_NV!$A:$E,4,0)</f>
        <v>Kinh doanh</v>
      </c>
      <c r="U209" s="72">
        <f>DATEVALUE(Table2[[#This Row],[Ngày]])</f>
        <v>45927</v>
      </c>
      <c r="V209" t="str">
        <f>VLOOKUP(A209,Data_NV!$A:$E,5,0)</f>
        <v>Đang làm việc</v>
      </c>
      <c r="W209" s="11">
        <f>VLOOKUP(A209,Data_NV!$A:$I,8,0)</f>
        <v>0.33333333333333331</v>
      </c>
      <c r="X209" s="11">
        <f>VLOOKUP(A209,Data_NV!$A:$I,9,0)</f>
        <v>0.70833333333333337</v>
      </c>
      <c r="Y209" s="11">
        <f>IFERROR(TIMEVALUE(Table2[[#This Row],[Vào]]),0)</f>
        <v>0</v>
      </c>
      <c r="Z209" s="11">
        <f>IFERROR(TIMEVALUE(Table2[[#This Row],[Ra]]),0)</f>
        <v>0</v>
      </c>
      <c r="AA209" t="str">
        <f t="shared" si="24"/>
        <v/>
      </c>
      <c r="AB209" s="14">
        <f t="shared" si="20"/>
        <v>0</v>
      </c>
      <c r="AC209" s="14" t="str">
        <f>IF(VLOOKUP(A209,Data_NV!$A:$I,7,0)="Không","",IF(OR(AND(Y209=0,Z209=0),AND(Y209&lt;&gt;0,Z209&lt;&gt;0)),"","Quên chấm công"))</f>
        <v/>
      </c>
      <c r="AD209" s="14">
        <f>IF(VLOOKUP(A209,Data_NV!$A:$I,7,0)="Không",0,IF(AND(Y209=0,Z209=0),0,IF(X209&lt;=Z209,0,ROUNDDOWN((X209-Z209)*24*60,0))))</f>
        <v>0</v>
      </c>
      <c r="AE209" s="14">
        <f>IF(VLOOKUP(A209,Data_NV!$A:$I,6,0)="Không",0,IF(Z209&lt;=X209,0,ROUNDDOWN((Z209-X209)*24*60,0)))</f>
        <v>0</v>
      </c>
      <c r="AF209" s="29">
        <f t="shared" si="25"/>
        <v>0</v>
      </c>
      <c r="AG209" s="30" t="str">
        <f>IF(AC209="","",IF(COUNTIFS($AC$3:AC209,"Quên chấm công",$S$3:S209,S209)&gt;3,"Không chấm công do vi phạm quá 3 lần",IF(COUNTIFS($AC$3:AC209,"Quên chấm công",$S$3:S209,S209)&gt;2,"Trừ toàn bộ chuyên cần tháng do vi phạm lần 3",IF(COUNTIFS($AC$3:AC209,"Quên chấm công",$S$3:S209,S209)&gt;1,"Trừ 1/2 ngày lương",50000))))</f>
        <v/>
      </c>
      <c r="AH209" s="14" t="str">
        <f>IF(AF209=0,"",IF(COUNTIFS($AF$3:AF209,"&gt;0",$S$3:S209,S209)&gt;3,"Trừ toàn bộ chuyên cần tháng",""))</f>
        <v/>
      </c>
      <c r="AI209" s="14"/>
      <c r="AJ209" s="14"/>
    </row>
    <row r="210" spans="1:36" x14ac:dyDescent="0.25">
      <c r="A210" s="4" t="s">
        <v>338</v>
      </c>
      <c r="B210" s="1" t="s">
        <v>339</v>
      </c>
      <c r="C210" s="1" t="s">
        <v>19</v>
      </c>
      <c r="D210" s="1" t="s">
        <v>59</v>
      </c>
      <c r="E210" s="1" t="s">
        <v>21</v>
      </c>
      <c r="F210" s="1" t="s">
        <v>22</v>
      </c>
      <c r="G210" s="1" t="s">
        <v>12</v>
      </c>
      <c r="H210" s="12" t="s">
        <v>23</v>
      </c>
      <c r="I210" s="1" t="s">
        <v>23</v>
      </c>
      <c r="J210" s="1" t="s">
        <v>24</v>
      </c>
      <c r="K210" s="1" t="s">
        <v>24</v>
      </c>
      <c r="L210" s="1" t="s">
        <v>25</v>
      </c>
      <c r="M210" s="1" t="s">
        <v>24</v>
      </c>
      <c r="N210" s="1" t="s">
        <v>24</v>
      </c>
      <c r="O210" s="1" t="s">
        <v>24</v>
      </c>
      <c r="P210" s="1" t="s">
        <v>24</v>
      </c>
      <c r="Q210" s="1" t="s">
        <v>24</v>
      </c>
      <c r="R210" s="75" t="str">
        <f t="shared" si="23"/>
        <v>5145928</v>
      </c>
      <c r="S210" t="str">
        <f>VLOOKUP(A210,Data_NV!$A:$C,3,0)</f>
        <v>Dương Thị Kim Hồng</v>
      </c>
      <c r="T210" t="str">
        <f>VLOOKUP(A210,Data_NV!$A:$E,4,0)</f>
        <v>Kinh doanh</v>
      </c>
      <c r="U210" s="72">
        <f>DATEVALUE(Table2[[#This Row],[Ngày]])</f>
        <v>45928</v>
      </c>
      <c r="V210" t="str">
        <f>VLOOKUP(A210,Data_NV!$A:$E,5,0)</f>
        <v>Đang làm việc</v>
      </c>
      <c r="W210" s="11">
        <f>VLOOKUP(A210,Data_NV!$A:$I,8,0)</f>
        <v>0.33333333333333331</v>
      </c>
      <c r="X210" s="11">
        <f>VLOOKUP(A210,Data_NV!$A:$I,9,0)</f>
        <v>0.70833333333333337</v>
      </c>
      <c r="Y210" s="11">
        <f>IFERROR(TIMEVALUE(Table2[[#This Row],[Vào]]),0)</f>
        <v>0</v>
      </c>
      <c r="Z210" s="11">
        <f>IFERROR(TIMEVALUE(Table2[[#This Row],[Ra]]),0)</f>
        <v>0</v>
      </c>
      <c r="AA210" t="str">
        <f t="shared" si="24"/>
        <v/>
      </c>
      <c r="AB210" s="14">
        <f t="shared" si="20"/>
        <v>0</v>
      </c>
      <c r="AC210" s="14" t="str">
        <f>IF(VLOOKUP(A210,Data_NV!$A:$I,7,0)="Không","",IF(OR(AND(Y210=0,Z210=0),AND(Y210&lt;&gt;0,Z210&lt;&gt;0)),"","Quên chấm công"))</f>
        <v/>
      </c>
      <c r="AD210" s="14">
        <f>IF(VLOOKUP(A210,Data_NV!$A:$I,7,0)="Không",0,IF(AND(Y210=0,Z210=0),0,IF(X210&lt;=Z210,0,ROUNDDOWN((X210-Z210)*24*60,0))))</f>
        <v>0</v>
      </c>
      <c r="AE210" s="14">
        <f>IF(VLOOKUP(A210,Data_NV!$A:$I,6,0)="Không",0,IF(Z210&lt;=X210,0,ROUNDDOWN((Z210-X210)*24*60,0)))</f>
        <v>0</v>
      </c>
      <c r="AF210" s="29">
        <f t="shared" si="25"/>
        <v>0</v>
      </c>
      <c r="AG210" s="30" t="str">
        <f>IF(AC210="","",IF(COUNTIFS($AC$3:AC210,"Quên chấm công",$S$3:S210,S210)&gt;3,"Không chấm công do vi phạm quá 3 lần",IF(COUNTIFS($AC$3:AC210,"Quên chấm công",$S$3:S210,S210)&gt;2,"Trừ toàn bộ chuyên cần tháng do vi phạm lần 3",IF(COUNTIFS($AC$3:AC210,"Quên chấm công",$S$3:S210,S210)&gt;1,"Trừ 1/2 ngày lương",50000))))</f>
        <v/>
      </c>
      <c r="AH210" s="14" t="str">
        <f>IF(AF210=0,"",IF(COUNTIFS($AF$3:AF210,"&gt;0",$S$3:S210,S210)&gt;3,"Trừ toàn bộ chuyên cần tháng",""))</f>
        <v/>
      </c>
      <c r="AI210" s="14"/>
      <c r="AJ210" s="14"/>
    </row>
    <row r="211" spans="1:36" x14ac:dyDescent="0.25">
      <c r="A211" s="4" t="s">
        <v>338</v>
      </c>
      <c r="B211" s="1" t="s">
        <v>339</v>
      </c>
      <c r="C211" s="1" t="s">
        <v>19</v>
      </c>
      <c r="D211" s="1" t="s">
        <v>60</v>
      </c>
      <c r="E211" s="1" t="s">
        <v>21</v>
      </c>
      <c r="F211" s="1" t="s">
        <v>22</v>
      </c>
      <c r="G211" s="1" t="s">
        <v>12</v>
      </c>
      <c r="H211" s="12" t="s">
        <v>358</v>
      </c>
      <c r="I211" s="1" t="s">
        <v>23</v>
      </c>
      <c r="J211" s="1" t="s">
        <v>98</v>
      </c>
      <c r="K211" s="1" t="s">
        <v>24</v>
      </c>
      <c r="L211" s="1" t="s">
        <v>25</v>
      </c>
      <c r="M211" s="1" t="s">
        <v>24</v>
      </c>
      <c r="N211" s="1" t="s">
        <v>24</v>
      </c>
      <c r="O211" s="1" t="s">
        <v>24</v>
      </c>
      <c r="P211" s="1" t="s">
        <v>24</v>
      </c>
      <c r="Q211" s="1" t="s">
        <v>24</v>
      </c>
      <c r="R211" s="75" t="str">
        <f t="shared" si="23"/>
        <v>5145929</v>
      </c>
      <c r="S211" t="str">
        <f>VLOOKUP(A211,Data_NV!$A:$C,3,0)</f>
        <v>Dương Thị Kim Hồng</v>
      </c>
      <c r="T211" t="str">
        <f>VLOOKUP(A211,Data_NV!$A:$E,4,0)</f>
        <v>Kinh doanh</v>
      </c>
      <c r="U211" s="72">
        <f>DATEVALUE(Table2[[#This Row],[Ngày]])</f>
        <v>45929</v>
      </c>
      <c r="V211" t="str">
        <f>VLOOKUP(A211,Data_NV!$A:$E,5,0)</f>
        <v>Đang làm việc</v>
      </c>
      <c r="W211" s="11">
        <f>VLOOKUP(A211,Data_NV!$A:$I,8,0)</f>
        <v>0.33333333333333331</v>
      </c>
      <c r="X211" s="11">
        <f>VLOOKUP(A211,Data_NV!$A:$I,9,0)</f>
        <v>0.70833333333333337</v>
      </c>
      <c r="Y211" s="11">
        <f>IFERROR(TIMEVALUE(Table2[[#This Row],[Vào]]),0)</f>
        <v>0.33598379629629632</v>
      </c>
      <c r="Z211" s="11">
        <f>IFERROR(TIMEVALUE(Table2[[#This Row],[Ra]]),0)</f>
        <v>0</v>
      </c>
      <c r="AA211" t="str">
        <f t="shared" si="24"/>
        <v>x</v>
      </c>
      <c r="AB211" s="14">
        <f t="shared" ref="AB211:AB242" si="26">IF(Y211&lt;=W211,0,ROUNDDOWN((Y211-W211)*24*60,0))</f>
        <v>3</v>
      </c>
      <c r="AC211" s="14" t="str">
        <f>IF(VLOOKUP(A211,Data_NV!$A:$I,7,0)="Không","",IF(OR(AND(Y211=0,Z211=0),AND(Y211&lt;&gt;0,Z211&lt;&gt;0)),"","Quên chấm công"))</f>
        <v/>
      </c>
      <c r="AD211" s="14">
        <f>IF(VLOOKUP(A211,Data_NV!$A:$I,7,0)="Không",0,IF(AND(Y211=0,Z211=0),0,IF(X211&lt;=Z211,0,ROUNDDOWN((X211-Z211)*24*60,0))))</f>
        <v>0</v>
      </c>
      <c r="AE211" s="14">
        <f>IF(VLOOKUP(A211,Data_NV!$A:$I,6,0)="Không",0,IF(Z211&lt;=X211,0,ROUNDDOWN((Z211-X211)*24*60,0)))</f>
        <v>0</v>
      </c>
      <c r="AF211" s="29">
        <f t="shared" si="25"/>
        <v>0</v>
      </c>
      <c r="AG211" s="30" t="str">
        <f>IF(AC211="","",IF(COUNTIFS($AC$3:AC211,"Quên chấm công",$S$3:S211,S211)&gt;3,"Không chấm công do vi phạm quá 3 lần",IF(COUNTIFS($AC$3:AC211,"Quên chấm công",$S$3:S211,S211)&gt;2,"Trừ toàn bộ chuyên cần tháng do vi phạm lần 3",IF(COUNTIFS($AC$3:AC211,"Quên chấm công",$S$3:S211,S211)&gt;1,"Trừ 1/2 ngày lương",50000))))</f>
        <v/>
      </c>
      <c r="AH211" s="14" t="str">
        <f>IF(AF211=0,"",IF(COUNTIFS($AF$3:AF211,"&gt;0",$S$3:S211,S211)&gt;3,"Trừ toàn bộ chuyên cần tháng",""))</f>
        <v/>
      </c>
      <c r="AI211" s="14"/>
      <c r="AJ211" s="14"/>
    </row>
    <row r="212" spans="1:36" x14ac:dyDescent="0.25">
      <c r="A212" s="4" t="s">
        <v>338</v>
      </c>
      <c r="B212" s="1" t="s">
        <v>339</v>
      </c>
      <c r="C212" s="1" t="s">
        <v>19</v>
      </c>
      <c r="D212" s="1" t="s">
        <v>61</v>
      </c>
      <c r="E212" s="1" t="s">
        <v>21</v>
      </c>
      <c r="F212" s="1" t="s">
        <v>22</v>
      </c>
      <c r="G212" s="1" t="s">
        <v>12</v>
      </c>
      <c r="H212" s="12" t="s">
        <v>359</v>
      </c>
      <c r="I212" s="1" t="s">
        <v>23</v>
      </c>
      <c r="J212" s="1" t="s">
        <v>144</v>
      </c>
      <c r="K212" s="1" t="s">
        <v>24</v>
      </c>
      <c r="L212" s="1" t="s">
        <v>25</v>
      </c>
      <c r="M212" s="1" t="s">
        <v>24</v>
      </c>
      <c r="N212" s="1" t="s">
        <v>24</v>
      </c>
      <c r="O212" s="1" t="s">
        <v>24</v>
      </c>
      <c r="P212" s="1" t="s">
        <v>24</v>
      </c>
      <c r="Q212" s="1" t="s">
        <v>24</v>
      </c>
      <c r="R212" s="75" t="str">
        <f t="shared" si="23"/>
        <v>5145930</v>
      </c>
      <c r="S212" t="str">
        <f>VLOOKUP(A212,Data_NV!$A:$C,3,0)</f>
        <v>Dương Thị Kim Hồng</v>
      </c>
      <c r="T212" t="str">
        <f>VLOOKUP(A212,Data_NV!$A:$E,4,0)</f>
        <v>Kinh doanh</v>
      </c>
      <c r="U212" s="72">
        <f>DATEVALUE(Table2[[#This Row],[Ngày]])</f>
        <v>45930</v>
      </c>
      <c r="V212" t="str">
        <f>VLOOKUP(A212,Data_NV!$A:$E,5,0)</f>
        <v>Đang làm việc</v>
      </c>
      <c r="W212" s="11">
        <f>VLOOKUP(A212,Data_NV!$A:$I,8,0)</f>
        <v>0.33333333333333331</v>
      </c>
      <c r="X212" s="11">
        <f>VLOOKUP(A212,Data_NV!$A:$I,9,0)</f>
        <v>0.70833333333333337</v>
      </c>
      <c r="Y212" s="11">
        <f>IFERROR(TIMEVALUE(Table2[[#This Row],[Vào]]),0)</f>
        <v>0.40290509259259261</v>
      </c>
      <c r="Z212" s="11">
        <f>IFERROR(TIMEVALUE(Table2[[#This Row],[Ra]]),0)</f>
        <v>0</v>
      </c>
      <c r="AA212" t="str">
        <f t="shared" si="24"/>
        <v>1/2</v>
      </c>
      <c r="AB212" s="14">
        <f t="shared" si="26"/>
        <v>100</v>
      </c>
      <c r="AC212" s="14" t="str">
        <f>IF(VLOOKUP(A212,Data_NV!$A:$I,7,0)="Không","",IF(OR(AND(Y212=0,Z212=0),AND(Y212&lt;&gt;0,Z212&lt;&gt;0)),"","Quên chấm công"))</f>
        <v/>
      </c>
      <c r="AD212" s="14">
        <f>IF(VLOOKUP(A212,Data_NV!$A:$I,7,0)="Không",0,IF(AND(Y212=0,Z212=0),0,IF(X212&lt;=Z212,0,ROUNDDOWN((X212-Z212)*24*60,0))))</f>
        <v>0</v>
      </c>
      <c r="AE212" s="14">
        <f>IF(VLOOKUP(A212,Data_NV!$A:$I,6,0)="Không",0,IF(Z212&lt;=X212,0,ROUNDDOWN((Z212-X212)*24*60,0)))</f>
        <v>0</v>
      </c>
      <c r="AF212" s="29" t="str">
        <f t="shared" si="25"/>
        <v>Trừ 1/2 ngày lương</v>
      </c>
      <c r="AG212" s="30" t="str">
        <f>IF(AC212="","",IF(COUNTIFS($AC$3:AC212,"Quên chấm công",$S$3:S212,S212)&gt;3,"Không chấm công do vi phạm quá 3 lần",IF(COUNTIFS($AC$3:AC212,"Quên chấm công",$S$3:S212,S212)&gt;2,"Trừ toàn bộ chuyên cần tháng do vi phạm lần 3",IF(COUNTIFS($AC$3:AC212,"Quên chấm công",$S$3:S212,S212)&gt;1,"Trừ 1/2 ngày lương",50000))))</f>
        <v/>
      </c>
      <c r="AH212" s="14" t="str">
        <f>IF(AF212=0,"",IF(COUNTIFS($AF$3:AF212,"&gt;0",$S$3:S212,S212)&gt;3,"Trừ toàn bộ chuyên cần tháng",""))</f>
        <v>Trừ toàn bộ chuyên cần tháng</v>
      </c>
      <c r="AI212" s="14"/>
      <c r="AJ212" s="14"/>
    </row>
    <row r="213" spans="1:36" x14ac:dyDescent="0.25">
      <c r="A213" s="4" t="s">
        <v>362</v>
      </c>
      <c r="B213" s="1" t="s">
        <v>363</v>
      </c>
      <c r="C213" s="1" t="s">
        <v>19</v>
      </c>
      <c r="D213" s="1" t="s">
        <v>20</v>
      </c>
      <c r="E213" s="1" t="s">
        <v>21</v>
      </c>
      <c r="F213" s="1" t="s">
        <v>22</v>
      </c>
      <c r="G213" s="1" t="s">
        <v>12</v>
      </c>
      <c r="H213" s="12" t="s">
        <v>23</v>
      </c>
      <c r="I213" s="1" t="s">
        <v>23</v>
      </c>
      <c r="J213" s="1" t="s">
        <v>24</v>
      </c>
      <c r="K213" s="1" t="s">
        <v>24</v>
      </c>
      <c r="L213" s="1" t="s">
        <v>25</v>
      </c>
      <c r="M213" s="1" t="s">
        <v>24</v>
      </c>
      <c r="N213" s="1" t="s">
        <v>24</v>
      </c>
      <c r="O213" s="1" t="s">
        <v>24</v>
      </c>
      <c r="P213" s="1" t="s">
        <v>24</v>
      </c>
      <c r="Q213" s="1" t="s">
        <v>24</v>
      </c>
      <c r="R213" s="75" t="str">
        <f t="shared" si="23"/>
        <v>5345901</v>
      </c>
      <c r="S213" t="str">
        <f>VLOOKUP(A213,Data_NV!$A:$C,3,0)</f>
        <v>Bùi Thị Kim Dung</v>
      </c>
      <c r="T213" t="str">
        <f>VLOOKUP(A213,Data_NV!$A:$E,4,0)</f>
        <v>Kinh doanh</v>
      </c>
      <c r="U213" s="72">
        <f>DATEVALUE(Table2[[#This Row],[Ngày]])</f>
        <v>45901</v>
      </c>
      <c r="V213" t="str">
        <f>VLOOKUP(A213,Data_NV!$A:$E,5,0)</f>
        <v>Đang làm việc</v>
      </c>
      <c r="W213" s="11">
        <f>VLOOKUP(A213,Data_NV!$A:$I,8,0)</f>
        <v>0.33333333333333331</v>
      </c>
      <c r="X213" s="11">
        <f>VLOOKUP(A213,Data_NV!$A:$I,9,0)</f>
        <v>0.70833333333333337</v>
      </c>
      <c r="Y213" s="11">
        <f>IFERROR(TIMEVALUE(Table2[[#This Row],[Vào]]),0)</f>
        <v>0</v>
      </c>
      <c r="Z213" s="11">
        <f>IFERROR(TIMEVALUE(Table2[[#This Row],[Ra]]),0)</f>
        <v>0</v>
      </c>
      <c r="AA213" s="10" t="s">
        <v>508</v>
      </c>
      <c r="AB213" s="14">
        <f t="shared" si="26"/>
        <v>0</v>
      </c>
      <c r="AC213" s="14" t="str">
        <f>IF(VLOOKUP(A213,Data_NV!$A:$I,7,0)="Không","",IF(OR(AND(Y213=0,Z213=0),AND(Y213&lt;&gt;0,Z213&lt;&gt;0)),"","Quên chấm công"))</f>
        <v/>
      </c>
      <c r="AD213" s="14">
        <f>IF(VLOOKUP(A213,Data_NV!$A:$I,7,0)="Không",0,IF(AND(Y213=0,Z213=0),0,IF(X213&lt;=Z213,0,ROUNDDOWN((X213-Z213)*24*60,0))))</f>
        <v>0</v>
      </c>
      <c r="AE213" s="14">
        <f>IF(VLOOKUP(A213,Data_NV!$A:$I,6,0)="Không",0,IF(Z213&lt;=X213,0,ROUNDDOWN((Z213-X213)*24*60,0)))</f>
        <v>0</v>
      </c>
      <c r="AF213" s="29">
        <f t="shared" si="25"/>
        <v>0</v>
      </c>
      <c r="AG213" s="30" t="str">
        <f>IF(AC213="","",IF(COUNTIFS($AC$3:AC213,"Quên chấm công",$S$3:S213,S213)&gt;3,"Không chấm công do vi phạm quá 3 lần",IF(COUNTIFS($AC$3:AC213,"Quên chấm công",$S$3:S213,S213)&gt;2,"Trừ toàn bộ chuyên cần tháng do vi phạm lần 3",IF(COUNTIFS($AC$3:AC213,"Quên chấm công",$S$3:S213,S213)&gt;1,"Trừ 1/2 ngày lương",50000))))</f>
        <v/>
      </c>
      <c r="AH213" s="14" t="str">
        <f>IF(AF213=0,"",IF(COUNTIFS($AF$3:AF213,"&gt;0",$S$3:S213,S213)&gt;3,"Trừ toàn bộ chuyên cần tháng",""))</f>
        <v/>
      </c>
      <c r="AI213" s="14"/>
      <c r="AJ213" s="14"/>
    </row>
    <row r="214" spans="1:36" x14ac:dyDescent="0.25">
      <c r="A214" s="4" t="s">
        <v>362</v>
      </c>
      <c r="B214" s="1" t="s">
        <v>363</v>
      </c>
      <c r="C214" s="1" t="s">
        <v>19</v>
      </c>
      <c r="D214" s="1" t="s">
        <v>26</v>
      </c>
      <c r="E214" s="1" t="s">
        <v>21</v>
      </c>
      <c r="F214" s="1" t="s">
        <v>22</v>
      </c>
      <c r="G214" s="1" t="s">
        <v>12</v>
      </c>
      <c r="H214" s="12" t="s">
        <v>23</v>
      </c>
      <c r="I214" s="1" t="s">
        <v>23</v>
      </c>
      <c r="J214" s="1" t="s">
        <v>24</v>
      </c>
      <c r="K214" s="1" t="s">
        <v>24</v>
      </c>
      <c r="L214" s="1" t="s">
        <v>25</v>
      </c>
      <c r="M214" s="1" t="s">
        <v>24</v>
      </c>
      <c r="N214" s="1" t="s">
        <v>24</v>
      </c>
      <c r="O214" s="1" t="s">
        <v>24</v>
      </c>
      <c r="P214" s="1" t="s">
        <v>24</v>
      </c>
      <c r="Q214" s="1" t="s">
        <v>24</v>
      </c>
      <c r="R214" s="75" t="str">
        <f t="shared" si="23"/>
        <v>5345902</v>
      </c>
      <c r="S214" t="str">
        <f>VLOOKUP(A214,Data_NV!$A:$C,3,0)</f>
        <v>Bùi Thị Kim Dung</v>
      </c>
      <c r="T214" t="str">
        <f>VLOOKUP(A214,Data_NV!$A:$E,4,0)</f>
        <v>Kinh doanh</v>
      </c>
      <c r="U214" s="72">
        <f>DATEVALUE(Table2[[#This Row],[Ngày]])</f>
        <v>45902</v>
      </c>
      <c r="V214" t="str">
        <f>VLOOKUP(A214,Data_NV!$A:$E,5,0)</f>
        <v>Đang làm việc</v>
      </c>
      <c r="W214" s="11">
        <f>VLOOKUP(A214,Data_NV!$A:$I,8,0)</f>
        <v>0.33333333333333331</v>
      </c>
      <c r="X214" s="11">
        <f>VLOOKUP(A214,Data_NV!$A:$I,9,0)</f>
        <v>0.70833333333333337</v>
      </c>
      <c r="Y214" s="11">
        <f>IFERROR(TIMEVALUE(Table2[[#This Row],[Vào]]),0)</f>
        <v>0</v>
      </c>
      <c r="Z214" s="11">
        <f>IFERROR(TIMEVALUE(Table2[[#This Row],[Ra]]),0)</f>
        <v>0</v>
      </c>
      <c r="AA214" s="10" t="s">
        <v>508</v>
      </c>
      <c r="AB214" s="14">
        <f t="shared" si="26"/>
        <v>0</v>
      </c>
      <c r="AC214" s="14" t="str">
        <f>IF(VLOOKUP(A214,Data_NV!$A:$I,7,0)="Không","",IF(OR(AND(Y214=0,Z214=0),AND(Y214&lt;&gt;0,Z214&lt;&gt;0)),"","Quên chấm công"))</f>
        <v/>
      </c>
      <c r="AD214" s="14">
        <f>IF(VLOOKUP(A214,Data_NV!$A:$I,7,0)="Không",0,IF(AND(Y214=0,Z214=0),0,IF(X214&lt;=Z214,0,ROUNDDOWN((X214-Z214)*24*60,0))))</f>
        <v>0</v>
      </c>
      <c r="AE214" s="14">
        <f>IF(VLOOKUP(A214,Data_NV!$A:$I,6,0)="Không",0,IF(Z214&lt;=X214,0,ROUNDDOWN((Z214-X214)*24*60,0)))</f>
        <v>0</v>
      </c>
      <c r="AF214" s="29">
        <f t="shared" si="25"/>
        <v>0</v>
      </c>
      <c r="AG214" s="30" t="str">
        <f>IF(AC214="","",IF(COUNTIFS($AC$3:AC214,"Quên chấm công",$S$3:S214,S214)&gt;3,"Không chấm công do vi phạm quá 3 lần",IF(COUNTIFS($AC$3:AC214,"Quên chấm công",$S$3:S214,S214)&gt;2,"Trừ toàn bộ chuyên cần tháng do vi phạm lần 3",IF(COUNTIFS($AC$3:AC214,"Quên chấm công",$S$3:S214,S214)&gt;1,"Trừ 1/2 ngày lương",50000))))</f>
        <v/>
      </c>
      <c r="AH214" s="14" t="str">
        <f>IF(AF214=0,"",IF(COUNTIFS($AF$3:AF214,"&gt;0",$S$3:S214,S214)&gt;3,"Trừ toàn bộ chuyên cần tháng",""))</f>
        <v/>
      </c>
      <c r="AI214" s="14"/>
      <c r="AJ214" s="14"/>
    </row>
    <row r="215" spans="1:36" x14ac:dyDescent="0.25">
      <c r="A215" s="4" t="s">
        <v>362</v>
      </c>
      <c r="B215" s="1" t="s">
        <v>363</v>
      </c>
      <c r="C215" s="1" t="s">
        <v>19</v>
      </c>
      <c r="D215" s="1" t="s">
        <v>27</v>
      </c>
      <c r="E215" s="1" t="s">
        <v>21</v>
      </c>
      <c r="F215" s="1" t="s">
        <v>22</v>
      </c>
      <c r="G215" s="1" t="s">
        <v>12</v>
      </c>
      <c r="H215" s="12" t="s">
        <v>364</v>
      </c>
      <c r="I215" s="1" t="s">
        <v>23</v>
      </c>
      <c r="J215" s="1" t="s">
        <v>24</v>
      </c>
      <c r="K215" s="1" t="s">
        <v>24</v>
      </c>
      <c r="L215" s="1" t="s">
        <v>25</v>
      </c>
      <c r="M215" s="1" t="s">
        <v>24</v>
      </c>
      <c r="N215" s="1" t="s">
        <v>24</v>
      </c>
      <c r="O215" s="1" t="s">
        <v>24</v>
      </c>
      <c r="P215" s="1" t="s">
        <v>24</v>
      </c>
      <c r="Q215" s="1" t="s">
        <v>24</v>
      </c>
      <c r="R215" s="75" t="str">
        <f t="shared" si="23"/>
        <v>5345903</v>
      </c>
      <c r="S215" t="str">
        <f>VLOOKUP(A215,Data_NV!$A:$C,3,0)</f>
        <v>Bùi Thị Kim Dung</v>
      </c>
      <c r="T215" t="str">
        <f>VLOOKUP(A215,Data_NV!$A:$E,4,0)</f>
        <v>Kinh doanh</v>
      </c>
      <c r="U215" s="72">
        <f>DATEVALUE(Table2[[#This Row],[Ngày]])</f>
        <v>45903</v>
      </c>
      <c r="V215" t="str">
        <f>VLOOKUP(A215,Data_NV!$A:$E,5,0)</f>
        <v>Đang làm việc</v>
      </c>
      <c r="W215" s="11">
        <f>VLOOKUP(A215,Data_NV!$A:$I,8,0)</f>
        <v>0.33333333333333331</v>
      </c>
      <c r="X215" s="11">
        <f>VLOOKUP(A215,Data_NV!$A:$I,9,0)</f>
        <v>0.70833333333333337</v>
      </c>
      <c r="Y215" s="11">
        <f>IFERROR(TIMEVALUE(Table2[[#This Row],[Vào]]),0)</f>
        <v>0.33244212962962966</v>
      </c>
      <c r="Z215" s="11">
        <f>IFERROR(TIMEVALUE(Table2[[#This Row],[Ra]]),0)</f>
        <v>0</v>
      </c>
      <c r="AA215" t="str">
        <f t="shared" si="24"/>
        <v>x</v>
      </c>
      <c r="AB215" s="14">
        <f t="shared" si="26"/>
        <v>0</v>
      </c>
      <c r="AC215" s="14" t="str">
        <f>IF(VLOOKUP(A215,Data_NV!$A:$I,7,0)="Không","",IF(OR(AND(Y215=0,Z215=0),AND(Y215&lt;&gt;0,Z215&lt;&gt;0)),"","Quên chấm công"))</f>
        <v/>
      </c>
      <c r="AD215" s="14">
        <f>IF(VLOOKUP(A215,Data_NV!$A:$I,7,0)="Không",0,IF(AND(Y215=0,Z215=0),0,IF(X215&lt;=Z215,0,ROUNDDOWN((X215-Z215)*24*60,0))))</f>
        <v>0</v>
      </c>
      <c r="AE215" s="14">
        <f>IF(VLOOKUP(A215,Data_NV!$A:$I,6,0)="Không",0,IF(Z215&lt;=X215,0,ROUNDDOWN((Z215-X215)*24*60,0)))</f>
        <v>0</v>
      </c>
      <c r="AF215" s="29">
        <f t="shared" si="25"/>
        <v>0</v>
      </c>
      <c r="AG215" s="30" t="str">
        <f>IF(AC215="","",IF(COUNTIFS($AC$3:AC215,"Quên chấm công",$S$3:S215,S215)&gt;3,"Không chấm công do vi phạm quá 3 lần",IF(COUNTIFS($AC$3:AC215,"Quên chấm công",$S$3:S215,S215)&gt;2,"Trừ toàn bộ chuyên cần tháng do vi phạm lần 3",IF(COUNTIFS($AC$3:AC215,"Quên chấm công",$S$3:S215,S215)&gt;1,"Trừ 1/2 ngày lương",50000))))</f>
        <v/>
      </c>
      <c r="AH215" s="14" t="str">
        <f>IF(AF215=0,"",IF(COUNTIFS($AF$3:AF215,"&gt;0",$S$3:S215,S215)&gt;3,"Trừ toàn bộ chuyên cần tháng",""))</f>
        <v/>
      </c>
      <c r="AI215" s="14"/>
      <c r="AJ215" s="14"/>
    </row>
    <row r="216" spans="1:36" x14ac:dyDescent="0.25">
      <c r="A216" s="4" t="s">
        <v>362</v>
      </c>
      <c r="B216" s="1" t="s">
        <v>363</v>
      </c>
      <c r="C216" s="1" t="s">
        <v>19</v>
      </c>
      <c r="D216" s="1" t="s">
        <v>31</v>
      </c>
      <c r="E216" s="1" t="s">
        <v>21</v>
      </c>
      <c r="F216" s="1" t="s">
        <v>22</v>
      </c>
      <c r="G216" s="1" t="s">
        <v>12</v>
      </c>
      <c r="H216" s="12" t="s">
        <v>365</v>
      </c>
      <c r="I216" s="1" t="s">
        <v>23</v>
      </c>
      <c r="J216" s="1" t="s">
        <v>24</v>
      </c>
      <c r="K216" s="1" t="s">
        <v>24</v>
      </c>
      <c r="L216" s="1" t="s">
        <v>25</v>
      </c>
      <c r="M216" s="1" t="s">
        <v>24</v>
      </c>
      <c r="N216" s="1" t="s">
        <v>24</v>
      </c>
      <c r="O216" s="1" t="s">
        <v>24</v>
      </c>
      <c r="P216" s="1" t="s">
        <v>24</v>
      </c>
      <c r="Q216" s="1" t="s">
        <v>24</v>
      </c>
      <c r="R216" s="75" t="str">
        <f t="shared" si="23"/>
        <v>5345904</v>
      </c>
      <c r="S216" t="str">
        <f>VLOOKUP(A216,Data_NV!$A:$C,3,0)</f>
        <v>Bùi Thị Kim Dung</v>
      </c>
      <c r="T216" t="str">
        <f>VLOOKUP(A216,Data_NV!$A:$E,4,0)</f>
        <v>Kinh doanh</v>
      </c>
      <c r="U216" s="72">
        <f>DATEVALUE(Table2[[#This Row],[Ngày]])</f>
        <v>45904</v>
      </c>
      <c r="V216" t="str">
        <f>VLOOKUP(A216,Data_NV!$A:$E,5,0)</f>
        <v>Đang làm việc</v>
      </c>
      <c r="W216" s="11">
        <f>VLOOKUP(A216,Data_NV!$A:$I,8,0)</f>
        <v>0.33333333333333331</v>
      </c>
      <c r="X216" s="11">
        <f>VLOOKUP(A216,Data_NV!$A:$I,9,0)</f>
        <v>0.70833333333333337</v>
      </c>
      <c r="Y216" s="11">
        <f>IFERROR(TIMEVALUE(Table2[[#This Row],[Vào]]),0)</f>
        <v>0.3336574074074074</v>
      </c>
      <c r="Z216" s="11">
        <f>IFERROR(TIMEVALUE(Table2[[#This Row],[Ra]]),0)</f>
        <v>0</v>
      </c>
      <c r="AA216" t="str">
        <f t="shared" si="24"/>
        <v>x</v>
      </c>
      <c r="AB216" s="14">
        <f t="shared" si="26"/>
        <v>0</v>
      </c>
      <c r="AC216" s="14" t="str">
        <f>IF(VLOOKUP(A216,Data_NV!$A:$I,7,0)="Không","",IF(OR(AND(Y216=0,Z216=0),AND(Y216&lt;&gt;0,Z216&lt;&gt;0)),"","Quên chấm công"))</f>
        <v/>
      </c>
      <c r="AD216" s="14">
        <f>IF(VLOOKUP(A216,Data_NV!$A:$I,7,0)="Không",0,IF(AND(Y216=0,Z216=0),0,IF(X216&lt;=Z216,0,ROUNDDOWN((X216-Z216)*24*60,0))))</f>
        <v>0</v>
      </c>
      <c r="AE216" s="14">
        <f>IF(VLOOKUP(A216,Data_NV!$A:$I,6,0)="Không",0,IF(Z216&lt;=X216,0,ROUNDDOWN((Z216-X216)*24*60,0)))</f>
        <v>0</v>
      </c>
      <c r="AF216" s="29">
        <f t="shared" si="25"/>
        <v>0</v>
      </c>
      <c r="AG216" s="30" t="str">
        <f>IF(AC216="","",IF(COUNTIFS($AC$3:AC216,"Quên chấm công",$S$3:S216,S216)&gt;3,"Không chấm công do vi phạm quá 3 lần",IF(COUNTIFS($AC$3:AC216,"Quên chấm công",$S$3:S216,S216)&gt;2,"Trừ toàn bộ chuyên cần tháng do vi phạm lần 3",IF(COUNTIFS($AC$3:AC216,"Quên chấm công",$S$3:S216,S216)&gt;1,"Trừ 1/2 ngày lương",50000))))</f>
        <v/>
      </c>
      <c r="AH216" s="14" t="str">
        <f>IF(AF216=0,"",IF(COUNTIFS($AF$3:AF216,"&gt;0",$S$3:S216,S216)&gt;3,"Trừ toàn bộ chuyên cần tháng",""))</f>
        <v/>
      </c>
      <c r="AI216" s="14"/>
      <c r="AJ216" s="14"/>
    </row>
    <row r="217" spans="1:36" x14ac:dyDescent="0.25">
      <c r="A217" s="4" t="s">
        <v>362</v>
      </c>
      <c r="B217" s="1" t="s">
        <v>363</v>
      </c>
      <c r="C217" s="1" t="s">
        <v>19</v>
      </c>
      <c r="D217" s="1" t="s">
        <v>32</v>
      </c>
      <c r="E217" s="1" t="s">
        <v>21</v>
      </c>
      <c r="F217" s="1" t="s">
        <v>22</v>
      </c>
      <c r="G217" s="1" t="s">
        <v>12</v>
      </c>
      <c r="H217" s="12" t="s">
        <v>366</v>
      </c>
      <c r="I217" s="1" t="s">
        <v>23</v>
      </c>
      <c r="J217" s="1" t="s">
        <v>168</v>
      </c>
      <c r="K217" s="1" t="s">
        <v>24</v>
      </c>
      <c r="L217" s="1" t="s">
        <v>25</v>
      </c>
      <c r="M217" s="1" t="s">
        <v>24</v>
      </c>
      <c r="N217" s="1" t="s">
        <v>24</v>
      </c>
      <c r="O217" s="1" t="s">
        <v>24</v>
      </c>
      <c r="P217" s="1" t="s">
        <v>24</v>
      </c>
      <c r="Q217" s="1" t="s">
        <v>24</v>
      </c>
      <c r="R217" s="75" t="str">
        <f t="shared" si="23"/>
        <v>5345905</v>
      </c>
      <c r="S217" t="str">
        <f>VLOOKUP(A217,Data_NV!$A:$C,3,0)</f>
        <v>Bùi Thị Kim Dung</v>
      </c>
      <c r="T217" t="str">
        <f>VLOOKUP(A217,Data_NV!$A:$E,4,0)</f>
        <v>Kinh doanh</v>
      </c>
      <c r="U217" s="72">
        <f>DATEVALUE(Table2[[#This Row],[Ngày]])</f>
        <v>45905</v>
      </c>
      <c r="V217" t="str">
        <f>VLOOKUP(A217,Data_NV!$A:$E,5,0)</f>
        <v>Đang làm việc</v>
      </c>
      <c r="W217" s="11">
        <f>VLOOKUP(A217,Data_NV!$A:$I,8,0)</f>
        <v>0.33333333333333331</v>
      </c>
      <c r="X217" s="11">
        <f>VLOOKUP(A217,Data_NV!$A:$I,9,0)</f>
        <v>0.70833333333333337</v>
      </c>
      <c r="Y217" s="11">
        <f>IFERROR(TIMEVALUE(Table2[[#This Row],[Vào]]),0)</f>
        <v>0.34700231481481481</v>
      </c>
      <c r="Z217" s="11">
        <f>IFERROR(TIMEVALUE(Table2[[#This Row],[Ra]]),0)</f>
        <v>0</v>
      </c>
      <c r="AA217" t="str">
        <f t="shared" si="24"/>
        <v>x</v>
      </c>
      <c r="AB217" s="14">
        <f t="shared" si="26"/>
        <v>19</v>
      </c>
      <c r="AC217" s="14" t="str">
        <f>IF(VLOOKUP(A217,Data_NV!$A:$I,7,0)="Không","",IF(OR(AND(Y217=0,Z217=0),AND(Y217&lt;&gt;0,Z217&lt;&gt;0)),"","Quên chấm công"))</f>
        <v/>
      </c>
      <c r="AD217" s="14">
        <f>IF(VLOOKUP(A217,Data_NV!$A:$I,7,0)="Không",0,IF(AND(Y217=0,Z217=0),0,IF(X217&lt;=Z217,0,ROUNDDOWN((X217-Z217)*24*60,0))))</f>
        <v>0</v>
      </c>
      <c r="AE217" s="14">
        <f>IF(VLOOKUP(A217,Data_NV!$A:$I,6,0)="Không",0,IF(Z217&lt;=X217,0,ROUNDDOWN((Z217-X217)*24*60,0)))</f>
        <v>0</v>
      </c>
      <c r="AF217" s="29">
        <f t="shared" si="25"/>
        <v>50000</v>
      </c>
      <c r="AG217" s="30" t="str">
        <f>IF(AC217="","",IF(COUNTIFS($AC$3:AC217,"Quên chấm công",$S$3:S217,S217)&gt;3,"Không chấm công do vi phạm quá 3 lần",IF(COUNTIFS($AC$3:AC217,"Quên chấm công",$S$3:S217,S217)&gt;2,"Trừ toàn bộ chuyên cần tháng do vi phạm lần 3",IF(COUNTIFS($AC$3:AC217,"Quên chấm công",$S$3:S217,S217)&gt;1,"Trừ 1/2 ngày lương",50000))))</f>
        <v/>
      </c>
      <c r="AH217" s="14" t="str">
        <f>IF(AF217=0,"",IF(COUNTIFS($AF$3:AF217,"&gt;0",$S$3:S217,S217)&gt;3,"Trừ toàn bộ chuyên cần tháng",""))</f>
        <v/>
      </c>
      <c r="AI217" s="14"/>
      <c r="AJ217" s="14"/>
    </row>
    <row r="218" spans="1:36" x14ac:dyDescent="0.25">
      <c r="A218" s="4" t="s">
        <v>362</v>
      </c>
      <c r="B218" s="1" t="s">
        <v>363</v>
      </c>
      <c r="C218" s="1" t="s">
        <v>19</v>
      </c>
      <c r="D218" s="1" t="s">
        <v>33</v>
      </c>
      <c r="E218" s="1" t="s">
        <v>21</v>
      </c>
      <c r="F218" s="1" t="s">
        <v>22</v>
      </c>
      <c r="G218" s="1" t="s">
        <v>12</v>
      </c>
      <c r="H218" s="12" t="s">
        <v>367</v>
      </c>
      <c r="I218" s="1" t="s">
        <v>23</v>
      </c>
      <c r="J218" s="1" t="s">
        <v>24</v>
      </c>
      <c r="K218" s="1" t="s">
        <v>24</v>
      </c>
      <c r="L218" s="1" t="s">
        <v>25</v>
      </c>
      <c r="M218" s="1" t="s">
        <v>24</v>
      </c>
      <c r="N218" s="1" t="s">
        <v>24</v>
      </c>
      <c r="O218" s="1" t="s">
        <v>24</v>
      </c>
      <c r="P218" s="1" t="s">
        <v>24</v>
      </c>
      <c r="Q218" s="1" t="s">
        <v>24</v>
      </c>
      <c r="R218" s="75" t="str">
        <f t="shared" si="23"/>
        <v>5345906</v>
      </c>
      <c r="S218" t="str">
        <f>VLOOKUP(A218,Data_NV!$A:$C,3,0)</f>
        <v>Bùi Thị Kim Dung</v>
      </c>
      <c r="T218" t="str">
        <f>VLOOKUP(A218,Data_NV!$A:$E,4,0)</f>
        <v>Kinh doanh</v>
      </c>
      <c r="U218" s="72">
        <f>DATEVALUE(Table2[[#This Row],[Ngày]])</f>
        <v>45906</v>
      </c>
      <c r="V218" t="str">
        <f>VLOOKUP(A218,Data_NV!$A:$E,5,0)</f>
        <v>Đang làm việc</v>
      </c>
      <c r="W218" s="11">
        <f>VLOOKUP(A218,Data_NV!$A:$I,8,0)</f>
        <v>0.33333333333333331</v>
      </c>
      <c r="X218" s="11">
        <f>VLOOKUP(A218,Data_NV!$A:$I,9,0)</f>
        <v>0.70833333333333337</v>
      </c>
      <c r="Y218" s="11">
        <f>IFERROR(TIMEVALUE(Table2[[#This Row],[Vào]]),0)</f>
        <v>0.33129629629629631</v>
      </c>
      <c r="Z218" s="11">
        <f>IFERROR(TIMEVALUE(Table2[[#This Row],[Ra]]),0)</f>
        <v>0</v>
      </c>
      <c r="AA218" t="str">
        <f t="shared" si="24"/>
        <v>x</v>
      </c>
      <c r="AB218" s="14">
        <f t="shared" si="26"/>
        <v>0</v>
      </c>
      <c r="AC218" s="14" t="str">
        <f>IF(VLOOKUP(A218,Data_NV!$A:$I,7,0)="Không","",IF(OR(AND(Y218=0,Z218=0),AND(Y218&lt;&gt;0,Z218&lt;&gt;0)),"","Quên chấm công"))</f>
        <v/>
      </c>
      <c r="AD218" s="14">
        <f>IF(VLOOKUP(A218,Data_NV!$A:$I,7,0)="Không",0,IF(AND(Y218=0,Z218=0),0,IF(X218&lt;=Z218,0,ROUNDDOWN((X218-Z218)*24*60,0))))</f>
        <v>0</v>
      </c>
      <c r="AE218" s="14">
        <f>IF(VLOOKUP(A218,Data_NV!$A:$I,6,0)="Không",0,IF(Z218&lt;=X218,0,ROUNDDOWN((Z218-X218)*24*60,0)))</f>
        <v>0</v>
      </c>
      <c r="AF218" s="29">
        <f t="shared" si="25"/>
        <v>0</v>
      </c>
      <c r="AG218" s="30" t="str">
        <f>IF(AC218="","",IF(COUNTIFS($AC$3:AC218,"Quên chấm công",$S$3:S218,S218)&gt;3,"Không chấm công do vi phạm quá 3 lần",IF(COUNTIFS($AC$3:AC218,"Quên chấm công",$S$3:S218,S218)&gt;2,"Trừ toàn bộ chuyên cần tháng do vi phạm lần 3",IF(COUNTIFS($AC$3:AC218,"Quên chấm công",$S$3:S218,S218)&gt;1,"Trừ 1/2 ngày lương",50000))))</f>
        <v/>
      </c>
      <c r="AH218" s="14" t="str">
        <f>IF(AF218=0,"",IF(COUNTIFS($AF$3:AF218,"&gt;0",$S$3:S218,S218)&gt;3,"Trừ toàn bộ chuyên cần tháng",""))</f>
        <v/>
      </c>
      <c r="AI218" s="14"/>
      <c r="AJ218" s="14"/>
    </row>
    <row r="219" spans="1:36" x14ac:dyDescent="0.25">
      <c r="A219" s="4" t="s">
        <v>362</v>
      </c>
      <c r="B219" s="1" t="s">
        <v>363</v>
      </c>
      <c r="C219" s="1" t="s">
        <v>19</v>
      </c>
      <c r="D219" s="1" t="s">
        <v>35</v>
      </c>
      <c r="E219" s="1" t="s">
        <v>21</v>
      </c>
      <c r="F219" s="1" t="s">
        <v>22</v>
      </c>
      <c r="G219" s="1" t="s">
        <v>12</v>
      </c>
      <c r="H219" s="12" t="s">
        <v>23</v>
      </c>
      <c r="I219" s="1" t="s">
        <v>23</v>
      </c>
      <c r="J219" s="1" t="s">
        <v>24</v>
      </c>
      <c r="K219" s="1" t="s">
        <v>24</v>
      </c>
      <c r="L219" s="1" t="s">
        <v>25</v>
      </c>
      <c r="M219" s="1" t="s">
        <v>24</v>
      </c>
      <c r="N219" s="1" t="s">
        <v>24</v>
      </c>
      <c r="O219" s="1" t="s">
        <v>24</v>
      </c>
      <c r="P219" s="1" t="s">
        <v>24</v>
      </c>
      <c r="Q219" s="1" t="s">
        <v>24</v>
      </c>
      <c r="R219" s="75" t="str">
        <f t="shared" si="23"/>
        <v>5345907</v>
      </c>
      <c r="S219" t="str">
        <f>VLOOKUP(A219,Data_NV!$A:$C,3,0)</f>
        <v>Bùi Thị Kim Dung</v>
      </c>
      <c r="T219" t="str">
        <f>VLOOKUP(A219,Data_NV!$A:$E,4,0)</f>
        <v>Kinh doanh</v>
      </c>
      <c r="U219" s="72">
        <f>DATEVALUE(Table2[[#This Row],[Ngày]])</f>
        <v>45907</v>
      </c>
      <c r="V219" t="str">
        <f>VLOOKUP(A219,Data_NV!$A:$E,5,0)</f>
        <v>Đang làm việc</v>
      </c>
      <c r="W219" s="11">
        <f>VLOOKUP(A219,Data_NV!$A:$I,8,0)</f>
        <v>0.33333333333333331</v>
      </c>
      <c r="X219" s="11">
        <f>VLOOKUP(A219,Data_NV!$A:$I,9,0)</f>
        <v>0.70833333333333337</v>
      </c>
      <c r="Y219" s="11">
        <f>IFERROR(TIMEVALUE(Table2[[#This Row],[Vào]]),0)</f>
        <v>0</v>
      </c>
      <c r="Z219" s="11">
        <f>IFERROR(TIMEVALUE(Table2[[#This Row],[Ra]]),0)</f>
        <v>0</v>
      </c>
      <c r="AA219" t="str">
        <f t="shared" si="24"/>
        <v/>
      </c>
      <c r="AB219" s="14">
        <f t="shared" si="26"/>
        <v>0</v>
      </c>
      <c r="AC219" s="14" t="str">
        <f>IF(VLOOKUP(A219,Data_NV!$A:$I,7,0)="Không","",IF(OR(AND(Y219=0,Z219=0),AND(Y219&lt;&gt;0,Z219&lt;&gt;0)),"","Quên chấm công"))</f>
        <v/>
      </c>
      <c r="AD219" s="14">
        <f>IF(VLOOKUP(A219,Data_NV!$A:$I,7,0)="Không",0,IF(AND(Y219=0,Z219=0),0,IF(X219&lt;=Z219,0,ROUNDDOWN((X219-Z219)*24*60,0))))</f>
        <v>0</v>
      </c>
      <c r="AE219" s="14">
        <f>IF(VLOOKUP(A219,Data_NV!$A:$I,6,0)="Không",0,IF(Z219&lt;=X219,0,ROUNDDOWN((Z219-X219)*24*60,0)))</f>
        <v>0</v>
      </c>
      <c r="AF219" s="29">
        <f t="shared" si="25"/>
        <v>0</v>
      </c>
      <c r="AG219" s="30" t="str">
        <f>IF(AC219="","",IF(COUNTIFS($AC$3:AC219,"Quên chấm công",$S$3:S219,S219)&gt;3,"Không chấm công do vi phạm quá 3 lần",IF(COUNTIFS($AC$3:AC219,"Quên chấm công",$S$3:S219,S219)&gt;2,"Trừ toàn bộ chuyên cần tháng do vi phạm lần 3",IF(COUNTIFS($AC$3:AC219,"Quên chấm công",$S$3:S219,S219)&gt;1,"Trừ 1/2 ngày lương",50000))))</f>
        <v/>
      </c>
      <c r="AH219" s="14" t="str">
        <f>IF(AF219=0,"",IF(COUNTIFS($AF$3:AF219,"&gt;0",$S$3:S219,S219)&gt;3,"Trừ toàn bộ chuyên cần tháng",""))</f>
        <v/>
      </c>
      <c r="AI219" s="14"/>
      <c r="AJ219" s="14"/>
    </row>
    <row r="220" spans="1:36" x14ac:dyDescent="0.25">
      <c r="A220" s="4" t="s">
        <v>362</v>
      </c>
      <c r="B220" s="1" t="s">
        <v>363</v>
      </c>
      <c r="C220" s="1" t="s">
        <v>19</v>
      </c>
      <c r="D220" s="1" t="s">
        <v>36</v>
      </c>
      <c r="E220" s="1" t="s">
        <v>21</v>
      </c>
      <c r="F220" s="1" t="s">
        <v>22</v>
      </c>
      <c r="G220" s="1" t="s">
        <v>12</v>
      </c>
      <c r="H220" s="12" t="s">
        <v>368</v>
      </c>
      <c r="I220" s="1" t="s">
        <v>23</v>
      </c>
      <c r="J220" s="1" t="s">
        <v>24</v>
      </c>
      <c r="K220" s="1" t="s">
        <v>24</v>
      </c>
      <c r="L220" s="1" t="s">
        <v>25</v>
      </c>
      <c r="M220" s="1" t="s">
        <v>24</v>
      </c>
      <c r="N220" s="1" t="s">
        <v>24</v>
      </c>
      <c r="O220" s="1" t="s">
        <v>24</v>
      </c>
      <c r="P220" s="1" t="s">
        <v>24</v>
      </c>
      <c r="Q220" s="1" t="s">
        <v>24</v>
      </c>
      <c r="R220" s="75" t="str">
        <f t="shared" si="23"/>
        <v>5345908</v>
      </c>
      <c r="S220" t="str">
        <f>VLOOKUP(A220,Data_NV!$A:$C,3,0)</f>
        <v>Bùi Thị Kim Dung</v>
      </c>
      <c r="T220" t="str">
        <f>VLOOKUP(A220,Data_NV!$A:$E,4,0)</f>
        <v>Kinh doanh</v>
      </c>
      <c r="U220" s="72">
        <f>DATEVALUE(Table2[[#This Row],[Ngày]])</f>
        <v>45908</v>
      </c>
      <c r="V220" t="str">
        <f>VLOOKUP(A220,Data_NV!$A:$E,5,0)</f>
        <v>Đang làm việc</v>
      </c>
      <c r="W220" s="11">
        <f>VLOOKUP(A220,Data_NV!$A:$I,8,0)</f>
        <v>0.33333333333333331</v>
      </c>
      <c r="X220" s="11">
        <f>VLOOKUP(A220,Data_NV!$A:$I,9,0)</f>
        <v>0.70833333333333337</v>
      </c>
      <c r="Y220" s="11">
        <f>IFERROR(TIMEVALUE(Table2[[#This Row],[Vào]]),0)</f>
        <v>0.33118055555555553</v>
      </c>
      <c r="Z220" s="11">
        <f>IFERROR(TIMEVALUE(Table2[[#This Row],[Ra]]),0)</f>
        <v>0</v>
      </c>
      <c r="AA220" t="str">
        <f t="shared" si="24"/>
        <v>x</v>
      </c>
      <c r="AB220" s="14">
        <f t="shared" si="26"/>
        <v>0</v>
      </c>
      <c r="AC220" s="14" t="str">
        <f>IF(VLOOKUP(A220,Data_NV!$A:$I,7,0)="Không","",IF(OR(AND(Y220=0,Z220=0),AND(Y220&lt;&gt;0,Z220&lt;&gt;0)),"","Quên chấm công"))</f>
        <v/>
      </c>
      <c r="AD220" s="14">
        <f>IF(VLOOKUP(A220,Data_NV!$A:$I,7,0)="Không",0,IF(AND(Y220=0,Z220=0),0,IF(X220&lt;=Z220,0,ROUNDDOWN((X220-Z220)*24*60,0))))</f>
        <v>0</v>
      </c>
      <c r="AE220" s="14">
        <f>IF(VLOOKUP(A220,Data_NV!$A:$I,6,0)="Không",0,IF(Z220&lt;=X220,0,ROUNDDOWN((Z220-X220)*24*60,0)))</f>
        <v>0</v>
      </c>
      <c r="AF220" s="29">
        <f t="shared" si="25"/>
        <v>0</v>
      </c>
      <c r="AG220" s="30" t="str">
        <f>IF(AC220="","",IF(COUNTIFS($AC$3:AC220,"Quên chấm công",$S$3:S220,S220)&gt;3,"Không chấm công do vi phạm quá 3 lần",IF(COUNTIFS($AC$3:AC220,"Quên chấm công",$S$3:S220,S220)&gt;2,"Trừ toàn bộ chuyên cần tháng do vi phạm lần 3",IF(COUNTIFS($AC$3:AC220,"Quên chấm công",$S$3:S220,S220)&gt;1,"Trừ 1/2 ngày lương",50000))))</f>
        <v/>
      </c>
      <c r="AH220" s="14" t="str">
        <f>IF(AF220=0,"",IF(COUNTIFS($AF$3:AF220,"&gt;0",$S$3:S220,S220)&gt;3,"Trừ toàn bộ chuyên cần tháng",""))</f>
        <v/>
      </c>
      <c r="AI220" s="14"/>
      <c r="AJ220" s="14"/>
    </row>
    <row r="221" spans="1:36" x14ac:dyDescent="0.25">
      <c r="A221" s="4" t="s">
        <v>362</v>
      </c>
      <c r="B221" s="1" t="s">
        <v>363</v>
      </c>
      <c r="C221" s="1" t="s">
        <v>19</v>
      </c>
      <c r="D221" s="1" t="s">
        <v>37</v>
      </c>
      <c r="E221" s="1" t="s">
        <v>21</v>
      </c>
      <c r="F221" s="1" t="s">
        <v>22</v>
      </c>
      <c r="G221" s="1" t="s">
        <v>12</v>
      </c>
      <c r="H221" s="12" t="s">
        <v>335</v>
      </c>
      <c r="I221" s="1" t="s">
        <v>23</v>
      </c>
      <c r="J221" s="1" t="s">
        <v>24</v>
      </c>
      <c r="K221" s="1" t="s">
        <v>24</v>
      </c>
      <c r="L221" s="1" t="s">
        <v>25</v>
      </c>
      <c r="M221" s="1" t="s">
        <v>24</v>
      </c>
      <c r="N221" s="1" t="s">
        <v>24</v>
      </c>
      <c r="O221" s="1" t="s">
        <v>24</v>
      </c>
      <c r="P221" s="1" t="s">
        <v>24</v>
      </c>
      <c r="Q221" s="1" t="s">
        <v>24</v>
      </c>
      <c r="R221" s="75" t="str">
        <f t="shared" si="23"/>
        <v>5345909</v>
      </c>
      <c r="S221" t="str">
        <f>VLOOKUP(A221,Data_NV!$A:$C,3,0)</f>
        <v>Bùi Thị Kim Dung</v>
      </c>
      <c r="T221" t="str">
        <f>VLOOKUP(A221,Data_NV!$A:$E,4,0)</f>
        <v>Kinh doanh</v>
      </c>
      <c r="U221" s="72">
        <f>DATEVALUE(Table2[[#This Row],[Ngày]])</f>
        <v>45909</v>
      </c>
      <c r="V221" t="str">
        <f>VLOOKUP(A221,Data_NV!$A:$E,5,0)</f>
        <v>Đang làm việc</v>
      </c>
      <c r="W221" s="11">
        <f>VLOOKUP(A221,Data_NV!$A:$I,8,0)</f>
        <v>0.33333333333333331</v>
      </c>
      <c r="X221" s="11">
        <f>VLOOKUP(A221,Data_NV!$A:$I,9,0)</f>
        <v>0.70833333333333337</v>
      </c>
      <c r="Y221" s="11">
        <f>IFERROR(TIMEVALUE(Table2[[#This Row],[Vào]]),0)</f>
        <v>0.33119212962962963</v>
      </c>
      <c r="Z221" s="11">
        <f>IFERROR(TIMEVALUE(Table2[[#This Row],[Ra]]),0)</f>
        <v>0</v>
      </c>
      <c r="AA221" t="str">
        <f t="shared" si="24"/>
        <v>x</v>
      </c>
      <c r="AB221" s="14">
        <f t="shared" si="26"/>
        <v>0</v>
      </c>
      <c r="AC221" s="14" t="str">
        <f>IF(VLOOKUP(A221,Data_NV!$A:$I,7,0)="Không","",IF(OR(AND(Y221=0,Z221=0),AND(Y221&lt;&gt;0,Z221&lt;&gt;0)),"","Quên chấm công"))</f>
        <v/>
      </c>
      <c r="AD221" s="14">
        <f>IF(VLOOKUP(A221,Data_NV!$A:$I,7,0)="Không",0,IF(AND(Y221=0,Z221=0),0,IF(X221&lt;=Z221,0,ROUNDDOWN((X221-Z221)*24*60,0))))</f>
        <v>0</v>
      </c>
      <c r="AE221" s="14">
        <f>IF(VLOOKUP(A221,Data_NV!$A:$I,6,0)="Không",0,IF(Z221&lt;=X221,0,ROUNDDOWN((Z221-X221)*24*60,0)))</f>
        <v>0</v>
      </c>
      <c r="AF221" s="29">
        <f t="shared" si="25"/>
        <v>0</v>
      </c>
      <c r="AG221" s="30" t="str">
        <f>IF(AC221="","",IF(COUNTIFS($AC$3:AC221,"Quên chấm công",$S$3:S221,S221)&gt;3,"Không chấm công do vi phạm quá 3 lần",IF(COUNTIFS($AC$3:AC221,"Quên chấm công",$S$3:S221,S221)&gt;2,"Trừ toàn bộ chuyên cần tháng do vi phạm lần 3",IF(COUNTIFS($AC$3:AC221,"Quên chấm công",$S$3:S221,S221)&gt;1,"Trừ 1/2 ngày lương",50000))))</f>
        <v/>
      </c>
      <c r="AH221" s="14" t="str">
        <f>IF(AF221=0,"",IF(COUNTIFS($AF$3:AF221,"&gt;0",$S$3:S221,S221)&gt;3,"Trừ toàn bộ chuyên cần tháng",""))</f>
        <v/>
      </c>
      <c r="AI221" s="14"/>
      <c r="AJ221" s="14"/>
    </row>
    <row r="222" spans="1:36" x14ac:dyDescent="0.25">
      <c r="A222" s="4" t="s">
        <v>362</v>
      </c>
      <c r="B222" s="1" t="s">
        <v>363</v>
      </c>
      <c r="C222" s="1" t="s">
        <v>19</v>
      </c>
      <c r="D222" s="1" t="s">
        <v>38</v>
      </c>
      <c r="E222" s="1" t="s">
        <v>21</v>
      </c>
      <c r="F222" s="1" t="s">
        <v>22</v>
      </c>
      <c r="G222" s="1" t="s">
        <v>12</v>
      </c>
      <c r="H222" s="12" t="s">
        <v>323</v>
      </c>
      <c r="I222" s="1" t="s">
        <v>23</v>
      </c>
      <c r="J222" s="1" t="s">
        <v>181</v>
      </c>
      <c r="K222" s="1" t="s">
        <v>24</v>
      </c>
      <c r="L222" s="1" t="s">
        <v>25</v>
      </c>
      <c r="M222" s="1" t="s">
        <v>24</v>
      </c>
      <c r="N222" s="1" t="s">
        <v>24</v>
      </c>
      <c r="O222" s="1" t="s">
        <v>24</v>
      </c>
      <c r="P222" s="1" t="s">
        <v>24</v>
      </c>
      <c r="Q222" s="1" t="s">
        <v>24</v>
      </c>
      <c r="R222" s="75" t="str">
        <f t="shared" si="23"/>
        <v>5345910</v>
      </c>
      <c r="S222" t="str">
        <f>VLOOKUP(A222,Data_NV!$A:$C,3,0)</f>
        <v>Bùi Thị Kim Dung</v>
      </c>
      <c r="T222" t="str">
        <f>VLOOKUP(A222,Data_NV!$A:$E,4,0)</f>
        <v>Kinh doanh</v>
      </c>
      <c r="U222" s="72">
        <f>DATEVALUE(Table2[[#This Row],[Ngày]])</f>
        <v>45910</v>
      </c>
      <c r="V222" t="str">
        <f>VLOOKUP(A222,Data_NV!$A:$E,5,0)</f>
        <v>Đang làm việc</v>
      </c>
      <c r="W222" s="11">
        <f>VLOOKUP(A222,Data_NV!$A:$I,8,0)</f>
        <v>0.33333333333333331</v>
      </c>
      <c r="X222" s="11">
        <f>VLOOKUP(A222,Data_NV!$A:$I,9,0)</f>
        <v>0.70833333333333337</v>
      </c>
      <c r="Y222" s="11">
        <f>IFERROR(TIMEVALUE(Table2[[#This Row],[Vào]]),0)</f>
        <v>0.33688657407407407</v>
      </c>
      <c r="Z222" s="11">
        <f>IFERROR(TIMEVALUE(Table2[[#This Row],[Ra]]),0)</f>
        <v>0</v>
      </c>
      <c r="AA222" t="str">
        <f t="shared" si="24"/>
        <v>x</v>
      </c>
      <c r="AB222" s="14">
        <f t="shared" si="26"/>
        <v>5</v>
      </c>
      <c r="AC222" s="14" t="str">
        <f>IF(VLOOKUP(A222,Data_NV!$A:$I,7,0)="Không","",IF(OR(AND(Y222=0,Z222=0),AND(Y222&lt;&gt;0,Z222&lt;&gt;0)),"","Quên chấm công"))</f>
        <v/>
      </c>
      <c r="AD222" s="14">
        <f>IF(VLOOKUP(A222,Data_NV!$A:$I,7,0)="Không",0,IF(AND(Y222=0,Z222=0),0,IF(X222&lt;=Z222,0,ROUNDDOWN((X222-Z222)*24*60,0))))</f>
        <v>0</v>
      </c>
      <c r="AE222" s="14">
        <f>IF(VLOOKUP(A222,Data_NV!$A:$I,6,0)="Không",0,IF(Z222&lt;=X222,0,ROUNDDOWN((Z222-X222)*24*60,0)))</f>
        <v>0</v>
      </c>
      <c r="AF222" s="29">
        <f t="shared" si="25"/>
        <v>0</v>
      </c>
      <c r="AG222" s="30" t="str">
        <f>IF(AC222="","",IF(COUNTIFS($AC$3:AC222,"Quên chấm công",$S$3:S222,S222)&gt;3,"Không chấm công do vi phạm quá 3 lần",IF(COUNTIFS($AC$3:AC222,"Quên chấm công",$S$3:S222,S222)&gt;2,"Trừ toàn bộ chuyên cần tháng do vi phạm lần 3",IF(COUNTIFS($AC$3:AC222,"Quên chấm công",$S$3:S222,S222)&gt;1,"Trừ 1/2 ngày lương",50000))))</f>
        <v/>
      </c>
      <c r="AH222" s="14" t="str">
        <f>IF(AF222=0,"",IF(COUNTIFS($AF$3:AF222,"&gt;0",$S$3:S222,S222)&gt;3,"Trừ toàn bộ chuyên cần tháng",""))</f>
        <v/>
      </c>
      <c r="AI222" s="14"/>
      <c r="AJ222" s="14"/>
    </row>
    <row r="223" spans="1:36" x14ac:dyDescent="0.25">
      <c r="A223" s="4" t="s">
        <v>362</v>
      </c>
      <c r="B223" s="1" t="s">
        <v>363</v>
      </c>
      <c r="C223" s="1" t="s">
        <v>19</v>
      </c>
      <c r="D223" s="1" t="s">
        <v>39</v>
      </c>
      <c r="E223" s="1" t="s">
        <v>21</v>
      </c>
      <c r="F223" s="1" t="s">
        <v>22</v>
      </c>
      <c r="G223" s="1" t="s">
        <v>12</v>
      </c>
      <c r="H223" s="12" t="s">
        <v>369</v>
      </c>
      <c r="I223" s="1" t="s">
        <v>23</v>
      </c>
      <c r="J223" s="1" t="s">
        <v>190</v>
      </c>
      <c r="K223" s="1" t="s">
        <v>24</v>
      </c>
      <c r="L223" s="1" t="s">
        <v>25</v>
      </c>
      <c r="M223" s="1" t="s">
        <v>24</v>
      </c>
      <c r="N223" s="1" t="s">
        <v>24</v>
      </c>
      <c r="O223" s="1" t="s">
        <v>24</v>
      </c>
      <c r="P223" s="1" t="s">
        <v>24</v>
      </c>
      <c r="Q223" s="1" t="s">
        <v>24</v>
      </c>
      <c r="R223" s="75" t="str">
        <f t="shared" si="23"/>
        <v>5345911</v>
      </c>
      <c r="S223" t="str">
        <f>VLOOKUP(A223,Data_NV!$A:$C,3,0)</f>
        <v>Bùi Thị Kim Dung</v>
      </c>
      <c r="T223" t="str">
        <f>VLOOKUP(A223,Data_NV!$A:$E,4,0)</f>
        <v>Kinh doanh</v>
      </c>
      <c r="U223" s="72">
        <f>DATEVALUE(Table2[[#This Row],[Ngày]])</f>
        <v>45911</v>
      </c>
      <c r="V223" t="str">
        <f>VLOOKUP(A223,Data_NV!$A:$E,5,0)</f>
        <v>Đang làm việc</v>
      </c>
      <c r="W223" s="11">
        <f>VLOOKUP(A223,Data_NV!$A:$I,8,0)</f>
        <v>0.33333333333333331</v>
      </c>
      <c r="X223" s="11">
        <f>VLOOKUP(A223,Data_NV!$A:$I,9,0)</f>
        <v>0.70833333333333337</v>
      </c>
      <c r="Y223" s="11">
        <f>IFERROR(TIMEVALUE(Table2[[#This Row],[Vào]]),0)</f>
        <v>0.33547453703703706</v>
      </c>
      <c r="Z223" s="11">
        <f>IFERROR(TIMEVALUE(Table2[[#This Row],[Ra]]),0)</f>
        <v>0</v>
      </c>
      <c r="AA223" t="str">
        <f t="shared" si="24"/>
        <v>x</v>
      </c>
      <c r="AB223" s="14">
        <f t="shared" si="26"/>
        <v>3</v>
      </c>
      <c r="AC223" s="14" t="str">
        <f>IF(VLOOKUP(A223,Data_NV!$A:$I,7,0)="Không","",IF(OR(AND(Y223=0,Z223=0),AND(Y223&lt;&gt;0,Z223&lt;&gt;0)),"","Quên chấm công"))</f>
        <v/>
      </c>
      <c r="AD223" s="14">
        <f>IF(VLOOKUP(A223,Data_NV!$A:$I,7,0)="Không",0,IF(AND(Y223=0,Z223=0),0,IF(X223&lt;=Z223,0,ROUNDDOWN((X223-Z223)*24*60,0))))</f>
        <v>0</v>
      </c>
      <c r="AE223" s="14">
        <f>IF(VLOOKUP(A223,Data_NV!$A:$I,6,0)="Không",0,IF(Z223&lt;=X223,0,ROUNDDOWN((Z223-X223)*24*60,0)))</f>
        <v>0</v>
      </c>
      <c r="AF223" s="29">
        <f t="shared" si="25"/>
        <v>0</v>
      </c>
      <c r="AG223" s="30" t="str">
        <f>IF(AC223="","",IF(COUNTIFS($AC$3:AC223,"Quên chấm công",$S$3:S223,S223)&gt;3,"Không chấm công do vi phạm quá 3 lần",IF(COUNTIFS($AC$3:AC223,"Quên chấm công",$S$3:S223,S223)&gt;2,"Trừ toàn bộ chuyên cần tháng do vi phạm lần 3",IF(COUNTIFS($AC$3:AC223,"Quên chấm công",$S$3:S223,S223)&gt;1,"Trừ 1/2 ngày lương",50000))))</f>
        <v/>
      </c>
      <c r="AH223" s="14" t="str">
        <f>IF(AF223=0,"",IF(COUNTIFS($AF$3:AF223,"&gt;0",$S$3:S223,S223)&gt;3,"Trừ toàn bộ chuyên cần tháng",""))</f>
        <v/>
      </c>
      <c r="AI223" s="14"/>
      <c r="AJ223" s="14"/>
    </row>
    <row r="224" spans="1:36" x14ac:dyDescent="0.25">
      <c r="A224" s="4" t="s">
        <v>362</v>
      </c>
      <c r="B224" s="1" t="s">
        <v>363</v>
      </c>
      <c r="C224" s="1" t="s">
        <v>19</v>
      </c>
      <c r="D224" s="1" t="s">
        <v>40</v>
      </c>
      <c r="E224" s="1" t="s">
        <v>21</v>
      </c>
      <c r="F224" s="1" t="s">
        <v>22</v>
      </c>
      <c r="G224" s="1" t="s">
        <v>12</v>
      </c>
      <c r="H224" s="12" t="s">
        <v>370</v>
      </c>
      <c r="I224" s="1" t="s">
        <v>23</v>
      </c>
      <c r="J224" s="1" t="s">
        <v>24</v>
      </c>
      <c r="K224" s="1" t="s">
        <v>24</v>
      </c>
      <c r="L224" s="1" t="s">
        <v>25</v>
      </c>
      <c r="M224" s="1" t="s">
        <v>24</v>
      </c>
      <c r="N224" s="1" t="s">
        <v>24</v>
      </c>
      <c r="O224" s="1" t="s">
        <v>24</v>
      </c>
      <c r="P224" s="1" t="s">
        <v>24</v>
      </c>
      <c r="Q224" s="1" t="s">
        <v>24</v>
      </c>
      <c r="R224" s="75" t="str">
        <f t="shared" si="23"/>
        <v>5345912</v>
      </c>
      <c r="S224" t="str">
        <f>VLOOKUP(A224,Data_NV!$A:$C,3,0)</f>
        <v>Bùi Thị Kim Dung</v>
      </c>
      <c r="T224" t="str">
        <f>VLOOKUP(A224,Data_NV!$A:$E,4,0)</f>
        <v>Kinh doanh</v>
      </c>
      <c r="U224" s="72">
        <f>DATEVALUE(Table2[[#This Row],[Ngày]])</f>
        <v>45912</v>
      </c>
      <c r="V224" t="str">
        <f>VLOOKUP(A224,Data_NV!$A:$E,5,0)</f>
        <v>Đang làm việc</v>
      </c>
      <c r="W224" s="11">
        <f>VLOOKUP(A224,Data_NV!$A:$I,8,0)</f>
        <v>0.33333333333333331</v>
      </c>
      <c r="X224" s="11">
        <f>VLOOKUP(A224,Data_NV!$A:$I,9,0)</f>
        <v>0.70833333333333337</v>
      </c>
      <c r="Y224" s="11">
        <f>IFERROR(TIMEVALUE(Table2[[#This Row],[Vào]]),0)</f>
        <v>0.33122685185185186</v>
      </c>
      <c r="Z224" s="11">
        <f>IFERROR(TIMEVALUE(Table2[[#This Row],[Ra]]),0)</f>
        <v>0</v>
      </c>
      <c r="AA224" t="str">
        <f t="shared" si="24"/>
        <v>x</v>
      </c>
      <c r="AB224" s="14">
        <f t="shared" si="26"/>
        <v>0</v>
      </c>
      <c r="AC224" s="14" t="str">
        <f>IF(VLOOKUP(A224,Data_NV!$A:$I,7,0)="Không","",IF(OR(AND(Y224=0,Z224=0),AND(Y224&lt;&gt;0,Z224&lt;&gt;0)),"","Quên chấm công"))</f>
        <v/>
      </c>
      <c r="AD224" s="14">
        <f>IF(VLOOKUP(A224,Data_NV!$A:$I,7,0)="Không",0,IF(AND(Y224=0,Z224=0),0,IF(X224&lt;=Z224,0,ROUNDDOWN((X224-Z224)*24*60,0))))</f>
        <v>0</v>
      </c>
      <c r="AE224" s="14">
        <f>IF(VLOOKUP(A224,Data_NV!$A:$I,6,0)="Không",0,IF(Z224&lt;=X224,0,ROUNDDOWN((Z224-X224)*24*60,0)))</f>
        <v>0</v>
      </c>
      <c r="AF224" s="29">
        <f t="shared" si="25"/>
        <v>0</v>
      </c>
      <c r="AG224" s="30" t="str">
        <f>IF(AC224="","",IF(COUNTIFS($AC$3:AC224,"Quên chấm công",$S$3:S224,S224)&gt;3,"Không chấm công do vi phạm quá 3 lần",IF(COUNTIFS($AC$3:AC224,"Quên chấm công",$S$3:S224,S224)&gt;2,"Trừ toàn bộ chuyên cần tháng do vi phạm lần 3",IF(COUNTIFS($AC$3:AC224,"Quên chấm công",$S$3:S224,S224)&gt;1,"Trừ 1/2 ngày lương",50000))))</f>
        <v/>
      </c>
      <c r="AH224" s="14" t="str">
        <f>IF(AF224=0,"",IF(COUNTIFS($AF$3:AF224,"&gt;0",$S$3:S224,S224)&gt;3,"Trừ toàn bộ chuyên cần tháng",""))</f>
        <v/>
      </c>
      <c r="AI224" s="14"/>
      <c r="AJ224" s="14"/>
    </row>
    <row r="225" spans="1:36" x14ac:dyDescent="0.25">
      <c r="A225" s="4" t="s">
        <v>362</v>
      </c>
      <c r="B225" s="1" t="s">
        <v>363</v>
      </c>
      <c r="C225" s="1" t="s">
        <v>19</v>
      </c>
      <c r="D225" s="1" t="s">
        <v>41</v>
      </c>
      <c r="E225" s="1" t="s">
        <v>21</v>
      </c>
      <c r="F225" s="1" t="s">
        <v>22</v>
      </c>
      <c r="G225" s="1" t="s">
        <v>12</v>
      </c>
      <c r="H225" s="12" t="s">
        <v>371</v>
      </c>
      <c r="I225" s="1" t="s">
        <v>23</v>
      </c>
      <c r="J225" s="1" t="s">
        <v>24</v>
      </c>
      <c r="K225" s="1" t="s">
        <v>24</v>
      </c>
      <c r="L225" s="1" t="s">
        <v>25</v>
      </c>
      <c r="M225" s="1" t="s">
        <v>24</v>
      </c>
      <c r="N225" s="1" t="s">
        <v>24</v>
      </c>
      <c r="O225" s="1" t="s">
        <v>24</v>
      </c>
      <c r="P225" s="1" t="s">
        <v>24</v>
      </c>
      <c r="Q225" s="1" t="s">
        <v>24</v>
      </c>
      <c r="R225" s="75" t="str">
        <f t="shared" si="23"/>
        <v>5345913</v>
      </c>
      <c r="S225" t="str">
        <f>VLOOKUP(A225,Data_NV!$A:$C,3,0)</f>
        <v>Bùi Thị Kim Dung</v>
      </c>
      <c r="T225" t="str">
        <f>VLOOKUP(A225,Data_NV!$A:$E,4,0)</f>
        <v>Kinh doanh</v>
      </c>
      <c r="U225" s="72">
        <f>DATEVALUE(Table2[[#This Row],[Ngày]])</f>
        <v>45913</v>
      </c>
      <c r="V225" t="str">
        <f>VLOOKUP(A225,Data_NV!$A:$E,5,0)</f>
        <v>Đang làm việc</v>
      </c>
      <c r="W225" s="11">
        <f>VLOOKUP(A225,Data_NV!$A:$I,8,0)</f>
        <v>0.33333333333333331</v>
      </c>
      <c r="X225" s="11">
        <f>VLOOKUP(A225,Data_NV!$A:$I,9,0)</f>
        <v>0.70833333333333337</v>
      </c>
      <c r="Y225" s="11">
        <f>IFERROR(TIMEVALUE(Table2[[#This Row],[Vào]]),0)</f>
        <v>0.33159722222222221</v>
      </c>
      <c r="Z225" s="11">
        <f>IFERROR(TIMEVALUE(Table2[[#This Row],[Ra]]),0)</f>
        <v>0</v>
      </c>
      <c r="AA225" t="str">
        <f t="shared" si="24"/>
        <v>x</v>
      </c>
      <c r="AB225" s="14">
        <f t="shared" si="26"/>
        <v>0</v>
      </c>
      <c r="AC225" s="14" t="str">
        <f>IF(VLOOKUP(A225,Data_NV!$A:$I,7,0)="Không","",IF(OR(AND(Y225=0,Z225=0),AND(Y225&lt;&gt;0,Z225&lt;&gt;0)),"","Quên chấm công"))</f>
        <v/>
      </c>
      <c r="AD225" s="14">
        <f>IF(VLOOKUP(A225,Data_NV!$A:$I,7,0)="Không",0,IF(AND(Y225=0,Z225=0),0,IF(X225&lt;=Z225,0,ROUNDDOWN((X225-Z225)*24*60,0))))</f>
        <v>0</v>
      </c>
      <c r="AE225" s="14">
        <f>IF(VLOOKUP(A225,Data_NV!$A:$I,6,0)="Không",0,IF(Z225&lt;=X225,0,ROUNDDOWN((Z225-X225)*24*60,0)))</f>
        <v>0</v>
      </c>
      <c r="AF225" s="29">
        <f t="shared" si="25"/>
        <v>0</v>
      </c>
      <c r="AG225" s="30" t="str">
        <f>IF(AC225="","",IF(COUNTIFS($AC$3:AC225,"Quên chấm công",$S$3:S225,S225)&gt;3,"Không chấm công do vi phạm quá 3 lần",IF(COUNTIFS($AC$3:AC225,"Quên chấm công",$S$3:S225,S225)&gt;2,"Trừ toàn bộ chuyên cần tháng do vi phạm lần 3",IF(COUNTIFS($AC$3:AC225,"Quên chấm công",$S$3:S225,S225)&gt;1,"Trừ 1/2 ngày lương",50000))))</f>
        <v/>
      </c>
      <c r="AH225" s="14" t="str">
        <f>IF(AF225=0,"",IF(COUNTIFS($AF$3:AF225,"&gt;0",$S$3:S225,S225)&gt;3,"Trừ toàn bộ chuyên cần tháng",""))</f>
        <v/>
      </c>
      <c r="AI225" s="14"/>
      <c r="AJ225" s="14"/>
    </row>
    <row r="226" spans="1:36" x14ac:dyDescent="0.25">
      <c r="A226" s="4" t="s">
        <v>362</v>
      </c>
      <c r="B226" s="1" t="s">
        <v>363</v>
      </c>
      <c r="C226" s="1" t="s">
        <v>19</v>
      </c>
      <c r="D226" s="1" t="s">
        <v>42</v>
      </c>
      <c r="E226" s="1" t="s">
        <v>21</v>
      </c>
      <c r="F226" s="1" t="s">
        <v>22</v>
      </c>
      <c r="G226" s="1" t="s">
        <v>12</v>
      </c>
      <c r="H226" s="12" t="s">
        <v>23</v>
      </c>
      <c r="I226" s="1" t="s">
        <v>23</v>
      </c>
      <c r="J226" s="1" t="s">
        <v>24</v>
      </c>
      <c r="K226" s="1" t="s">
        <v>24</v>
      </c>
      <c r="L226" s="1" t="s">
        <v>25</v>
      </c>
      <c r="M226" s="1" t="s">
        <v>24</v>
      </c>
      <c r="N226" s="1" t="s">
        <v>24</v>
      </c>
      <c r="O226" s="1" t="s">
        <v>24</v>
      </c>
      <c r="P226" s="1" t="s">
        <v>24</v>
      </c>
      <c r="Q226" s="1" t="s">
        <v>24</v>
      </c>
      <c r="R226" s="75" t="str">
        <f t="shared" si="23"/>
        <v>5345914</v>
      </c>
      <c r="S226" t="str">
        <f>VLOOKUP(A226,Data_NV!$A:$C,3,0)</f>
        <v>Bùi Thị Kim Dung</v>
      </c>
      <c r="T226" t="str">
        <f>VLOOKUP(A226,Data_NV!$A:$E,4,0)</f>
        <v>Kinh doanh</v>
      </c>
      <c r="U226" s="72">
        <f>DATEVALUE(Table2[[#This Row],[Ngày]])</f>
        <v>45914</v>
      </c>
      <c r="V226" t="str">
        <f>VLOOKUP(A226,Data_NV!$A:$E,5,0)</f>
        <v>Đang làm việc</v>
      </c>
      <c r="W226" s="11">
        <f>VLOOKUP(A226,Data_NV!$A:$I,8,0)</f>
        <v>0.33333333333333331</v>
      </c>
      <c r="X226" s="11">
        <f>VLOOKUP(A226,Data_NV!$A:$I,9,0)</f>
        <v>0.70833333333333337</v>
      </c>
      <c r="Y226" s="11">
        <f>IFERROR(TIMEVALUE(Table2[[#This Row],[Vào]]),0)</f>
        <v>0</v>
      </c>
      <c r="Z226" s="11">
        <f>IFERROR(TIMEVALUE(Table2[[#This Row],[Ra]]),0)</f>
        <v>0</v>
      </c>
      <c r="AA226" t="str">
        <f t="shared" si="24"/>
        <v/>
      </c>
      <c r="AB226" s="14">
        <f t="shared" si="26"/>
        <v>0</v>
      </c>
      <c r="AC226" s="14" t="str">
        <f>IF(VLOOKUP(A226,Data_NV!$A:$I,7,0)="Không","",IF(OR(AND(Y226=0,Z226=0),AND(Y226&lt;&gt;0,Z226&lt;&gt;0)),"","Quên chấm công"))</f>
        <v/>
      </c>
      <c r="AD226" s="14">
        <f>IF(VLOOKUP(A226,Data_NV!$A:$I,7,0)="Không",0,IF(AND(Y226=0,Z226=0),0,IF(X226&lt;=Z226,0,ROUNDDOWN((X226-Z226)*24*60,0))))</f>
        <v>0</v>
      </c>
      <c r="AE226" s="14">
        <f>IF(VLOOKUP(A226,Data_NV!$A:$I,6,0)="Không",0,IF(Z226&lt;=X226,0,ROUNDDOWN((Z226-X226)*24*60,0)))</f>
        <v>0</v>
      </c>
      <c r="AF226" s="29">
        <f t="shared" si="25"/>
        <v>0</v>
      </c>
      <c r="AG226" s="30" t="str">
        <f>IF(AC226="","",IF(COUNTIFS($AC$3:AC226,"Quên chấm công",$S$3:S226,S226)&gt;3,"Không chấm công do vi phạm quá 3 lần",IF(COUNTIFS($AC$3:AC226,"Quên chấm công",$S$3:S226,S226)&gt;2,"Trừ toàn bộ chuyên cần tháng do vi phạm lần 3",IF(COUNTIFS($AC$3:AC226,"Quên chấm công",$S$3:S226,S226)&gt;1,"Trừ 1/2 ngày lương",50000))))</f>
        <v/>
      </c>
      <c r="AH226" s="14" t="str">
        <f>IF(AF226=0,"",IF(COUNTIFS($AF$3:AF226,"&gt;0",$S$3:S226,S226)&gt;3,"Trừ toàn bộ chuyên cần tháng",""))</f>
        <v/>
      </c>
      <c r="AI226" s="14"/>
      <c r="AJ226" s="14"/>
    </row>
    <row r="227" spans="1:36" x14ac:dyDescent="0.25">
      <c r="A227" s="4" t="s">
        <v>362</v>
      </c>
      <c r="B227" s="1" t="s">
        <v>363</v>
      </c>
      <c r="C227" s="1" t="s">
        <v>19</v>
      </c>
      <c r="D227" s="1" t="s">
        <v>43</v>
      </c>
      <c r="E227" s="1" t="s">
        <v>21</v>
      </c>
      <c r="F227" s="1" t="s">
        <v>22</v>
      </c>
      <c r="G227" s="1" t="s">
        <v>12</v>
      </c>
      <c r="H227" s="12" t="s">
        <v>320</v>
      </c>
      <c r="I227" s="1" t="s">
        <v>23</v>
      </c>
      <c r="J227" s="1" t="s">
        <v>24</v>
      </c>
      <c r="K227" s="1" t="s">
        <v>24</v>
      </c>
      <c r="L227" s="1" t="s">
        <v>25</v>
      </c>
      <c r="M227" s="1" t="s">
        <v>24</v>
      </c>
      <c r="N227" s="1" t="s">
        <v>24</v>
      </c>
      <c r="O227" s="1" t="s">
        <v>24</v>
      </c>
      <c r="P227" s="1" t="s">
        <v>24</v>
      </c>
      <c r="Q227" s="1" t="s">
        <v>24</v>
      </c>
      <c r="R227" s="75" t="str">
        <f t="shared" si="23"/>
        <v>5345915</v>
      </c>
      <c r="S227" t="str">
        <f>VLOOKUP(A227,Data_NV!$A:$C,3,0)</f>
        <v>Bùi Thị Kim Dung</v>
      </c>
      <c r="T227" t="str">
        <f>VLOOKUP(A227,Data_NV!$A:$E,4,0)</f>
        <v>Kinh doanh</v>
      </c>
      <c r="U227" s="72">
        <f>DATEVALUE(Table2[[#This Row],[Ngày]])</f>
        <v>45915</v>
      </c>
      <c r="V227" t="str">
        <f>VLOOKUP(A227,Data_NV!$A:$E,5,0)</f>
        <v>Đang làm việc</v>
      </c>
      <c r="W227" s="11">
        <f>VLOOKUP(A227,Data_NV!$A:$I,8,0)</f>
        <v>0.33333333333333331</v>
      </c>
      <c r="X227" s="11">
        <f>VLOOKUP(A227,Data_NV!$A:$I,9,0)</f>
        <v>0.70833333333333337</v>
      </c>
      <c r="Y227" s="11">
        <f>IFERROR(TIMEVALUE(Table2[[#This Row],[Vào]]),0)</f>
        <v>0.33150462962962962</v>
      </c>
      <c r="Z227" s="11">
        <f>IFERROR(TIMEVALUE(Table2[[#This Row],[Ra]]),0)</f>
        <v>0</v>
      </c>
      <c r="AA227" t="str">
        <f t="shared" si="24"/>
        <v>x</v>
      </c>
      <c r="AB227" s="14">
        <f t="shared" si="26"/>
        <v>0</v>
      </c>
      <c r="AC227" s="14" t="str">
        <f>IF(VLOOKUP(A227,Data_NV!$A:$I,7,0)="Không","",IF(OR(AND(Y227=0,Z227=0),AND(Y227&lt;&gt;0,Z227&lt;&gt;0)),"","Quên chấm công"))</f>
        <v/>
      </c>
      <c r="AD227" s="14">
        <f>IF(VLOOKUP(A227,Data_NV!$A:$I,7,0)="Không",0,IF(AND(Y227=0,Z227=0),0,IF(X227&lt;=Z227,0,ROUNDDOWN((X227-Z227)*24*60,0))))</f>
        <v>0</v>
      </c>
      <c r="AE227" s="14">
        <f>IF(VLOOKUP(A227,Data_NV!$A:$I,6,0)="Không",0,IF(Z227&lt;=X227,0,ROUNDDOWN((Z227-X227)*24*60,0)))</f>
        <v>0</v>
      </c>
      <c r="AF227" s="29">
        <f t="shared" si="25"/>
        <v>0</v>
      </c>
      <c r="AG227" s="30" t="str">
        <f>IF(AC227="","",IF(COUNTIFS($AC$3:AC227,"Quên chấm công",$S$3:S227,S227)&gt;3,"Không chấm công do vi phạm quá 3 lần",IF(COUNTIFS($AC$3:AC227,"Quên chấm công",$S$3:S227,S227)&gt;2,"Trừ toàn bộ chuyên cần tháng do vi phạm lần 3",IF(COUNTIFS($AC$3:AC227,"Quên chấm công",$S$3:S227,S227)&gt;1,"Trừ 1/2 ngày lương",50000))))</f>
        <v/>
      </c>
      <c r="AH227" s="14" t="str">
        <f>IF(AF227=0,"",IF(COUNTIFS($AF$3:AF227,"&gt;0",$S$3:S227,S227)&gt;3,"Trừ toàn bộ chuyên cần tháng",""))</f>
        <v/>
      </c>
      <c r="AI227" s="14"/>
      <c r="AJ227" s="14"/>
    </row>
    <row r="228" spans="1:36" x14ac:dyDescent="0.25">
      <c r="A228" s="4" t="s">
        <v>362</v>
      </c>
      <c r="B228" s="1" t="s">
        <v>363</v>
      </c>
      <c r="C228" s="1" t="s">
        <v>19</v>
      </c>
      <c r="D228" s="1" t="s">
        <v>44</v>
      </c>
      <c r="E228" s="1" t="s">
        <v>21</v>
      </c>
      <c r="F228" s="1" t="s">
        <v>22</v>
      </c>
      <c r="G228" s="1" t="s">
        <v>12</v>
      </c>
      <c r="H228" s="12" t="s">
        <v>372</v>
      </c>
      <c r="I228" s="1" t="s">
        <v>23</v>
      </c>
      <c r="J228" s="1" t="s">
        <v>198</v>
      </c>
      <c r="K228" s="1" t="s">
        <v>24</v>
      </c>
      <c r="L228" s="1" t="s">
        <v>25</v>
      </c>
      <c r="M228" s="1" t="s">
        <v>24</v>
      </c>
      <c r="N228" s="1" t="s">
        <v>24</v>
      </c>
      <c r="O228" s="1" t="s">
        <v>24</v>
      </c>
      <c r="P228" s="1" t="s">
        <v>24</v>
      </c>
      <c r="Q228" s="1" t="s">
        <v>24</v>
      </c>
      <c r="R228" s="75" t="str">
        <f t="shared" si="23"/>
        <v>5345916</v>
      </c>
      <c r="S228" t="str">
        <f>VLOOKUP(A228,Data_NV!$A:$C,3,0)</f>
        <v>Bùi Thị Kim Dung</v>
      </c>
      <c r="T228" t="str">
        <f>VLOOKUP(A228,Data_NV!$A:$E,4,0)</f>
        <v>Kinh doanh</v>
      </c>
      <c r="U228" s="72">
        <f>DATEVALUE(Table2[[#This Row],[Ngày]])</f>
        <v>45916</v>
      </c>
      <c r="V228" t="str">
        <f>VLOOKUP(A228,Data_NV!$A:$E,5,0)</f>
        <v>Đang làm việc</v>
      </c>
      <c r="W228" s="11">
        <f>VLOOKUP(A228,Data_NV!$A:$I,8,0)</f>
        <v>0.33333333333333331</v>
      </c>
      <c r="X228" s="11">
        <f>VLOOKUP(A228,Data_NV!$A:$I,9,0)</f>
        <v>0.70833333333333337</v>
      </c>
      <c r="Y228" s="11">
        <f>IFERROR(TIMEVALUE(Table2[[#This Row],[Vào]]),0)</f>
        <v>0.33895833333333331</v>
      </c>
      <c r="Z228" s="11">
        <f>IFERROR(TIMEVALUE(Table2[[#This Row],[Ra]]),0)</f>
        <v>0</v>
      </c>
      <c r="AA228" t="str">
        <f t="shared" si="24"/>
        <v>x</v>
      </c>
      <c r="AB228" s="14">
        <f t="shared" si="26"/>
        <v>8</v>
      </c>
      <c r="AC228" s="14" t="str">
        <f>IF(VLOOKUP(A228,Data_NV!$A:$I,7,0)="Không","",IF(OR(AND(Y228=0,Z228=0),AND(Y228&lt;&gt;0,Z228&lt;&gt;0)),"","Quên chấm công"))</f>
        <v/>
      </c>
      <c r="AD228" s="14">
        <f>IF(VLOOKUP(A228,Data_NV!$A:$I,7,0)="Không",0,IF(AND(Y228=0,Z228=0),0,IF(X228&lt;=Z228,0,ROUNDDOWN((X228-Z228)*24*60,0))))</f>
        <v>0</v>
      </c>
      <c r="AE228" s="14">
        <f>IF(VLOOKUP(A228,Data_NV!$A:$I,6,0)="Không",0,IF(Z228&lt;=X228,0,ROUNDDOWN((Z228-X228)*24*60,0)))</f>
        <v>0</v>
      </c>
      <c r="AF228" s="29">
        <f t="shared" si="25"/>
        <v>30000</v>
      </c>
      <c r="AG228" s="30" t="str">
        <f>IF(AC228="","",IF(COUNTIFS($AC$3:AC228,"Quên chấm công",$S$3:S228,S228)&gt;3,"Không chấm công do vi phạm quá 3 lần",IF(COUNTIFS($AC$3:AC228,"Quên chấm công",$S$3:S228,S228)&gt;2,"Trừ toàn bộ chuyên cần tháng do vi phạm lần 3",IF(COUNTIFS($AC$3:AC228,"Quên chấm công",$S$3:S228,S228)&gt;1,"Trừ 1/2 ngày lương",50000))))</f>
        <v/>
      </c>
      <c r="AH228" s="14" t="str">
        <f>IF(AF228=0,"",IF(COUNTIFS($AF$3:AF228,"&gt;0",$S$3:S228,S228)&gt;3,"Trừ toàn bộ chuyên cần tháng",""))</f>
        <v/>
      </c>
      <c r="AI228" s="14"/>
      <c r="AJ228" s="14"/>
    </row>
    <row r="229" spans="1:36" x14ac:dyDescent="0.25">
      <c r="A229" s="4" t="s">
        <v>362</v>
      </c>
      <c r="B229" s="1" t="s">
        <v>363</v>
      </c>
      <c r="C229" s="1" t="s">
        <v>19</v>
      </c>
      <c r="D229" s="1" t="s">
        <v>45</v>
      </c>
      <c r="E229" s="1" t="s">
        <v>21</v>
      </c>
      <c r="F229" s="1" t="s">
        <v>22</v>
      </c>
      <c r="G229" s="1" t="s">
        <v>12</v>
      </c>
      <c r="H229" s="12" t="s">
        <v>373</v>
      </c>
      <c r="I229" s="1" t="s">
        <v>23</v>
      </c>
      <c r="J229" s="1" t="s">
        <v>198</v>
      </c>
      <c r="K229" s="1" t="s">
        <v>24</v>
      </c>
      <c r="L229" s="1" t="s">
        <v>25</v>
      </c>
      <c r="M229" s="1" t="s">
        <v>24</v>
      </c>
      <c r="N229" s="1" t="s">
        <v>24</v>
      </c>
      <c r="O229" s="1" t="s">
        <v>24</v>
      </c>
      <c r="P229" s="1" t="s">
        <v>24</v>
      </c>
      <c r="Q229" s="1" t="s">
        <v>24</v>
      </c>
      <c r="R229" s="75" t="str">
        <f t="shared" si="23"/>
        <v>5345917</v>
      </c>
      <c r="S229" t="str">
        <f>VLOOKUP(A229,Data_NV!$A:$C,3,0)</f>
        <v>Bùi Thị Kim Dung</v>
      </c>
      <c r="T229" t="str">
        <f>VLOOKUP(A229,Data_NV!$A:$E,4,0)</f>
        <v>Kinh doanh</v>
      </c>
      <c r="U229" s="72">
        <f>DATEVALUE(Table2[[#This Row],[Ngày]])</f>
        <v>45917</v>
      </c>
      <c r="V229" t="str">
        <f>VLOOKUP(A229,Data_NV!$A:$E,5,0)</f>
        <v>Đang làm việc</v>
      </c>
      <c r="W229" s="11">
        <f>VLOOKUP(A229,Data_NV!$A:$I,8,0)</f>
        <v>0.33333333333333331</v>
      </c>
      <c r="X229" s="11">
        <f>VLOOKUP(A229,Data_NV!$A:$I,9,0)</f>
        <v>0.70833333333333337</v>
      </c>
      <c r="Y229" s="11">
        <f>IFERROR(TIMEVALUE(Table2[[#This Row],[Vào]]),0)</f>
        <v>0.33907407407407408</v>
      </c>
      <c r="Z229" s="11">
        <f>IFERROR(TIMEVALUE(Table2[[#This Row],[Ra]]),0)</f>
        <v>0</v>
      </c>
      <c r="AA229" t="str">
        <f t="shared" si="24"/>
        <v>x</v>
      </c>
      <c r="AB229" s="14">
        <f t="shared" si="26"/>
        <v>8</v>
      </c>
      <c r="AC229" s="14" t="str">
        <f>IF(VLOOKUP(A229,Data_NV!$A:$I,7,0)="Không","",IF(OR(AND(Y229=0,Z229=0),AND(Y229&lt;&gt;0,Z229&lt;&gt;0)),"","Quên chấm công"))</f>
        <v/>
      </c>
      <c r="AD229" s="14">
        <f>IF(VLOOKUP(A229,Data_NV!$A:$I,7,0)="Không",0,IF(AND(Y229=0,Z229=0),0,IF(X229&lt;=Z229,0,ROUNDDOWN((X229-Z229)*24*60,0))))</f>
        <v>0</v>
      </c>
      <c r="AE229" s="14">
        <f>IF(VLOOKUP(A229,Data_NV!$A:$I,6,0)="Không",0,IF(Z229&lt;=X229,0,ROUNDDOWN((Z229-X229)*24*60,0)))</f>
        <v>0</v>
      </c>
      <c r="AF229" s="29">
        <f t="shared" si="25"/>
        <v>30000</v>
      </c>
      <c r="AG229" s="30" t="str">
        <f>IF(AC229="","",IF(COUNTIFS($AC$3:AC229,"Quên chấm công",$S$3:S229,S229)&gt;3,"Không chấm công do vi phạm quá 3 lần",IF(COUNTIFS($AC$3:AC229,"Quên chấm công",$S$3:S229,S229)&gt;2,"Trừ toàn bộ chuyên cần tháng do vi phạm lần 3",IF(COUNTIFS($AC$3:AC229,"Quên chấm công",$S$3:S229,S229)&gt;1,"Trừ 1/2 ngày lương",50000))))</f>
        <v/>
      </c>
      <c r="AH229" s="14" t="str">
        <f>IF(AF229=0,"",IF(COUNTIFS($AF$3:AF229,"&gt;0",$S$3:S229,S229)&gt;3,"Trừ toàn bộ chuyên cần tháng",""))</f>
        <v/>
      </c>
      <c r="AI229" s="14"/>
      <c r="AJ229" s="14"/>
    </row>
    <row r="230" spans="1:36" x14ac:dyDescent="0.25">
      <c r="A230" s="4" t="s">
        <v>362</v>
      </c>
      <c r="B230" s="1" t="s">
        <v>363</v>
      </c>
      <c r="C230" s="1" t="s">
        <v>19</v>
      </c>
      <c r="D230" s="1" t="s">
        <v>46</v>
      </c>
      <c r="E230" s="1" t="s">
        <v>21</v>
      </c>
      <c r="F230" s="1" t="s">
        <v>22</v>
      </c>
      <c r="G230" s="1" t="s">
        <v>12</v>
      </c>
      <c r="H230" s="12" t="s">
        <v>374</v>
      </c>
      <c r="I230" s="1" t="s">
        <v>23</v>
      </c>
      <c r="J230" s="1" t="s">
        <v>24</v>
      </c>
      <c r="K230" s="1" t="s">
        <v>24</v>
      </c>
      <c r="L230" s="1" t="s">
        <v>25</v>
      </c>
      <c r="M230" s="1" t="s">
        <v>24</v>
      </c>
      <c r="N230" s="1" t="s">
        <v>24</v>
      </c>
      <c r="O230" s="1" t="s">
        <v>24</v>
      </c>
      <c r="P230" s="1" t="s">
        <v>24</v>
      </c>
      <c r="Q230" s="1" t="s">
        <v>24</v>
      </c>
      <c r="R230" s="75" t="str">
        <f t="shared" si="23"/>
        <v>5345918</v>
      </c>
      <c r="S230" t="str">
        <f>VLOOKUP(A230,Data_NV!$A:$C,3,0)</f>
        <v>Bùi Thị Kim Dung</v>
      </c>
      <c r="T230" t="str">
        <f>VLOOKUP(A230,Data_NV!$A:$E,4,0)</f>
        <v>Kinh doanh</v>
      </c>
      <c r="U230" s="72">
        <f>DATEVALUE(Table2[[#This Row],[Ngày]])</f>
        <v>45918</v>
      </c>
      <c r="V230" t="str">
        <f>VLOOKUP(A230,Data_NV!$A:$E,5,0)</f>
        <v>Đang làm việc</v>
      </c>
      <c r="W230" s="11">
        <f>VLOOKUP(A230,Data_NV!$A:$I,8,0)</f>
        <v>0.33333333333333331</v>
      </c>
      <c r="X230" s="11">
        <f>VLOOKUP(A230,Data_NV!$A:$I,9,0)</f>
        <v>0.70833333333333337</v>
      </c>
      <c r="Y230" s="11">
        <f>IFERROR(TIMEVALUE(Table2[[#This Row],[Vào]]),0)</f>
        <v>0.33268518518518519</v>
      </c>
      <c r="Z230" s="11">
        <f>IFERROR(TIMEVALUE(Table2[[#This Row],[Ra]]),0)</f>
        <v>0</v>
      </c>
      <c r="AA230" t="str">
        <f t="shared" si="24"/>
        <v>x</v>
      </c>
      <c r="AB230" s="14">
        <f t="shared" si="26"/>
        <v>0</v>
      </c>
      <c r="AC230" s="14" t="str">
        <f>IF(VLOOKUP(A230,Data_NV!$A:$I,7,0)="Không","",IF(OR(AND(Y230=0,Z230=0),AND(Y230&lt;&gt;0,Z230&lt;&gt;0)),"","Quên chấm công"))</f>
        <v/>
      </c>
      <c r="AD230" s="14">
        <f>IF(VLOOKUP(A230,Data_NV!$A:$I,7,0)="Không",0,IF(AND(Y230=0,Z230=0),0,IF(X230&lt;=Z230,0,ROUNDDOWN((X230-Z230)*24*60,0))))</f>
        <v>0</v>
      </c>
      <c r="AE230" s="14">
        <f>IF(VLOOKUP(A230,Data_NV!$A:$I,6,0)="Không",0,IF(Z230&lt;=X230,0,ROUNDDOWN((Z230-X230)*24*60,0)))</f>
        <v>0</v>
      </c>
      <c r="AF230" s="29">
        <f t="shared" si="25"/>
        <v>0</v>
      </c>
      <c r="AG230" s="30" t="str">
        <f>IF(AC230="","",IF(COUNTIFS($AC$3:AC230,"Quên chấm công",$S$3:S230,S230)&gt;3,"Không chấm công do vi phạm quá 3 lần",IF(COUNTIFS($AC$3:AC230,"Quên chấm công",$S$3:S230,S230)&gt;2,"Trừ toàn bộ chuyên cần tháng do vi phạm lần 3",IF(COUNTIFS($AC$3:AC230,"Quên chấm công",$S$3:S230,S230)&gt;1,"Trừ 1/2 ngày lương",50000))))</f>
        <v/>
      </c>
      <c r="AH230" s="14" t="str">
        <f>IF(AF230=0,"",IF(COUNTIFS($AF$3:AF230,"&gt;0",$S$3:S230,S230)&gt;3,"Trừ toàn bộ chuyên cần tháng",""))</f>
        <v/>
      </c>
      <c r="AI230" s="14"/>
      <c r="AJ230" s="14"/>
    </row>
    <row r="231" spans="1:36" x14ac:dyDescent="0.25">
      <c r="A231" s="4" t="s">
        <v>362</v>
      </c>
      <c r="B231" s="1" t="s">
        <v>363</v>
      </c>
      <c r="C231" s="1" t="s">
        <v>19</v>
      </c>
      <c r="D231" s="1" t="s">
        <v>48</v>
      </c>
      <c r="E231" s="1" t="s">
        <v>21</v>
      </c>
      <c r="F231" s="1" t="s">
        <v>22</v>
      </c>
      <c r="G231" s="1" t="s">
        <v>12</v>
      </c>
      <c r="H231" s="12" t="s">
        <v>23</v>
      </c>
      <c r="I231" s="1" t="s">
        <v>23</v>
      </c>
      <c r="J231" s="1" t="s">
        <v>24</v>
      </c>
      <c r="K231" s="1" t="s">
        <v>24</v>
      </c>
      <c r="L231" s="1" t="s">
        <v>25</v>
      </c>
      <c r="M231" s="1" t="s">
        <v>24</v>
      </c>
      <c r="N231" s="1" t="s">
        <v>24</v>
      </c>
      <c r="O231" s="1" t="s">
        <v>24</v>
      </c>
      <c r="P231" s="1" t="s">
        <v>24</v>
      </c>
      <c r="Q231" s="1" t="s">
        <v>24</v>
      </c>
      <c r="R231" s="75" t="str">
        <f t="shared" si="23"/>
        <v>5345919</v>
      </c>
      <c r="S231" t="str">
        <f>VLOOKUP(A231,Data_NV!$A:$C,3,0)</f>
        <v>Bùi Thị Kim Dung</v>
      </c>
      <c r="T231" t="str">
        <f>VLOOKUP(A231,Data_NV!$A:$E,4,0)</f>
        <v>Kinh doanh</v>
      </c>
      <c r="U231" s="72">
        <f>DATEVALUE(Table2[[#This Row],[Ngày]])</f>
        <v>45919</v>
      </c>
      <c r="V231" t="str">
        <f>VLOOKUP(A231,Data_NV!$A:$E,5,0)</f>
        <v>Đang làm việc</v>
      </c>
      <c r="W231" s="11">
        <f>VLOOKUP(A231,Data_NV!$A:$I,8,0)</f>
        <v>0.33333333333333331</v>
      </c>
      <c r="X231" s="11">
        <f>VLOOKUP(A231,Data_NV!$A:$I,9,0)</f>
        <v>0.70833333333333337</v>
      </c>
      <c r="Y231" s="11">
        <f>IFERROR(TIMEVALUE(Table2[[#This Row],[Vào]]),0)</f>
        <v>0</v>
      </c>
      <c r="Z231" s="11">
        <f>IFERROR(TIMEVALUE(Table2[[#This Row],[Ra]]),0)</f>
        <v>0</v>
      </c>
      <c r="AA231" t="str">
        <f t="shared" si="24"/>
        <v/>
      </c>
      <c r="AB231" s="14">
        <f t="shared" si="26"/>
        <v>0</v>
      </c>
      <c r="AC231" s="14" t="str">
        <f>IF(VLOOKUP(A231,Data_NV!$A:$I,7,0)="Không","",IF(OR(AND(Y231=0,Z231=0),AND(Y231&lt;&gt;0,Z231&lt;&gt;0)),"","Quên chấm công"))</f>
        <v/>
      </c>
      <c r="AD231" s="14">
        <f>IF(VLOOKUP(A231,Data_NV!$A:$I,7,0)="Không",0,IF(AND(Y231=0,Z231=0),0,IF(X231&lt;=Z231,0,ROUNDDOWN((X231-Z231)*24*60,0))))</f>
        <v>0</v>
      </c>
      <c r="AE231" s="14">
        <f>IF(VLOOKUP(A231,Data_NV!$A:$I,6,0)="Không",0,IF(Z231&lt;=X231,0,ROUNDDOWN((Z231-X231)*24*60,0)))</f>
        <v>0</v>
      </c>
      <c r="AF231" s="29">
        <f t="shared" si="25"/>
        <v>0</v>
      </c>
      <c r="AG231" s="30" t="str">
        <f>IF(AC231="","",IF(COUNTIFS($AC$3:AC231,"Quên chấm công",$S$3:S231,S231)&gt;3,"Không chấm công do vi phạm quá 3 lần",IF(COUNTIFS($AC$3:AC231,"Quên chấm công",$S$3:S231,S231)&gt;2,"Trừ toàn bộ chuyên cần tháng do vi phạm lần 3",IF(COUNTIFS($AC$3:AC231,"Quên chấm công",$S$3:S231,S231)&gt;1,"Trừ 1/2 ngày lương",50000))))</f>
        <v/>
      </c>
      <c r="AH231" s="14" t="str">
        <f>IF(AF231=0,"",IF(COUNTIFS($AF$3:AF231,"&gt;0",$S$3:S231,S231)&gt;3,"Trừ toàn bộ chuyên cần tháng",""))</f>
        <v/>
      </c>
      <c r="AI231" s="14"/>
      <c r="AJ231" s="14"/>
    </row>
    <row r="232" spans="1:36" x14ac:dyDescent="0.25">
      <c r="A232" s="4" t="s">
        <v>362</v>
      </c>
      <c r="B232" s="1" t="s">
        <v>363</v>
      </c>
      <c r="C232" s="1" t="s">
        <v>19</v>
      </c>
      <c r="D232" s="1" t="s">
        <v>50</v>
      </c>
      <c r="E232" s="1" t="s">
        <v>21</v>
      </c>
      <c r="F232" s="1" t="s">
        <v>22</v>
      </c>
      <c r="G232" s="1" t="s">
        <v>12</v>
      </c>
      <c r="H232" s="12" t="s">
        <v>375</v>
      </c>
      <c r="I232" s="1" t="s">
        <v>23</v>
      </c>
      <c r="J232" s="1" t="s">
        <v>24</v>
      </c>
      <c r="K232" s="1" t="s">
        <v>24</v>
      </c>
      <c r="L232" s="1" t="s">
        <v>25</v>
      </c>
      <c r="M232" s="1" t="s">
        <v>24</v>
      </c>
      <c r="N232" s="1" t="s">
        <v>24</v>
      </c>
      <c r="O232" s="1" t="s">
        <v>24</v>
      </c>
      <c r="P232" s="1" t="s">
        <v>24</v>
      </c>
      <c r="Q232" s="1" t="s">
        <v>24</v>
      </c>
      <c r="R232" s="75" t="str">
        <f t="shared" si="23"/>
        <v>5345920</v>
      </c>
      <c r="S232" t="str">
        <f>VLOOKUP(A232,Data_NV!$A:$C,3,0)</f>
        <v>Bùi Thị Kim Dung</v>
      </c>
      <c r="T232" t="str">
        <f>VLOOKUP(A232,Data_NV!$A:$E,4,0)</f>
        <v>Kinh doanh</v>
      </c>
      <c r="U232" s="72">
        <f>DATEVALUE(Table2[[#This Row],[Ngày]])</f>
        <v>45920</v>
      </c>
      <c r="V232" t="str">
        <f>VLOOKUP(A232,Data_NV!$A:$E,5,0)</f>
        <v>Đang làm việc</v>
      </c>
      <c r="W232" s="11">
        <f>VLOOKUP(A232,Data_NV!$A:$I,8,0)</f>
        <v>0.33333333333333331</v>
      </c>
      <c r="X232" s="11">
        <f>VLOOKUP(A232,Data_NV!$A:$I,9,0)</f>
        <v>0.70833333333333337</v>
      </c>
      <c r="Y232" s="11">
        <f>IFERROR(TIMEVALUE(Table2[[#This Row],[Vào]]),0)</f>
        <v>0.33155092592592594</v>
      </c>
      <c r="Z232" s="11">
        <f>IFERROR(TIMEVALUE(Table2[[#This Row],[Ra]]),0)</f>
        <v>0</v>
      </c>
      <c r="AA232" t="str">
        <f t="shared" si="24"/>
        <v>x</v>
      </c>
      <c r="AB232" s="14">
        <f t="shared" si="26"/>
        <v>0</v>
      </c>
      <c r="AC232" s="14" t="str">
        <f>IF(VLOOKUP(A232,Data_NV!$A:$I,7,0)="Không","",IF(OR(AND(Y232=0,Z232=0),AND(Y232&lt;&gt;0,Z232&lt;&gt;0)),"","Quên chấm công"))</f>
        <v/>
      </c>
      <c r="AD232" s="14">
        <f>IF(VLOOKUP(A232,Data_NV!$A:$I,7,0)="Không",0,IF(AND(Y232=0,Z232=0),0,IF(X232&lt;=Z232,0,ROUNDDOWN((X232-Z232)*24*60,0))))</f>
        <v>0</v>
      </c>
      <c r="AE232" s="14">
        <f>IF(VLOOKUP(A232,Data_NV!$A:$I,6,0)="Không",0,IF(Z232&lt;=X232,0,ROUNDDOWN((Z232-X232)*24*60,0)))</f>
        <v>0</v>
      </c>
      <c r="AF232" s="29">
        <f t="shared" si="25"/>
        <v>0</v>
      </c>
      <c r="AG232" s="30" t="str">
        <f>IF(AC232="","",IF(COUNTIFS($AC$3:AC232,"Quên chấm công",$S$3:S232,S232)&gt;3,"Không chấm công do vi phạm quá 3 lần",IF(COUNTIFS($AC$3:AC232,"Quên chấm công",$S$3:S232,S232)&gt;2,"Trừ toàn bộ chuyên cần tháng do vi phạm lần 3",IF(COUNTIFS($AC$3:AC232,"Quên chấm công",$S$3:S232,S232)&gt;1,"Trừ 1/2 ngày lương",50000))))</f>
        <v/>
      </c>
      <c r="AH232" s="14" t="str">
        <f>IF(AF232=0,"",IF(COUNTIFS($AF$3:AF232,"&gt;0",$S$3:S232,S232)&gt;3,"Trừ toàn bộ chuyên cần tháng",""))</f>
        <v/>
      </c>
      <c r="AI232" s="14"/>
      <c r="AJ232" s="14"/>
    </row>
    <row r="233" spans="1:36" x14ac:dyDescent="0.25">
      <c r="A233" s="4" t="s">
        <v>362</v>
      </c>
      <c r="B233" s="1" t="s">
        <v>363</v>
      </c>
      <c r="C233" s="1" t="s">
        <v>19</v>
      </c>
      <c r="D233" s="1" t="s">
        <v>51</v>
      </c>
      <c r="E233" s="1" t="s">
        <v>21</v>
      </c>
      <c r="F233" s="1" t="s">
        <v>22</v>
      </c>
      <c r="G233" s="1" t="s">
        <v>12</v>
      </c>
      <c r="H233" s="12" t="s">
        <v>23</v>
      </c>
      <c r="I233" s="1" t="s">
        <v>23</v>
      </c>
      <c r="J233" s="1" t="s">
        <v>24</v>
      </c>
      <c r="K233" s="1" t="s">
        <v>24</v>
      </c>
      <c r="L233" s="1" t="s">
        <v>25</v>
      </c>
      <c r="M233" s="1" t="s">
        <v>24</v>
      </c>
      <c r="N233" s="1" t="s">
        <v>24</v>
      </c>
      <c r="O233" s="1" t="s">
        <v>24</v>
      </c>
      <c r="P233" s="1" t="s">
        <v>24</v>
      </c>
      <c r="Q233" s="1" t="s">
        <v>24</v>
      </c>
      <c r="R233" s="75" t="str">
        <f t="shared" si="23"/>
        <v>5345921</v>
      </c>
      <c r="S233" t="str">
        <f>VLOOKUP(A233,Data_NV!$A:$C,3,0)</f>
        <v>Bùi Thị Kim Dung</v>
      </c>
      <c r="T233" t="str">
        <f>VLOOKUP(A233,Data_NV!$A:$E,4,0)</f>
        <v>Kinh doanh</v>
      </c>
      <c r="U233" s="72">
        <f>DATEVALUE(Table2[[#This Row],[Ngày]])</f>
        <v>45921</v>
      </c>
      <c r="V233" t="str">
        <f>VLOOKUP(A233,Data_NV!$A:$E,5,0)</f>
        <v>Đang làm việc</v>
      </c>
      <c r="W233" s="11">
        <f>VLOOKUP(A233,Data_NV!$A:$I,8,0)</f>
        <v>0.33333333333333331</v>
      </c>
      <c r="X233" s="11">
        <f>VLOOKUP(A233,Data_NV!$A:$I,9,0)</f>
        <v>0.70833333333333337</v>
      </c>
      <c r="Y233" s="11">
        <f>IFERROR(TIMEVALUE(Table2[[#This Row],[Vào]]),0)</f>
        <v>0</v>
      </c>
      <c r="Z233" s="11">
        <f>IFERROR(TIMEVALUE(Table2[[#This Row],[Ra]]),0)</f>
        <v>0</v>
      </c>
      <c r="AA233" t="str">
        <f t="shared" si="24"/>
        <v/>
      </c>
      <c r="AB233" s="14">
        <f t="shared" si="26"/>
        <v>0</v>
      </c>
      <c r="AC233" s="14" t="str">
        <f>IF(VLOOKUP(A233,Data_NV!$A:$I,7,0)="Không","",IF(OR(AND(Y233=0,Z233=0),AND(Y233&lt;&gt;0,Z233&lt;&gt;0)),"","Quên chấm công"))</f>
        <v/>
      </c>
      <c r="AD233" s="14">
        <f>IF(VLOOKUP(A233,Data_NV!$A:$I,7,0)="Không",0,IF(AND(Y233=0,Z233=0),0,IF(X233&lt;=Z233,0,ROUNDDOWN((X233-Z233)*24*60,0))))</f>
        <v>0</v>
      </c>
      <c r="AE233" s="14">
        <f>IF(VLOOKUP(A233,Data_NV!$A:$I,6,0)="Không",0,IF(Z233&lt;=X233,0,ROUNDDOWN((Z233-X233)*24*60,0)))</f>
        <v>0</v>
      </c>
      <c r="AF233" s="29">
        <f t="shared" si="25"/>
        <v>0</v>
      </c>
      <c r="AG233" s="30" t="str">
        <f>IF(AC233="","",IF(COUNTIFS($AC$3:AC233,"Quên chấm công",$S$3:S233,S233)&gt;3,"Không chấm công do vi phạm quá 3 lần",IF(COUNTIFS($AC$3:AC233,"Quên chấm công",$S$3:S233,S233)&gt;2,"Trừ toàn bộ chuyên cần tháng do vi phạm lần 3",IF(COUNTIFS($AC$3:AC233,"Quên chấm công",$S$3:S233,S233)&gt;1,"Trừ 1/2 ngày lương",50000))))</f>
        <v/>
      </c>
      <c r="AH233" s="14" t="str">
        <f>IF(AF233=0,"",IF(COUNTIFS($AF$3:AF233,"&gt;0",$S$3:S233,S233)&gt;3,"Trừ toàn bộ chuyên cần tháng",""))</f>
        <v/>
      </c>
      <c r="AI233" s="14"/>
      <c r="AJ233" s="14"/>
    </row>
    <row r="234" spans="1:36" x14ac:dyDescent="0.25">
      <c r="A234" s="4" t="s">
        <v>362</v>
      </c>
      <c r="B234" s="1" t="s">
        <v>363</v>
      </c>
      <c r="C234" s="1" t="s">
        <v>19</v>
      </c>
      <c r="D234" s="1" t="s">
        <v>52</v>
      </c>
      <c r="E234" s="1" t="s">
        <v>21</v>
      </c>
      <c r="F234" s="1" t="s">
        <v>22</v>
      </c>
      <c r="G234" s="1" t="s">
        <v>12</v>
      </c>
      <c r="H234" s="12" t="s">
        <v>376</v>
      </c>
      <c r="I234" s="1" t="s">
        <v>23</v>
      </c>
      <c r="J234" s="1" t="s">
        <v>336</v>
      </c>
      <c r="K234" s="1" t="s">
        <v>24</v>
      </c>
      <c r="L234" s="1" t="s">
        <v>25</v>
      </c>
      <c r="M234" s="1" t="s">
        <v>24</v>
      </c>
      <c r="N234" s="1" t="s">
        <v>24</v>
      </c>
      <c r="O234" s="1" t="s">
        <v>24</v>
      </c>
      <c r="P234" s="1" t="s">
        <v>24</v>
      </c>
      <c r="Q234" s="1" t="s">
        <v>24</v>
      </c>
      <c r="R234" s="75" t="str">
        <f t="shared" si="23"/>
        <v>5345922</v>
      </c>
      <c r="S234" t="str">
        <f>VLOOKUP(A234,Data_NV!$A:$C,3,0)</f>
        <v>Bùi Thị Kim Dung</v>
      </c>
      <c r="T234" t="str">
        <f>VLOOKUP(A234,Data_NV!$A:$E,4,0)</f>
        <v>Kinh doanh</v>
      </c>
      <c r="U234" s="72">
        <f>DATEVALUE(Table2[[#This Row],[Ngày]])</f>
        <v>45922</v>
      </c>
      <c r="V234" t="str">
        <f>VLOOKUP(A234,Data_NV!$A:$E,5,0)</f>
        <v>Đang làm việc</v>
      </c>
      <c r="W234" s="11">
        <f>VLOOKUP(A234,Data_NV!$A:$I,8,0)</f>
        <v>0.33333333333333331</v>
      </c>
      <c r="X234" s="11">
        <f>VLOOKUP(A234,Data_NV!$A:$I,9,0)</f>
        <v>0.70833333333333337</v>
      </c>
      <c r="Y234" s="11">
        <f>IFERROR(TIMEVALUE(Table2[[#This Row],[Vào]]),0)</f>
        <v>0.34513888888888888</v>
      </c>
      <c r="Z234" s="11">
        <f>IFERROR(TIMEVALUE(Table2[[#This Row],[Ra]]),0)</f>
        <v>0</v>
      </c>
      <c r="AA234" t="str">
        <f t="shared" si="24"/>
        <v>x</v>
      </c>
      <c r="AB234" s="14">
        <f t="shared" si="26"/>
        <v>17</v>
      </c>
      <c r="AC234" s="14" t="str">
        <f>IF(VLOOKUP(A234,Data_NV!$A:$I,7,0)="Không","",IF(OR(AND(Y234=0,Z234=0),AND(Y234&lt;&gt;0,Z234&lt;&gt;0)),"","Quên chấm công"))</f>
        <v/>
      </c>
      <c r="AD234" s="14">
        <f>IF(VLOOKUP(A234,Data_NV!$A:$I,7,0)="Không",0,IF(AND(Y234=0,Z234=0),0,IF(X234&lt;=Z234,0,ROUNDDOWN((X234-Z234)*24*60,0))))</f>
        <v>0</v>
      </c>
      <c r="AE234" s="14">
        <f>IF(VLOOKUP(A234,Data_NV!$A:$I,6,0)="Không",0,IF(Z234&lt;=X234,0,ROUNDDOWN((Z234-X234)*24*60,0)))</f>
        <v>0</v>
      </c>
      <c r="AF234" s="29">
        <f t="shared" si="25"/>
        <v>50000</v>
      </c>
      <c r="AG234" s="30" t="str">
        <f>IF(AC234="","",IF(COUNTIFS($AC$3:AC234,"Quên chấm công",$S$3:S234,S234)&gt;3,"Không chấm công do vi phạm quá 3 lần",IF(COUNTIFS($AC$3:AC234,"Quên chấm công",$S$3:S234,S234)&gt;2,"Trừ toàn bộ chuyên cần tháng do vi phạm lần 3",IF(COUNTIFS($AC$3:AC234,"Quên chấm công",$S$3:S234,S234)&gt;1,"Trừ 1/2 ngày lương",50000))))</f>
        <v/>
      </c>
      <c r="AH234" s="14" t="str">
        <f>IF(AF234=0,"",IF(COUNTIFS($AF$3:AF234,"&gt;0",$S$3:S234,S234)&gt;3,"Trừ toàn bộ chuyên cần tháng",""))</f>
        <v>Trừ toàn bộ chuyên cần tháng</v>
      </c>
      <c r="AI234" s="14"/>
      <c r="AJ234" s="14"/>
    </row>
    <row r="235" spans="1:36" x14ac:dyDescent="0.25">
      <c r="A235" s="4" t="s">
        <v>362</v>
      </c>
      <c r="B235" s="1" t="s">
        <v>363</v>
      </c>
      <c r="C235" s="1" t="s">
        <v>19</v>
      </c>
      <c r="D235" s="1" t="s">
        <v>54</v>
      </c>
      <c r="E235" s="1" t="s">
        <v>21</v>
      </c>
      <c r="F235" s="1" t="s">
        <v>22</v>
      </c>
      <c r="G235" s="1" t="s">
        <v>12</v>
      </c>
      <c r="H235" s="12" t="s">
        <v>377</v>
      </c>
      <c r="I235" s="1" t="s">
        <v>23</v>
      </c>
      <c r="J235" s="1" t="s">
        <v>65</v>
      </c>
      <c r="K235" s="1" t="s">
        <v>24</v>
      </c>
      <c r="L235" s="1" t="s">
        <v>25</v>
      </c>
      <c r="M235" s="1" t="s">
        <v>24</v>
      </c>
      <c r="N235" s="1" t="s">
        <v>24</v>
      </c>
      <c r="O235" s="1" t="s">
        <v>24</v>
      </c>
      <c r="P235" s="1" t="s">
        <v>24</v>
      </c>
      <c r="Q235" s="1" t="s">
        <v>24</v>
      </c>
      <c r="R235" s="75" t="str">
        <f t="shared" si="23"/>
        <v>5345923</v>
      </c>
      <c r="S235" t="str">
        <f>VLOOKUP(A235,Data_NV!$A:$C,3,0)</f>
        <v>Bùi Thị Kim Dung</v>
      </c>
      <c r="T235" t="str">
        <f>VLOOKUP(A235,Data_NV!$A:$E,4,0)</f>
        <v>Kinh doanh</v>
      </c>
      <c r="U235" s="72">
        <f>DATEVALUE(Table2[[#This Row],[Ngày]])</f>
        <v>45923</v>
      </c>
      <c r="V235" t="str">
        <f>VLOOKUP(A235,Data_NV!$A:$E,5,0)</f>
        <v>Đang làm việc</v>
      </c>
      <c r="W235" s="11">
        <f>VLOOKUP(A235,Data_NV!$A:$I,8,0)</f>
        <v>0.33333333333333331</v>
      </c>
      <c r="X235" s="11">
        <f>VLOOKUP(A235,Data_NV!$A:$I,9,0)</f>
        <v>0.70833333333333337</v>
      </c>
      <c r="Y235" s="11">
        <f>IFERROR(TIMEVALUE(Table2[[#This Row],[Vào]]),0)</f>
        <v>0.33783564814814815</v>
      </c>
      <c r="Z235" s="11">
        <f>IFERROR(TIMEVALUE(Table2[[#This Row],[Ra]]),0)</f>
        <v>0</v>
      </c>
      <c r="AA235" t="str">
        <f t="shared" si="24"/>
        <v>x</v>
      </c>
      <c r="AB235" s="14">
        <f t="shared" si="26"/>
        <v>6</v>
      </c>
      <c r="AC235" s="14" t="str">
        <f>IF(VLOOKUP(A235,Data_NV!$A:$I,7,0)="Không","",IF(OR(AND(Y235=0,Z235=0),AND(Y235&lt;&gt;0,Z235&lt;&gt;0)),"","Quên chấm công"))</f>
        <v/>
      </c>
      <c r="AD235" s="14">
        <f>IF(VLOOKUP(A235,Data_NV!$A:$I,7,0)="Không",0,IF(AND(Y235=0,Z235=0),0,IF(X235&lt;=Z235,0,ROUNDDOWN((X235-Z235)*24*60,0))))</f>
        <v>0</v>
      </c>
      <c r="AE235" s="14">
        <f>IF(VLOOKUP(A235,Data_NV!$A:$I,6,0)="Không",0,IF(Z235&lt;=X235,0,ROUNDDOWN((Z235-X235)*24*60,0)))</f>
        <v>0</v>
      </c>
      <c r="AF235" s="29">
        <f t="shared" si="25"/>
        <v>0</v>
      </c>
      <c r="AG235" s="30" t="str">
        <f>IF(AC235="","",IF(COUNTIFS($AC$3:AC235,"Quên chấm công",$S$3:S235,S235)&gt;3,"Không chấm công do vi phạm quá 3 lần",IF(COUNTIFS($AC$3:AC235,"Quên chấm công",$S$3:S235,S235)&gt;2,"Trừ toàn bộ chuyên cần tháng do vi phạm lần 3",IF(COUNTIFS($AC$3:AC235,"Quên chấm công",$S$3:S235,S235)&gt;1,"Trừ 1/2 ngày lương",50000))))</f>
        <v/>
      </c>
      <c r="AH235" s="14" t="str">
        <f>IF(AF235=0,"",IF(COUNTIFS($AF$3:AF235,"&gt;0",$S$3:S235,S235)&gt;3,"Trừ toàn bộ chuyên cần tháng",""))</f>
        <v/>
      </c>
      <c r="AI235" s="14"/>
      <c r="AJ235" s="14"/>
    </row>
    <row r="236" spans="1:36" x14ac:dyDescent="0.25">
      <c r="A236" s="4" t="s">
        <v>362</v>
      </c>
      <c r="B236" s="1" t="s">
        <v>363</v>
      </c>
      <c r="C236" s="1" t="s">
        <v>19</v>
      </c>
      <c r="D236" s="1" t="s">
        <v>55</v>
      </c>
      <c r="E236" s="1" t="s">
        <v>21</v>
      </c>
      <c r="F236" s="1" t="s">
        <v>22</v>
      </c>
      <c r="G236" s="1" t="s">
        <v>12</v>
      </c>
      <c r="H236" s="12" t="s">
        <v>378</v>
      </c>
      <c r="I236" s="1" t="s">
        <v>23</v>
      </c>
      <c r="J236" s="1" t="s">
        <v>24</v>
      </c>
      <c r="K236" s="1" t="s">
        <v>24</v>
      </c>
      <c r="L236" s="1" t="s">
        <v>25</v>
      </c>
      <c r="M236" s="1" t="s">
        <v>24</v>
      </c>
      <c r="N236" s="1" t="s">
        <v>24</v>
      </c>
      <c r="O236" s="1" t="s">
        <v>24</v>
      </c>
      <c r="P236" s="1" t="s">
        <v>24</v>
      </c>
      <c r="Q236" s="1" t="s">
        <v>24</v>
      </c>
      <c r="R236" s="75" t="str">
        <f t="shared" si="23"/>
        <v>5345924</v>
      </c>
      <c r="S236" t="str">
        <f>VLOOKUP(A236,Data_NV!$A:$C,3,0)</f>
        <v>Bùi Thị Kim Dung</v>
      </c>
      <c r="T236" t="str">
        <f>VLOOKUP(A236,Data_NV!$A:$E,4,0)</f>
        <v>Kinh doanh</v>
      </c>
      <c r="U236" s="72">
        <f>DATEVALUE(Table2[[#This Row],[Ngày]])</f>
        <v>45924</v>
      </c>
      <c r="V236" t="str">
        <f>VLOOKUP(A236,Data_NV!$A:$E,5,0)</f>
        <v>Đang làm việc</v>
      </c>
      <c r="W236" s="11">
        <f>VLOOKUP(A236,Data_NV!$A:$I,8,0)</f>
        <v>0.33333333333333331</v>
      </c>
      <c r="X236" s="11">
        <f>VLOOKUP(A236,Data_NV!$A:$I,9,0)</f>
        <v>0.70833333333333337</v>
      </c>
      <c r="Y236" s="11">
        <f>IFERROR(TIMEVALUE(Table2[[#This Row],[Vào]]),0)</f>
        <v>0.33362268518518517</v>
      </c>
      <c r="Z236" s="11">
        <f>IFERROR(TIMEVALUE(Table2[[#This Row],[Ra]]),0)</f>
        <v>0</v>
      </c>
      <c r="AA236" t="str">
        <f t="shared" si="24"/>
        <v>x</v>
      </c>
      <c r="AB236" s="14">
        <f t="shared" si="26"/>
        <v>0</v>
      </c>
      <c r="AC236" s="14" t="str">
        <f>IF(VLOOKUP(A236,Data_NV!$A:$I,7,0)="Không","",IF(OR(AND(Y236=0,Z236=0),AND(Y236&lt;&gt;0,Z236&lt;&gt;0)),"","Quên chấm công"))</f>
        <v/>
      </c>
      <c r="AD236" s="14">
        <f>IF(VLOOKUP(A236,Data_NV!$A:$I,7,0)="Không",0,IF(AND(Y236=0,Z236=0),0,IF(X236&lt;=Z236,0,ROUNDDOWN((X236-Z236)*24*60,0))))</f>
        <v>0</v>
      </c>
      <c r="AE236" s="14">
        <f>IF(VLOOKUP(A236,Data_NV!$A:$I,6,0)="Không",0,IF(Z236&lt;=X236,0,ROUNDDOWN((Z236-X236)*24*60,0)))</f>
        <v>0</v>
      </c>
      <c r="AF236" s="29">
        <f t="shared" si="25"/>
        <v>0</v>
      </c>
      <c r="AG236" s="30" t="str">
        <f>IF(AC236="","",IF(COUNTIFS($AC$3:AC236,"Quên chấm công",$S$3:S236,S236)&gt;3,"Không chấm công do vi phạm quá 3 lần",IF(COUNTIFS($AC$3:AC236,"Quên chấm công",$S$3:S236,S236)&gt;2,"Trừ toàn bộ chuyên cần tháng do vi phạm lần 3",IF(COUNTIFS($AC$3:AC236,"Quên chấm công",$S$3:S236,S236)&gt;1,"Trừ 1/2 ngày lương",50000))))</f>
        <v/>
      </c>
      <c r="AH236" s="14" t="str">
        <f>IF(AF236=0,"",IF(COUNTIFS($AF$3:AF236,"&gt;0",$S$3:S236,S236)&gt;3,"Trừ toàn bộ chuyên cần tháng",""))</f>
        <v/>
      </c>
      <c r="AI236" s="14"/>
      <c r="AJ236" s="14"/>
    </row>
    <row r="237" spans="1:36" x14ac:dyDescent="0.25">
      <c r="A237" s="4" t="s">
        <v>362</v>
      </c>
      <c r="B237" s="1" t="s">
        <v>363</v>
      </c>
      <c r="C237" s="1" t="s">
        <v>19</v>
      </c>
      <c r="D237" s="1" t="s">
        <v>56</v>
      </c>
      <c r="E237" s="1" t="s">
        <v>21</v>
      </c>
      <c r="F237" s="1" t="s">
        <v>22</v>
      </c>
      <c r="G237" s="1" t="s">
        <v>12</v>
      </c>
      <c r="H237" s="12" t="s">
        <v>105</v>
      </c>
      <c r="I237" s="1" t="s">
        <v>23</v>
      </c>
      <c r="J237" s="1" t="s">
        <v>24</v>
      </c>
      <c r="K237" s="1" t="s">
        <v>24</v>
      </c>
      <c r="L237" s="1" t="s">
        <v>25</v>
      </c>
      <c r="M237" s="1" t="s">
        <v>24</v>
      </c>
      <c r="N237" s="1" t="s">
        <v>24</v>
      </c>
      <c r="O237" s="1" t="s">
        <v>24</v>
      </c>
      <c r="P237" s="1" t="s">
        <v>24</v>
      </c>
      <c r="Q237" s="1" t="s">
        <v>24</v>
      </c>
      <c r="R237" s="75" t="str">
        <f t="shared" si="23"/>
        <v>5345925</v>
      </c>
      <c r="S237" t="str">
        <f>VLOOKUP(A237,Data_NV!$A:$C,3,0)</f>
        <v>Bùi Thị Kim Dung</v>
      </c>
      <c r="T237" t="str">
        <f>VLOOKUP(A237,Data_NV!$A:$E,4,0)</f>
        <v>Kinh doanh</v>
      </c>
      <c r="U237" s="72">
        <f>DATEVALUE(Table2[[#This Row],[Ngày]])</f>
        <v>45925</v>
      </c>
      <c r="V237" t="str">
        <f>VLOOKUP(A237,Data_NV!$A:$E,5,0)</f>
        <v>Đang làm việc</v>
      </c>
      <c r="W237" s="11">
        <f>VLOOKUP(A237,Data_NV!$A:$I,8,0)</f>
        <v>0.33333333333333331</v>
      </c>
      <c r="X237" s="11">
        <f>VLOOKUP(A237,Data_NV!$A:$I,9,0)</f>
        <v>0.70833333333333337</v>
      </c>
      <c r="Y237" s="11">
        <f>IFERROR(TIMEVALUE(Table2[[#This Row],[Vào]]),0)</f>
        <v>0.32844907407407409</v>
      </c>
      <c r="Z237" s="11">
        <f>IFERROR(TIMEVALUE(Table2[[#This Row],[Ra]]),0)</f>
        <v>0</v>
      </c>
      <c r="AA237" t="str">
        <f t="shared" si="24"/>
        <v>x</v>
      </c>
      <c r="AB237" s="14">
        <f t="shared" si="26"/>
        <v>0</v>
      </c>
      <c r="AC237" s="14" t="str">
        <f>IF(VLOOKUP(A237,Data_NV!$A:$I,7,0)="Không","",IF(OR(AND(Y237=0,Z237=0),AND(Y237&lt;&gt;0,Z237&lt;&gt;0)),"","Quên chấm công"))</f>
        <v/>
      </c>
      <c r="AD237" s="14">
        <f>IF(VLOOKUP(A237,Data_NV!$A:$I,7,0)="Không",0,IF(AND(Y237=0,Z237=0),0,IF(X237&lt;=Z237,0,ROUNDDOWN((X237-Z237)*24*60,0))))</f>
        <v>0</v>
      </c>
      <c r="AE237" s="14">
        <f>IF(VLOOKUP(A237,Data_NV!$A:$I,6,0)="Không",0,IF(Z237&lt;=X237,0,ROUNDDOWN((Z237-X237)*24*60,0)))</f>
        <v>0</v>
      </c>
      <c r="AF237" s="29">
        <f t="shared" si="25"/>
        <v>0</v>
      </c>
      <c r="AG237" s="30" t="str">
        <f>IF(AC237="","",IF(COUNTIFS($AC$3:AC237,"Quên chấm công",$S$3:S237,S237)&gt;3,"Không chấm công do vi phạm quá 3 lần",IF(COUNTIFS($AC$3:AC237,"Quên chấm công",$S$3:S237,S237)&gt;2,"Trừ toàn bộ chuyên cần tháng do vi phạm lần 3",IF(COUNTIFS($AC$3:AC237,"Quên chấm công",$S$3:S237,S237)&gt;1,"Trừ 1/2 ngày lương",50000))))</f>
        <v/>
      </c>
      <c r="AH237" s="14" t="str">
        <f>IF(AF237=0,"",IF(COUNTIFS($AF$3:AF237,"&gt;0",$S$3:S237,S237)&gt;3,"Trừ toàn bộ chuyên cần tháng",""))</f>
        <v/>
      </c>
      <c r="AI237" s="14"/>
      <c r="AJ237" s="14"/>
    </row>
    <row r="238" spans="1:36" x14ac:dyDescent="0.25">
      <c r="A238" s="4" t="s">
        <v>362</v>
      </c>
      <c r="B238" s="1" t="s">
        <v>363</v>
      </c>
      <c r="C238" s="1" t="s">
        <v>19</v>
      </c>
      <c r="D238" s="1" t="s">
        <v>57</v>
      </c>
      <c r="E238" s="1" t="s">
        <v>21</v>
      </c>
      <c r="F238" s="1" t="s">
        <v>22</v>
      </c>
      <c r="G238" s="1" t="s">
        <v>12</v>
      </c>
      <c r="H238" s="12" t="s">
        <v>379</v>
      </c>
      <c r="I238" s="1" t="s">
        <v>23</v>
      </c>
      <c r="J238" s="1" t="s">
        <v>24</v>
      </c>
      <c r="K238" s="1" t="s">
        <v>24</v>
      </c>
      <c r="L238" s="1" t="s">
        <v>25</v>
      </c>
      <c r="M238" s="1" t="s">
        <v>24</v>
      </c>
      <c r="N238" s="1" t="s">
        <v>24</v>
      </c>
      <c r="O238" s="1" t="s">
        <v>24</v>
      </c>
      <c r="P238" s="1" t="s">
        <v>24</v>
      </c>
      <c r="Q238" s="1" t="s">
        <v>24</v>
      </c>
      <c r="R238" s="75" t="str">
        <f t="shared" si="23"/>
        <v>5345926</v>
      </c>
      <c r="S238" t="str">
        <f>VLOOKUP(A238,Data_NV!$A:$C,3,0)</f>
        <v>Bùi Thị Kim Dung</v>
      </c>
      <c r="T238" t="str">
        <f>VLOOKUP(A238,Data_NV!$A:$E,4,0)</f>
        <v>Kinh doanh</v>
      </c>
      <c r="U238" s="72">
        <f>DATEVALUE(Table2[[#This Row],[Ngày]])</f>
        <v>45926</v>
      </c>
      <c r="V238" t="str">
        <f>VLOOKUP(A238,Data_NV!$A:$E,5,0)</f>
        <v>Đang làm việc</v>
      </c>
      <c r="W238" s="11">
        <f>VLOOKUP(A238,Data_NV!$A:$I,8,0)</f>
        <v>0.33333333333333331</v>
      </c>
      <c r="X238" s="11">
        <f>VLOOKUP(A238,Data_NV!$A:$I,9,0)</f>
        <v>0.70833333333333337</v>
      </c>
      <c r="Y238" s="11">
        <f>IFERROR(TIMEVALUE(Table2[[#This Row],[Vào]]),0)</f>
        <v>0.32976851851851852</v>
      </c>
      <c r="Z238" s="11">
        <f>IFERROR(TIMEVALUE(Table2[[#This Row],[Ra]]),0)</f>
        <v>0</v>
      </c>
      <c r="AA238" t="str">
        <f t="shared" si="24"/>
        <v>x</v>
      </c>
      <c r="AB238" s="14">
        <f t="shared" si="26"/>
        <v>0</v>
      </c>
      <c r="AC238" s="14" t="str">
        <f>IF(VLOOKUP(A238,Data_NV!$A:$I,7,0)="Không","",IF(OR(AND(Y238=0,Z238=0),AND(Y238&lt;&gt;0,Z238&lt;&gt;0)),"","Quên chấm công"))</f>
        <v/>
      </c>
      <c r="AD238" s="14">
        <f>IF(VLOOKUP(A238,Data_NV!$A:$I,7,0)="Không",0,IF(AND(Y238=0,Z238=0),0,IF(X238&lt;=Z238,0,ROUNDDOWN((X238-Z238)*24*60,0))))</f>
        <v>0</v>
      </c>
      <c r="AE238" s="14">
        <f>IF(VLOOKUP(A238,Data_NV!$A:$I,6,0)="Không",0,IF(Z238&lt;=X238,0,ROUNDDOWN((Z238-X238)*24*60,0)))</f>
        <v>0</v>
      </c>
      <c r="AF238" s="29">
        <f t="shared" si="25"/>
        <v>0</v>
      </c>
      <c r="AG238" s="30" t="str">
        <f>IF(AC238="","",IF(COUNTIFS($AC$3:AC238,"Quên chấm công",$S$3:S238,S238)&gt;3,"Không chấm công do vi phạm quá 3 lần",IF(COUNTIFS($AC$3:AC238,"Quên chấm công",$S$3:S238,S238)&gt;2,"Trừ toàn bộ chuyên cần tháng do vi phạm lần 3",IF(COUNTIFS($AC$3:AC238,"Quên chấm công",$S$3:S238,S238)&gt;1,"Trừ 1/2 ngày lương",50000))))</f>
        <v/>
      </c>
      <c r="AH238" s="14" t="str">
        <f>IF(AF238=0,"",IF(COUNTIFS($AF$3:AF238,"&gt;0",$S$3:S238,S238)&gt;3,"Trừ toàn bộ chuyên cần tháng",""))</f>
        <v/>
      </c>
      <c r="AI238" s="14"/>
      <c r="AJ238" s="14"/>
    </row>
    <row r="239" spans="1:36" x14ac:dyDescent="0.25">
      <c r="A239" s="4" t="s">
        <v>362</v>
      </c>
      <c r="B239" s="1" t="s">
        <v>363</v>
      </c>
      <c r="C239" s="1" t="s">
        <v>19</v>
      </c>
      <c r="D239" s="1" t="s">
        <v>58</v>
      </c>
      <c r="E239" s="1" t="s">
        <v>21</v>
      </c>
      <c r="F239" s="1" t="s">
        <v>22</v>
      </c>
      <c r="G239" s="1" t="s">
        <v>12</v>
      </c>
      <c r="H239" s="12" t="s">
        <v>380</v>
      </c>
      <c r="I239" s="1" t="s">
        <v>23</v>
      </c>
      <c r="J239" s="1" t="s">
        <v>24</v>
      </c>
      <c r="K239" s="1" t="s">
        <v>24</v>
      </c>
      <c r="L239" s="1" t="s">
        <v>25</v>
      </c>
      <c r="M239" s="1" t="s">
        <v>24</v>
      </c>
      <c r="N239" s="1" t="s">
        <v>24</v>
      </c>
      <c r="O239" s="1" t="s">
        <v>24</v>
      </c>
      <c r="P239" s="1" t="s">
        <v>24</v>
      </c>
      <c r="Q239" s="1" t="s">
        <v>24</v>
      </c>
      <c r="R239" s="75" t="str">
        <f t="shared" si="23"/>
        <v>5345927</v>
      </c>
      <c r="S239" t="str">
        <f>VLOOKUP(A239,Data_NV!$A:$C,3,0)</f>
        <v>Bùi Thị Kim Dung</v>
      </c>
      <c r="T239" t="str">
        <f>VLOOKUP(A239,Data_NV!$A:$E,4,0)</f>
        <v>Kinh doanh</v>
      </c>
      <c r="U239" s="72">
        <f>DATEVALUE(Table2[[#This Row],[Ngày]])</f>
        <v>45927</v>
      </c>
      <c r="V239" t="str">
        <f>VLOOKUP(A239,Data_NV!$A:$E,5,0)</f>
        <v>Đang làm việc</v>
      </c>
      <c r="W239" s="11">
        <f>VLOOKUP(A239,Data_NV!$A:$I,8,0)</f>
        <v>0.33333333333333331</v>
      </c>
      <c r="X239" s="11">
        <f>VLOOKUP(A239,Data_NV!$A:$I,9,0)</f>
        <v>0.70833333333333337</v>
      </c>
      <c r="Y239" s="11">
        <f>IFERROR(TIMEVALUE(Table2[[#This Row],[Vào]]),0)</f>
        <v>0.33165509259259257</v>
      </c>
      <c r="Z239" s="11">
        <f>IFERROR(TIMEVALUE(Table2[[#This Row],[Ra]]),0)</f>
        <v>0</v>
      </c>
      <c r="AA239" t="str">
        <f t="shared" si="24"/>
        <v>x</v>
      </c>
      <c r="AB239" s="14">
        <f t="shared" si="26"/>
        <v>0</v>
      </c>
      <c r="AC239" s="14" t="str">
        <f>IF(VLOOKUP(A239,Data_NV!$A:$I,7,0)="Không","",IF(OR(AND(Y239=0,Z239=0),AND(Y239&lt;&gt;0,Z239&lt;&gt;0)),"","Quên chấm công"))</f>
        <v/>
      </c>
      <c r="AD239" s="14">
        <f>IF(VLOOKUP(A239,Data_NV!$A:$I,7,0)="Không",0,IF(AND(Y239=0,Z239=0),0,IF(X239&lt;=Z239,0,ROUNDDOWN((X239-Z239)*24*60,0))))</f>
        <v>0</v>
      </c>
      <c r="AE239" s="14">
        <f>IF(VLOOKUP(A239,Data_NV!$A:$I,6,0)="Không",0,IF(Z239&lt;=X239,0,ROUNDDOWN((Z239-X239)*24*60,0)))</f>
        <v>0</v>
      </c>
      <c r="AF239" s="29">
        <f t="shared" si="25"/>
        <v>0</v>
      </c>
      <c r="AG239" s="30" t="str">
        <f>IF(AC239="","",IF(COUNTIFS($AC$3:AC239,"Quên chấm công",$S$3:S239,S239)&gt;3,"Không chấm công do vi phạm quá 3 lần",IF(COUNTIFS($AC$3:AC239,"Quên chấm công",$S$3:S239,S239)&gt;2,"Trừ toàn bộ chuyên cần tháng do vi phạm lần 3",IF(COUNTIFS($AC$3:AC239,"Quên chấm công",$S$3:S239,S239)&gt;1,"Trừ 1/2 ngày lương",50000))))</f>
        <v/>
      </c>
      <c r="AH239" s="14" t="str">
        <f>IF(AF239=0,"",IF(COUNTIFS($AF$3:AF239,"&gt;0",$S$3:S239,S239)&gt;3,"Trừ toàn bộ chuyên cần tháng",""))</f>
        <v/>
      </c>
      <c r="AI239" s="14"/>
      <c r="AJ239" s="14"/>
    </row>
    <row r="240" spans="1:36" x14ac:dyDescent="0.25">
      <c r="A240" s="4" t="s">
        <v>362</v>
      </c>
      <c r="B240" s="1" t="s">
        <v>363</v>
      </c>
      <c r="C240" s="1" t="s">
        <v>19</v>
      </c>
      <c r="D240" s="1" t="s">
        <v>59</v>
      </c>
      <c r="E240" s="1" t="s">
        <v>21</v>
      </c>
      <c r="F240" s="1" t="s">
        <v>22</v>
      </c>
      <c r="G240" s="1" t="s">
        <v>12</v>
      </c>
      <c r="H240" s="12" t="s">
        <v>23</v>
      </c>
      <c r="I240" s="1" t="s">
        <v>23</v>
      </c>
      <c r="J240" s="1" t="s">
        <v>24</v>
      </c>
      <c r="K240" s="1" t="s">
        <v>24</v>
      </c>
      <c r="L240" s="1" t="s">
        <v>25</v>
      </c>
      <c r="M240" s="1" t="s">
        <v>24</v>
      </c>
      <c r="N240" s="1" t="s">
        <v>24</v>
      </c>
      <c r="O240" s="1" t="s">
        <v>24</v>
      </c>
      <c r="P240" s="1" t="s">
        <v>24</v>
      </c>
      <c r="Q240" s="1" t="s">
        <v>24</v>
      </c>
      <c r="R240" s="75" t="str">
        <f t="shared" si="23"/>
        <v>5345928</v>
      </c>
      <c r="S240" t="str">
        <f>VLOOKUP(A240,Data_NV!$A:$C,3,0)</f>
        <v>Bùi Thị Kim Dung</v>
      </c>
      <c r="T240" t="str">
        <f>VLOOKUP(A240,Data_NV!$A:$E,4,0)</f>
        <v>Kinh doanh</v>
      </c>
      <c r="U240" s="72">
        <f>DATEVALUE(Table2[[#This Row],[Ngày]])</f>
        <v>45928</v>
      </c>
      <c r="V240" t="str">
        <f>VLOOKUP(A240,Data_NV!$A:$E,5,0)</f>
        <v>Đang làm việc</v>
      </c>
      <c r="W240" s="11">
        <f>VLOOKUP(A240,Data_NV!$A:$I,8,0)</f>
        <v>0.33333333333333331</v>
      </c>
      <c r="X240" s="11">
        <f>VLOOKUP(A240,Data_NV!$A:$I,9,0)</f>
        <v>0.70833333333333337</v>
      </c>
      <c r="Y240" s="11">
        <f>IFERROR(TIMEVALUE(Table2[[#This Row],[Vào]]),0)</f>
        <v>0</v>
      </c>
      <c r="Z240" s="11">
        <f>IFERROR(TIMEVALUE(Table2[[#This Row],[Ra]]),0)</f>
        <v>0</v>
      </c>
      <c r="AA240" t="str">
        <f t="shared" si="24"/>
        <v/>
      </c>
      <c r="AB240" s="14">
        <f t="shared" si="26"/>
        <v>0</v>
      </c>
      <c r="AC240" s="14" t="str">
        <f>IF(VLOOKUP(A240,Data_NV!$A:$I,7,0)="Không","",IF(OR(AND(Y240=0,Z240=0),AND(Y240&lt;&gt;0,Z240&lt;&gt;0)),"","Quên chấm công"))</f>
        <v/>
      </c>
      <c r="AD240" s="14">
        <f>IF(VLOOKUP(A240,Data_NV!$A:$I,7,0)="Không",0,IF(AND(Y240=0,Z240=0),0,IF(X240&lt;=Z240,0,ROUNDDOWN((X240-Z240)*24*60,0))))</f>
        <v>0</v>
      </c>
      <c r="AE240" s="14">
        <f>IF(VLOOKUP(A240,Data_NV!$A:$I,6,0)="Không",0,IF(Z240&lt;=X240,0,ROUNDDOWN((Z240-X240)*24*60,0)))</f>
        <v>0</v>
      </c>
      <c r="AF240" s="29">
        <f t="shared" si="25"/>
        <v>0</v>
      </c>
      <c r="AG240" s="30" t="str">
        <f>IF(AC240="","",IF(COUNTIFS($AC$3:AC240,"Quên chấm công",$S$3:S240,S240)&gt;3,"Không chấm công do vi phạm quá 3 lần",IF(COUNTIFS($AC$3:AC240,"Quên chấm công",$S$3:S240,S240)&gt;2,"Trừ toàn bộ chuyên cần tháng do vi phạm lần 3",IF(COUNTIFS($AC$3:AC240,"Quên chấm công",$S$3:S240,S240)&gt;1,"Trừ 1/2 ngày lương",50000))))</f>
        <v/>
      </c>
      <c r="AH240" s="14" t="str">
        <f>IF(AF240=0,"",IF(COUNTIFS($AF$3:AF240,"&gt;0",$S$3:S240,S240)&gt;3,"Trừ toàn bộ chuyên cần tháng",""))</f>
        <v/>
      </c>
      <c r="AI240" s="14"/>
      <c r="AJ240" s="14"/>
    </row>
    <row r="241" spans="1:36" x14ac:dyDescent="0.25">
      <c r="A241" s="4" t="s">
        <v>362</v>
      </c>
      <c r="B241" s="1" t="s">
        <v>363</v>
      </c>
      <c r="C241" s="1" t="s">
        <v>19</v>
      </c>
      <c r="D241" s="1" t="s">
        <v>60</v>
      </c>
      <c r="E241" s="1" t="s">
        <v>21</v>
      </c>
      <c r="F241" s="1" t="s">
        <v>22</v>
      </c>
      <c r="G241" s="1" t="s">
        <v>12</v>
      </c>
      <c r="H241" s="12" t="s">
        <v>381</v>
      </c>
      <c r="I241" s="1" t="s">
        <v>23</v>
      </c>
      <c r="J241" s="1" t="s">
        <v>24</v>
      </c>
      <c r="K241" s="1" t="s">
        <v>24</v>
      </c>
      <c r="L241" s="1" t="s">
        <v>25</v>
      </c>
      <c r="M241" s="1" t="s">
        <v>24</v>
      </c>
      <c r="N241" s="1" t="s">
        <v>24</v>
      </c>
      <c r="O241" s="1" t="s">
        <v>24</v>
      </c>
      <c r="P241" s="1" t="s">
        <v>24</v>
      </c>
      <c r="Q241" s="1" t="s">
        <v>24</v>
      </c>
      <c r="R241" s="75" t="str">
        <f t="shared" si="23"/>
        <v>5345929</v>
      </c>
      <c r="S241" t="str">
        <f>VLOOKUP(A241,Data_NV!$A:$C,3,0)</f>
        <v>Bùi Thị Kim Dung</v>
      </c>
      <c r="T241" t="str">
        <f>VLOOKUP(A241,Data_NV!$A:$E,4,0)</f>
        <v>Kinh doanh</v>
      </c>
      <c r="U241" s="72">
        <f>DATEVALUE(Table2[[#This Row],[Ngày]])</f>
        <v>45929</v>
      </c>
      <c r="V241" t="str">
        <f>VLOOKUP(A241,Data_NV!$A:$E,5,0)</f>
        <v>Đang làm việc</v>
      </c>
      <c r="W241" s="11">
        <f>VLOOKUP(A241,Data_NV!$A:$I,8,0)</f>
        <v>0.33333333333333331</v>
      </c>
      <c r="X241" s="11">
        <f>VLOOKUP(A241,Data_NV!$A:$I,9,0)</f>
        <v>0.70833333333333337</v>
      </c>
      <c r="Y241" s="11">
        <f>IFERROR(TIMEVALUE(Table2[[#This Row],[Vào]]),0)</f>
        <v>0.33091435185185186</v>
      </c>
      <c r="Z241" s="11">
        <f>IFERROR(TIMEVALUE(Table2[[#This Row],[Ra]]),0)</f>
        <v>0</v>
      </c>
      <c r="AA241" t="str">
        <f t="shared" si="24"/>
        <v>x</v>
      </c>
      <c r="AB241" s="14">
        <f t="shared" si="26"/>
        <v>0</v>
      </c>
      <c r="AC241" s="14" t="str">
        <f>IF(VLOOKUP(A241,Data_NV!$A:$I,7,0)="Không","",IF(OR(AND(Y241=0,Z241=0),AND(Y241&lt;&gt;0,Z241&lt;&gt;0)),"","Quên chấm công"))</f>
        <v/>
      </c>
      <c r="AD241" s="14">
        <f>IF(VLOOKUP(A241,Data_NV!$A:$I,7,0)="Không",0,IF(AND(Y241=0,Z241=0),0,IF(X241&lt;=Z241,0,ROUNDDOWN((X241-Z241)*24*60,0))))</f>
        <v>0</v>
      </c>
      <c r="AE241" s="14">
        <f>IF(VLOOKUP(A241,Data_NV!$A:$I,6,0)="Không",0,IF(Z241&lt;=X241,0,ROUNDDOWN((Z241-X241)*24*60,0)))</f>
        <v>0</v>
      </c>
      <c r="AF241" s="29">
        <f t="shared" si="25"/>
        <v>0</v>
      </c>
      <c r="AG241" s="30" t="str">
        <f>IF(AC241="","",IF(COUNTIFS($AC$3:AC241,"Quên chấm công",$S$3:S241,S241)&gt;3,"Không chấm công do vi phạm quá 3 lần",IF(COUNTIFS($AC$3:AC241,"Quên chấm công",$S$3:S241,S241)&gt;2,"Trừ toàn bộ chuyên cần tháng do vi phạm lần 3",IF(COUNTIFS($AC$3:AC241,"Quên chấm công",$S$3:S241,S241)&gt;1,"Trừ 1/2 ngày lương",50000))))</f>
        <v/>
      </c>
      <c r="AH241" s="14" t="str">
        <f>IF(AF241=0,"",IF(COUNTIFS($AF$3:AF241,"&gt;0",$S$3:S241,S241)&gt;3,"Trừ toàn bộ chuyên cần tháng",""))</f>
        <v/>
      </c>
      <c r="AI241" s="14"/>
      <c r="AJ241" s="14"/>
    </row>
    <row r="242" spans="1:36" x14ac:dyDescent="0.25">
      <c r="A242" s="4" t="s">
        <v>362</v>
      </c>
      <c r="B242" s="1" t="s">
        <v>363</v>
      </c>
      <c r="C242" s="1" t="s">
        <v>19</v>
      </c>
      <c r="D242" s="1" t="s">
        <v>61</v>
      </c>
      <c r="E242" s="1" t="s">
        <v>21</v>
      </c>
      <c r="F242" s="1" t="s">
        <v>22</v>
      </c>
      <c r="G242" s="1" t="s">
        <v>12</v>
      </c>
      <c r="H242" s="12" t="s">
        <v>287</v>
      </c>
      <c r="I242" s="1" t="s">
        <v>23</v>
      </c>
      <c r="J242" s="1" t="s">
        <v>181</v>
      </c>
      <c r="K242" s="1" t="s">
        <v>24</v>
      </c>
      <c r="L242" s="1" t="s">
        <v>25</v>
      </c>
      <c r="M242" s="1" t="s">
        <v>24</v>
      </c>
      <c r="N242" s="1" t="s">
        <v>24</v>
      </c>
      <c r="O242" s="1" t="s">
        <v>24</v>
      </c>
      <c r="P242" s="1" t="s">
        <v>24</v>
      </c>
      <c r="Q242" s="1" t="s">
        <v>24</v>
      </c>
      <c r="R242" s="75" t="str">
        <f t="shared" si="23"/>
        <v>5345930</v>
      </c>
      <c r="S242" t="str">
        <f>VLOOKUP(A242,Data_NV!$A:$C,3,0)</f>
        <v>Bùi Thị Kim Dung</v>
      </c>
      <c r="T242" t="str">
        <f>VLOOKUP(A242,Data_NV!$A:$E,4,0)</f>
        <v>Kinh doanh</v>
      </c>
      <c r="U242" s="72">
        <f>DATEVALUE(Table2[[#This Row],[Ngày]])</f>
        <v>45930</v>
      </c>
      <c r="V242" t="str">
        <f>VLOOKUP(A242,Data_NV!$A:$E,5,0)</f>
        <v>Đang làm việc</v>
      </c>
      <c r="W242" s="11">
        <f>VLOOKUP(A242,Data_NV!$A:$I,8,0)</f>
        <v>0.33333333333333331</v>
      </c>
      <c r="X242" s="11">
        <f>VLOOKUP(A242,Data_NV!$A:$I,9,0)</f>
        <v>0.70833333333333337</v>
      </c>
      <c r="Y242" s="11">
        <f>IFERROR(TIMEVALUE(Table2[[#This Row],[Vào]]),0)</f>
        <v>0.33657407407407408</v>
      </c>
      <c r="Z242" s="11">
        <f>IFERROR(TIMEVALUE(Table2[[#This Row],[Ra]]),0)</f>
        <v>0</v>
      </c>
      <c r="AA242" t="str">
        <f t="shared" si="24"/>
        <v>x</v>
      </c>
      <c r="AB242" s="14">
        <f t="shared" si="26"/>
        <v>4</v>
      </c>
      <c r="AC242" s="14" t="str">
        <f>IF(VLOOKUP(A242,Data_NV!$A:$I,7,0)="Không","",IF(OR(AND(Y242=0,Z242=0),AND(Y242&lt;&gt;0,Z242&lt;&gt;0)),"","Quên chấm công"))</f>
        <v/>
      </c>
      <c r="AD242" s="14">
        <f>IF(VLOOKUP(A242,Data_NV!$A:$I,7,0)="Không",0,IF(AND(Y242=0,Z242=0),0,IF(X242&lt;=Z242,0,ROUNDDOWN((X242-Z242)*24*60,0))))</f>
        <v>0</v>
      </c>
      <c r="AE242" s="14">
        <f>IF(VLOOKUP(A242,Data_NV!$A:$I,6,0)="Không",0,IF(Z242&lt;=X242,0,ROUNDDOWN((Z242-X242)*24*60,0)))</f>
        <v>0</v>
      </c>
      <c r="AF242" s="29">
        <f t="shared" si="25"/>
        <v>0</v>
      </c>
      <c r="AG242" s="30" t="str">
        <f>IF(AC242="","",IF(COUNTIFS($AC$3:AC242,"Quên chấm công",$S$3:S242,S242)&gt;3,"Không chấm công do vi phạm quá 3 lần",IF(COUNTIFS($AC$3:AC242,"Quên chấm công",$S$3:S242,S242)&gt;2,"Trừ toàn bộ chuyên cần tháng do vi phạm lần 3",IF(COUNTIFS($AC$3:AC242,"Quên chấm công",$S$3:S242,S242)&gt;1,"Trừ 1/2 ngày lương",50000))))</f>
        <v/>
      </c>
      <c r="AH242" s="14" t="str">
        <f>IF(AF242=0,"",IF(COUNTIFS($AF$3:AF242,"&gt;0",$S$3:S242,S242)&gt;3,"Trừ toàn bộ chuyên cần tháng",""))</f>
        <v/>
      </c>
      <c r="AI242" s="14"/>
      <c r="AJ242" s="14"/>
    </row>
  </sheetData>
  <phoneticPr fontId="42" type="noConversion"/>
  <conditionalFormatting sqref="A2:AJ242">
    <cfRule type="expression" dxfId="13" priority="1">
      <formula>$AG2="Không chấm công do vi phạm quá 3 lần"</formula>
    </cfRule>
    <cfRule type="expression" dxfId="12" priority="2">
      <formula>$AC2="Quên Chấm Công"</formula>
    </cfRule>
    <cfRule type="expression" dxfId="11" priority="3">
      <formula>$AH2="Trừ toàn bộ chuyên cần tháng"</formula>
    </cfRule>
  </conditionalFormatting>
  <pageMargins left="0.75" right="0.75" top="1" bottom="1" header="0.5" footer="0.5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12AC3-5426-4EFE-A920-CF2031E89790}">
  <dimension ref="A1:AP32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H15" sqref="H15"/>
    </sheetView>
  </sheetViews>
  <sheetFormatPr defaultRowHeight="15" x14ac:dyDescent="0.25"/>
  <cols>
    <col min="1" max="1" width="3.28515625" bestFit="1" customWidth="1"/>
    <col min="2" max="2" width="4.42578125" bestFit="1" customWidth="1"/>
    <col min="3" max="3" width="23.28515625" bestFit="1" customWidth="1"/>
    <col min="42" max="42" width="11.5703125" bestFit="1" customWidth="1"/>
  </cols>
  <sheetData>
    <row r="1" spans="1:42" ht="20.25" x14ac:dyDescent="0.25">
      <c r="A1" s="31"/>
      <c r="B1" s="32"/>
      <c r="C1" s="84" t="s">
        <v>488</v>
      </c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33"/>
      <c r="AM1" s="33"/>
      <c r="AN1" s="85">
        <f>DATE(U2,R2,1)</f>
        <v>45901</v>
      </c>
      <c r="AO1" s="85"/>
      <c r="AP1" s="34"/>
    </row>
    <row r="2" spans="1:42" ht="15.75" x14ac:dyDescent="0.25">
      <c r="A2" s="31"/>
      <c r="B2" s="35"/>
      <c r="C2" s="35"/>
      <c r="D2" s="35"/>
      <c r="E2" s="35"/>
      <c r="F2" s="36"/>
      <c r="G2" s="36"/>
      <c r="H2" s="36"/>
      <c r="I2" s="36"/>
      <c r="J2" s="36"/>
      <c r="K2" s="36"/>
      <c r="L2" s="36"/>
      <c r="M2" s="36"/>
      <c r="N2" s="37"/>
      <c r="O2" s="36"/>
      <c r="P2" s="31"/>
      <c r="Q2" s="38" t="s">
        <v>489</v>
      </c>
      <c r="R2" s="86">
        <v>9</v>
      </c>
      <c r="S2" s="86"/>
      <c r="T2" s="38" t="s">
        <v>490</v>
      </c>
      <c r="U2" s="87">
        <v>2025</v>
      </c>
      <c r="V2" s="87"/>
      <c r="W2" s="87"/>
      <c r="X2" s="39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31"/>
      <c r="AK2" s="31"/>
      <c r="AL2" s="31"/>
      <c r="AM2" s="31"/>
      <c r="AN2" s="31"/>
      <c r="AO2" s="31"/>
      <c r="AP2" s="34"/>
    </row>
    <row r="3" spans="1:42" x14ac:dyDescent="0.25">
      <c r="A3" s="31"/>
      <c r="B3" s="88" t="s">
        <v>404</v>
      </c>
      <c r="C3" s="89" t="s">
        <v>405</v>
      </c>
      <c r="D3" s="41">
        <f>AN1</f>
        <v>45901</v>
      </c>
      <c r="E3" s="41">
        <f t="shared" ref="E3:T4" si="0">D3+1</f>
        <v>45902</v>
      </c>
      <c r="F3" s="41">
        <f t="shared" si="0"/>
        <v>45903</v>
      </c>
      <c r="G3" s="41">
        <f t="shared" si="0"/>
        <v>45904</v>
      </c>
      <c r="H3" s="41">
        <f t="shared" si="0"/>
        <v>45905</v>
      </c>
      <c r="I3" s="41">
        <f t="shared" si="0"/>
        <v>45906</v>
      </c>
      <c r="J3" s="41">
        <f t="shared" si="0"/>
        <v>45907</v>
      </c>
      <c r="K3" s="41">
        <f t="shared" si="0"/>
        <v>45908</v>
      </c>
      <c r="L3" s="41">
        <f t="shared" si="0"/>
        <v>45909</v>
      </c>
      <c r="M3" s="41">
        <f t="shared" si="0"/>
        <v>45910</v>
      </c>
      <c r="N3" s="41">
        <f t="shared" si="0"/>
        <v>45911</v>
      </c>
      <c r="O3" s="41">
        <f t="shared" si="0"/>
        <v>45912</v>
      </c>
      <c r="P3" s="41">
        <f t="shared" si="0"/>
        <v>45913</v>
      </c>
      <c r="Q3" s="41">
        <f t="shared" si="0"/>
        <v>45914</v>
      </c>
      <c r="R3" s="41">
        <f t="shared" si="0"/>
        <v>45915</v>
      </c>
      <c r="S3" s="41">
        <f t="shared" si="0"/>
        <v>45916</v>
      </c>
      <c r="T3" s="41">
        <f t="shared" si="0"/>
        <v>45917</v>
      </c>
      <c r="U3" s="41">
        <f t="shared" ref="U3:AE4" si="1">T3+1</f>
        <v>45918</v>
      </c>
      <c r="V3" s="41">
        <f t="shared" si="1"/>
        <v>45919</v>
      </c>
      <c r="W3" s="41">
        <f t="shared" si="1"/>
        <v>45920</v>
      </c>
      <c r="X3" s="41">
        <f t="shared" si="1"/>
        <v>45921</v>
      </c>
      <c r="Y3" s="41">
        <f t="shared" si="1"/>
        <v>45922</v>
      </c>
      <c r="Z3" s="41">
        <f t="shared" si="1"/>
        <v>45923</v>
      </c>
      <c r="AA3" s="41">
        <f t="shared" si="1"/>
        <v>45924</v>
      </c>
      <c r="AB3" s="41">
        <f t="shared" si="1"/>
        <v>45925</v>
      </c>
      <c r="AC3" s="41">
        <f t="shared" si="1"/>
        <v>45926</v>
      </c>
      <c r="AD3" s="41">
        <f t="shared" si="1"/>
        <v>45927</v>
      </c>
      <c r="AE3" s="41">
        <f t="shared" si="1"/>
        <v>45928</v>
      </c>
      <c r="AF3" s="41">
        <f t="shared" ref="AF3:AH4" si="2">IF(AE3="","",IF(DAY(AE3+1)=1,"",AE3+1))</f>
        <v>45929</v>
      </c>
      <c r="AG3" s="41">
        <f t="shared" si="2"/>
        <v>45930</v>
      </c>
      <c r="AH3" s="41" t="str">
        <f t="shared" si="2"/>
        <v/>
      </c>
      <c r="AI3" s="82" t="s">
        <v>449</v>
      </c>
      <c r="AJ3" s="82" t="s">
        <v>491</v>
      </c>
      <c r="AK3" s="82" t="s">
        <v>492</v>
      </c>
      <c r="AL3" s="82" t="s">
        <v>493</v>
      </c>
      <c r="AM3" s="80" t="s">
        <v>494</v>
      </c>
      <c r="AN3" s="82" t="s">
        <v>495</v>
      </c>
      <c r="AO3" s="82" t="s">
        <v>496</v>
      </c>
      <c r="AP3" s="83" t="s">
        <v>497</v>
      </c>
    </row>
    <row r="4" spans="1:42" ht="43.5" x14ac:dyDescent="0.25">
      <c r="A4" s="31" t="s">
        <v>406</v>
      </c>
      <c r="B4" s="88"/>
      <c r="C4" s="89"/>
      <c r="D4" s="42">
        <f>AN1</f>
        <v>45901</v>
      </c>
      <c r="E4" s="43">
        <f t="shared" si="0"/>
        <v>45902</v>
      </c>
      <c r="F4" s="43">
        <f>E4+1</f>
        <v>45903</v>
      </c>
      <c r="G4" s="43">
        <f t="shared" si="0"/>
        <v>45904</v>
      </c>
      <c r="H4" s="43">
        <f t="shared" si="0"/>
        <v>45905</v>
      </c>
      <c r="I4" s="43">
        <f t="shared" si="0"/>
        <v>45906</v>
      </c>
      <c r="J4" s="43">
        <f t="shared" si="0"/>
        <v>45907</v>
      </c>
      <c r="K4" s="43">
        <f t="shared" si="0"/>
        <v>45908</v>
      </c>
      <c r="L4" s="43">
        <f t="shared" si="0"/>
        <v>45909</v>
      </c>
      <c r="M4" s="43">
        <f t="shared" si="0"/>
        <v>45910</v>
      </c>
      <c r="N4" s="43">
        <f t="shared" si="0"/>
        <v>45911</v>
      </c>
      <c r="O4" s="43">
        <f t="shared" si="0"/>
        <v>45912</v>
      </c>
      <c r="P4" s="43">
        <f t="shared" si="0"/>
        <v>45913</v>
      </c>
      <c r="Q4" s="43">
        <f t="shared" si="0"/>
        <v>45914</v>
      </c>
      <c r="R4" s="43">
        <f t="shared" si="0"/>
        <v>45915</v>
      </c>
      <c r="S4" s="43">
        <f t="shared" si="0"/>
        <v>45916</v>
      </c>
      <c r="T4" s="43">
        <f t="shared" si="0"/>
        <v>45917</v>
      </c>
      <c r="U4" s="43">
        <f t="shared" si="1"/>
        <v>45918</v>
      </c>
      <c r="V4" s="43">
        <f t="shared" si="1"/>
        <v>45919</v>
      </c>
      <c r="W4" s="43">
        <f t="shared" si="1"/>
        <v>45920</v>
      </c>
      <c r="X4" s="43">
        <f t="shared" si="1"/>
        <v>45921</v>
      </c>
      <c r="Y4" s="43">
        <f t="shared" si="1"/>
        <v>45922</v>
      </c>
      <c r="Z4" s="43">
        <f t="shared" si="1"/>
        <v>45923</v>
      </c>
      <c r="AA4" s="43">
        <f t="shared" si="1"/>
        <v>45924</v>
      </c>
      <c r="AB4" s="43">
        <f t="shared" si="1"/>
        <v>45925</v>
      </c>
      <c r="AC4" s="43">
        <f t="shared" si="1"/>
        <v>45926</v>
      </c>
      <c r="AD4" s="43">
        <f t="shared" si="1"/>
        <v>45927</v>
      </c>
      <c r="AE4" s="43">
        <f t="shared" si="1"/>
        <v>45928</v>
      </c>
      <c r="AF4" s="43">
        <f t="shared" si="2"/>
        <v>45929</v>
      </c>
      <c r="AG4" s="43">
        <f t="shared" si="2"/>
        <v>45930</v>
      </c>
      <c r="AH4" s="43" t="str">
        <f t="shared" si="2"/>
        <v/>
      </c>
      <c r="AI4" s="82"/>
      <c r="AJ4" s="82"/>
      <c r="AK4" s="82"/>
      <c r="AL4" s="82"/>
      <c r="AM4" s="81"/>
      <c r="AN4" s="82"/>
      <c r="AO4" s="82" t="s">
        <v>498</v>
      </c>
      <c r="AP4" s="83"/>
    </row>
    <row r="5" spans="1:42" ht="15.75" x14ac:dyDescent="0.25">
      <c r="A5" s="31"/>
      <c r="B5" s="44"/>
      <c r="C5" s="44" t="s">
        <v>407</v>
      </c>
      <c r="D5" s="45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7"/>
      <c r="AJ5" s="48"/>
      <c r="AK5" s="48"/>
      <c r="AL5" s="48"/>
      <c r="AM5" s="48"/>
      <c r="AN5" s="48"/>
      <c r="AO5" s="48"/>
      <c r="AP5" s="49"/>
    </row>
    <row r="6" spans="1:42" ht="15.75" x14ac:dyDescent="0.25">
      <c r="A6" s="31" t="s">
        <v>362</v>
      </c>
      <c r="B6" s="50">
        <v>1</v>
      </c>
      <c r="C6" s="51" t="s">
        <v>408</v>
      </c>
      <c r="D6" s="52" t="str">
        <f>IF(D$3="","",IF(TEXT(D$3,"ddd")="CN","CN",VLOOKUP($A6&amp;D$3,Data_Cong!$R:$AJ,10,0)))</f>
        <v>L</v>
      </c>
      <c r="E6" s="52" t="str">
        <f>IF(E$3="","",IF(TEXT(E$3,"ddd")="CN","CN",VLOOKUP($A6&amp;E$3,Data_Cong!$R:$AJ,10,0)))</f>
        <v>L</v>
      </c>
      <c r="F6" s="52" t="str">
        <f>IF(F$3="","",IF(TEXT(F$3,"ddd")="CN","CN",VLOOKUP($A6&amp;F$3,Data_Cong!$R:$AJ,10,0)))</f>
        <v>x</v>
      </c>
      <c r="G6" s="52" t="str">
        <f>IF(G$3="","",IF(TEXT(G$3,"ddd")="CN","CN",VLOOKUP($A6&amp;G$3,Data_Cong!$R:$AJ,10,0)))</f>
        <v>x</v>
      </c>
      <c r="H6" s="52" t="str">
        <f>IF(H$3="","",IF(TEXT(H$3,"ddd")="CN","CN",VLOOKUP($A6&amp;H$3,Data_Cong!$R:$AJ,10,0)))</f>
        <v>x</v>
      </c>
      <c r="I6" s="52" t="str">
        <f>IF(I$3="","",IF(TEXT(I$3,"ddd")="CN","CN",VLOOKUP($A6&amp;I$3,Data_Cong!$R:$AJ,10,0)))</f>
        <v>x</v>
      </c>
      <c r="J6" s="52" t="str">
        <f>IF(J$3="","",IF(TEXT(J$3,"ddd")="CN","CN",VLOOKUP($A6&amp;J$3,Data_Cong!$R:$AJ,10,0)))</f>
        <v>CN</v>
      </c>
      <c r="K6" s="52" t="str">
        <f>IF(K$3="","",IF(TEXT(K$3,"ddd")="CN","CN",VLOOKUP($A6&amp;K$3,Data_Cong!$R:$AJ,10,0)))</f>
        <v>x</v>
      </c>
      <c r="L6" s="52" t="str">
        <f>IF(L$3="","",IF(TEXT(L$3,"ddd")="CN","CN",VLOOKUP($A6&amp;L$3,Data_Cong!$R:$AJ,10,0)))</f>
        <v>x</v>
      </c>
      <c r="M6" s="52" t="str">
        <f>IF(M$3="","",IF(TEXT(M$3,"ddd")="CN","CN",VLOOKUP($A6&amp;M$3,Data_Cong!$R:$AJ,10,0)))</f>
        <v>x</v>
      </c>
      <c r="N6" s="52" t="str">
        <f>IF(N$3="","",IF(TEXT(N$3,"ddd")="CN","CN",VLOOKUP($A6&amp;N$3,Data_Cong!$R:$AJ,10,0)))</f>
        <v>x</v>
      </c>
      <c r="O6" s="52" t="str">
        <f>IF(O$3="","",IF(TEXT(O$3,"ddd")="CN","CN",VLOOKUP($A6&amp;O$3,Data_Cong!$R:$AJ,10,0)))</f>
        <v>x</v>
      </c>
      <c r="P6" s="52" t="str">
        <f>IF(P$3="","",IF(TEXT(P$3,"ddd")="CN","CN",VLOOKUP($A6&amp;P$3,Data_Cong!$R:$AJ,10,0)))</f>
        <v>x</v>
      </c>
      <c r="Q6" s="52" t="str">
        <f>IF(Q$3="","",IF(TEXT(Q$3,"ddd")="CN","CN",VLOOKUP($A6&amp;Q$3,Data_Cong!$R:$AJ,10,0)))</f>
        <v>CN</v>
      </c>
      <c r="R6" s="52" t="str">
        <f>IF(R$3="","",IF(TEXT(R$3,"ddd")="CN","CN",VLOOKUP($A6&amp;R$3,Data_Cong!$R:$AJ,10,0)))</f>
        <v>x</v>
      </c>
      <c r="S6" s="52" t="str">
        <f>IF(S$3="","",IF(TEXT(S$3,"ddd")="CN","CN",VLOOKUP($A6&amp;S$3,Data_Cong!$R:$AJ,10,0)))</f>
        <v>x</v>
      </c>
      <c r="T6" s="52" t="str">
        <f>IF(T$3="","",IF(TEXT(T$3,"ddd")="CN","CN",VLOOKUP($A6&amp;T$3,Data_Cong!$R:$AJ,10,0)))</f>
        <v>x</v>
      </c>
      <c r="U6" s="52" t="str">
        <f>IF(U$3="","",IF(TEXT(U$3,"ddd")="CN","CN",VLOOKUP($A6&amp;U$3,Data_Cong!$R:$AJ,10,0)))</f>
        <v>x</v>
      </c>
      <c r="V6" s="52" t="str">
        <f>IF(V$3="","",IF(TEXT(V$3,"ddd")="CN","CN",VLOOKUP($A6&amp;V$3,Data_Cong!$R:$AJ,10,0)))</f>
        <v/>
      </c>
      <c r="W6" s="52" t="str">
        <f>IF(W$3="","",IF(TEXT(W$3,"ddd")="CN","CN",VLOOKUP($A6&amp;W$3,Data_Cong!$R:$AJ,10,0)))</f>
        <v>x</v>
      </c>
      <c r="X6" s="52" t="str">
        <f>IF(X$3="","",IF(TEXT(X$3,"ddd")="CN","CN",VLOOKUP($A6&amp;X$3,Data_Cong!$R:$AJ,10,0)))</f>
        <v>CN</v>
      </c>
      <c r="Y6" s="52" t="str">
        <f>IF(Y$3="","",IF(TEXT(Y$3,"ddd")="CN","CN",VLOOKUP($A6&amp;Y$3,Data_Cong!$R:$AJ,10,0)))</f>
        <v>x</v>
      </c>
      <c r="Z6" s="52" t="str">
        <f>IF(Z$3="","",IF(TEXT(Z$3,"ddd")="CN","CN",VLOOKUP($A6&amp;Z$3,Data_Cong!$R:$AJ,10,0)))</f>
        <v>x</v>
      </c>
      <c r="AA6" s="52" t="str">
        <f>IF(AA$3="","",IF(TEXT(AA$3,"ddd")="CN","CN",VLOOKUP($A6&amp;AA$3,Data_Cong!$R:$AJ,10,0)))</f>
        <v>x</v>
      </c>
      <c r="AB6" s="52" t="str">
        <f>IF(AB$3="","",IF(TEXT(AB$3,"ddd")="CN","CN",VLOOKUP($A6&amp;AB$3,Data_Cong!$R:$AJ,10,0)))</f>
        <v>x</v>
      </c>
      <c r="AC6" s="52" t="str">
        <f>IF(AC$3="","",IF(TEXT(AC$3,"ddd")="CN","CN",VLOOKUP($A6&amp;AC$3,Data_Cong!$R:$AJ,10,0)))</f>
        <v>x</v>
      </c>
      <c r="AD6" s="52" t="str">
        <f>IF(AD$3="","",IF(TEXT(AD$3,"ddd")="CN","CN",VLOOKUP($A6&amp;AD$3,Data_Cong!$R:$AJ,10,0)))</f>
        <v>x</v>
      </c>
      <c r="AE6" s="52" t="str">
        <f>IF(AE$3="","",IF(TEXT(AE$3,"ddd")="CN","CN",VLOOKUP($A6&amp;AE$3,Data_Cong!$R:$AJ,10,0)))</f>
        <v>CN</v>
      </c>
      <c r="AF6" s="52" t="str">
        <f>IF(AF$3="","",IF(TEXT(AF$3,"ddd")="CN","CN",VLOOKUP($A6&amp;AF$3,Data_Cong!$R:$AJ,10,0)))</f>
        <v>x</v>
      </c>
      <c r="AG6" s="52" t="str">
        <f>IF(AG$3="","",IF(TEXT(AG$3,"ddd")="CN","CN",VLOOKUP($A6&amp;AG$3,Data_Cong!$R:$AJ,10,0)))</f>
        <v>x</v>
      </c>
      <c r="AH6" s="52" t="str">
        <f>IF(AH$3="","",IF(TEXT(AH$3,"ddd")="CN","CN",VLOOKUP($A6&amp;AH$3,Data_Cong!$R:$AJ,10,0)))</f>
        <v/>
      </c>
      <c r="AI6" s="53" cm="1">
        <f t="array" ref="AI6">SUMPRODUCT((D6:AH6="x")*1+(D6:AH6="P")*1+(D6:AH6="1/2P")*1+(D6:AH6="1/2")*0.5+(D6:AH6="2x")*2+(D6:AH6="L")*1)</f>
        <v>25</v>
      </c>
      <c r="AJ6" s="54">
        <f>SUMIF(Data_Cong!A:A,$A6,Data_Cong!AE:AE)</f>
        <v>0</v>
      </c>
      <c r="AK6" s="55">
        <f>COUNTIFS(Data_Cong!AB:AB,"&gt;5",Data_Cong!A:A,A6)</f>
        <v>5</v>
      </c>
      <c r="AL6" s="56"/>
      <c r="AM6" s="56">
        <v>6</v>
      </c>
      <c r="AN6" s="53" cm="1">
        <f t="array" ref="AN6">IF((AM6+1)&gt;12,12,(AM6+1))-SUMPRODUCT((D6:AH6="P")*1+(D6:AH6="1/2P")*0.5)</f>
        <v>7</v>
      </c>
      <c r="AO6" s="53"/>
      <c r="AP6" s="57">
        <f>SUMIFS(Data_Cong!AF:AF,Data_Cong!A:A,$A6)+SUMIFS(Data_Cong!AG:AG,Data_Cong!A:A,$A6)</f>
        <v>160000</v>
      </c>
    </row>
    <row r="7" spans="1:42" ht="15.75" x14ac:dyDescent="0.25">
      <c r="A7" s="31" t="s">
        <v>275</v>
      </c>
      <c r="B7" s="50">
        <v>2</v>
      </c>
      <c r="C7" s="51" t="s">
        <v>409</v>
      </c>
      <c r="D7" s="52" t="str">
        <f>IF(D$3="","",IF(TEXT(D$3,"ddd")="CN","CN",VLOOKUP($A7&amp;D$3,Data_Cong!$R:$AJ,10,0)))</f>
        <v>L</v>
      </c>
      <c r="E7" s="52" t="str">
        <f>IF(E$3="","",IF(TEXT(E$3,"ddd")="CN","CN",VLOOKUP($A7&amp;E$3,Data_Cong!$R:$AJ,10,0)))</f>
        <v>L</v>
      </c>
      <c r="F7" s="52" t="str">
        <f>IF(F$3="","",IF(TEXT(F$3,"ddd")="CN","CN",VLOOKUP($A7&amp;F$3,Data_Cong!$R:$AJ,10,0)))</f>
        <v>x</v>
      </c>
      <c r="G7" s="52" t="str">
        <f>IF(G$3="","",IF(TEXT(G$3,"ddd")="CN","CN",VLOOKUP($A7&amp;G$3,Data_Cong!$R:$AJ,10,0)))</f>
        <v>x</v>
      </c>
      <c r="H7" s="52" t="str">
        <f>IF(H$3="","",IF(TEXT(H$3,"ddd")="CN","CN",VLOOKUP($A7&amp;H$3,Data_Cong!$R:$AJ,10,0)))</f>
        <v>x</v>
      </c>
      <c r="I7" s="52" t="str">
        <f>IF(I$3="","",IF(TEXT(I$3,"ddd")="CN","CN",VLOOKUP($A7&amp;I$3,Data_Cong!$R:$AJ,10,0)))</f>
        <v>x</v>
      </c>
      <c r="J7" s="52" t="str">
        <f>IF(J$3="","",IF(TEXT(J$3,"ddd")="CN","CN",VLOOKUP($A7&amp;J$3,Data_Cong!$R:$AJ,10,0)))</f>
        <v>CN</v>
      </c>
      <c r="K7" s="52" t="str">
        <f>IF(K$3="","",IF(TEXT(K$3,"ddd")="CN","CN",VLOOKUP($A7&amp;K$3,Data_Cong!$R:$AJ,10,0)))</f>
        <v>x</v>
      </c>
      <c r="L7" s="52" t="str">
        <f>IF(L$3="","",IF(TEXT(L$3,"ddd")="CN","CN",VLOOKUP($A7&amp;L$3,Data_Cong!$R:$AJ,10,0)))</f>
        <v>x</v>
      </c>
      <c r="M7" s="52" t="str">
        <f>IF(M$3="","",IF(TEXT(M$3,"ddd")="CN","CN",VLOOKUP($A7&amp;M$3,Data_Cong!$R:$AJ,10,0)))</f>
        <v>x</v>
      </c>
      <c r="N7" s="52" t="str">
        <f>IF(N$3="","",IF(TEXT(N$3,"ddd")="CN","CN",VLOOKUP($A7&amp;N$3,Data_Cong!$R:$AJ,10,0)))</f>
        <v>x</v>
      </c>
      <c r="O7" s="52" t="str">
        <f>IF(O$3="","",IF(TEXT(O$3,"ddd")="CN","CN",VLOOKUP($A7&amp;O$3,Data_Cong!$R:$AJ,10,0)))</f>
        <v/>
      </c>
      <c r="P7" s="52" t="str">
        <f>IF(P$3="","",IF(TEXT(P$3,"ddd")="CN","CN",VLOOKUP($A7&amp;P$3,Data_Cong!$R:$AJ,10,0)))</f>
        <v>x</v>
      </c>
      <c r="Q7" s="52" t="str">
        <f>IF(Q$3="","",IF(TEXT(Q$3,"ddd")="CN","CN",VLOOKUP($A7&amp;Q$3,Data_Cong!$R:$AJ,10,0)))</f>
        <v>CN</v>
      </c>
      <c r="R7" s="52" t="str">
        <f>IF(R$3="","",IF(TEXT(R$3,"ddd")="CN","CN",VLOOKUP($A7&amp;R$3,Data_Cong!$R:$AJ,10,0)))</f>
        <v>x</v>
      </c>
      <c r="S7" s="52" t="str">
        <f>IF(S$3="","",IF(TEXT(S$3,"ddd")="CN","CN",VLOOKUP($A7&amp;S$3,Data_Cong!$R:$AJ,10,0)))</f>
        <v>x</v>
      </c>
      <c r="T7" s="52" t="str">
        <f>IF(T$3="","",IF(TEXT(T$3,"ddd")="CN","CN",VLOOKUP($A7&amp;T$3,Data_Cong!$R:$AJ,10,0)))</f>
        <v>x</v>
      </c>
      <c r="U7" s="52" t="str">
        <f>IF(U$3="","",IF(TEXT(U$3,"ddd")="CN","CN",VLOOKUP($A7&amp;U$3,Data_Cong!$R:$AJ,10,0)))</f>
        <v>x</v>
      </c>
      <c r="V7" s="52" t="str">
        <f>IF(V$3="","",IF(TEXT(V$3,"ddd")="CN","CN",VLOOKUP($A7&amp;V$3,Data_Cong!$R:$AJ,10,0)))</f>
        <v>x</v>
      </c>
      <c r="W7" s="52" t="str">
        <f>IF(W$3="","",IF(TEXT(W$3,"ddd")="CN","CN",VLOOKUP($A7&amp;W$3,Data_Cong!$R:$AJ,10,0)))</f>
        <v>x</v>
      </c>
      <c r="X7" s="52" t="str">
        <f>IF(X$3="","",IF(TEXT(X$3,"ddd")="CN","CN",VLOOKUP($A7&amp;X$3,Data_Cong!$R:$AJ,10,0)))</f>
        <v>CN</v>
      </c>
      <c r="Y7" s="52" t="str">
        <f>IF(Y$3="","",IF(TEXT(Y$3,"ddd")="CN","CN",VLOOKUP($A7&amp;Y$3,Data_Cong!$R:$AJ,10,0)))</f>
        <v>x</v>
      </c>
      <c r="Z7" s="52" t="str">
        <f>IF(Z$3="","",IF(TEXT(Z$3,"ddd")="CN","CN",VLOOKUP($A7&amp;Z$3,Data_Cong!$R:$AJ,10,0)))</f>
        <v>x</v>
      </c>
      <c r="AA7" s="52" t="str">
        <f>IF(AA$3="","",IF(TEXT(AA$3,"ddd")="CN","CN",VLOOKUP($A7&amp;AA$3,Data_Cong!$R:$AJ,10,0)))</f>
        <v>x</v>
      </c>
      <c r="AB7" s="52" t="str">
        <f>IF(AB$3="","",IF(TEXT(AB$3,"ddd")="CN","CN",VLOOKUP($A7&amp;AB$3,Data_Cong!$R:$AJ,10,0)))</f>
        <v>x</v>
      </c>
      <c r="AC7" s="52" t="str">
        <f>IF(AC$3="","",IF(TEXT(AC$3,"ddd")="CN","CN",VLOOKUP($A7&amp;AC$3,Data_Cong!$R:$AJ,10,0)))</f>
        <v/>
      </c>
      <c r="AD7" s="52" t="str">
        <f>IF(AD$3="","",IF(TEXT(AD$3,"ddd")="CN","CN",VLOOKUP($A7&amp;AD$3,Data_Cong!$R:$AJ,10,0)))</f>
        <v>x</v>
      </c>
      <c r="AE7" s="52" t="str">
        <f>IF(AE$3="","",IF(TEXT(AE$3,"ddd")="CN","CN",VLOOKUP($A7&amp;AE$3,Data_Cong!$R:$AJ,10,0)))</f>
        <v>CN</v>
      </c>
      <c r="AF7" s="52" t="str">
        <f>IF(AF$3="","",IF(TEXT(AF$3,"ddd")="CN","CN",VLOOKUP($A7&amp;AF$3,Data_Cong!$R:$AJ,10,0)))</f>
        <v>x</v>
      </c>
      <c r="AG7" s="52" t="str">
        <f>IF(AG$3="","",IF(TEXT(AG$3,"ddd")="CN","CN",VLOOKUP($A7&amp;AG$3,Data_Cong!$R:$AJ,10,0)))</f>
        <v>x</v>
      </c>
      <c r="AH7" s="52" t="str">
        <f>IF(AH$3="","",IF(TEXT(AH$3,"ddd")="CN","CN",VLOOKUP($A7&amp;AH$3,Data_Cong!$R:$AJ,10,0)))</f>
        <v/>
      </c>
      <c r="AI7" s="53" cm="1">
        <f t="array" ref="AI7">SUMPRODUCT((D7:AH7="x")*1+(D7:AH7="P")*1+(D7:AH7="1/2P")*1+(D7:AH7="1/2")*0.5+(D7:AH7="2x")*2+(D7:AH7="L")*1)</f>
        <v>24</v>
      </c>
      <c r="AJ7" s="54">
        <f>SUMIF(Data_Cong!A:A,$A7,Data_Cong!AE:AE)</f>
        <v>0</v>
      </c>
      <c r="AK7" s="55">
        <f>COUNTIFS(Data_Cong!AB:AB,"&gt;5",Data_Cong!A:A,A7)</f>
        <v>3</v>
      </c>
      <c r="AL7" s="56"/>
      <c r="AM7" s="56">
        <v>6</v>
      </c>
      <c r="AN7" s="53" cm="1">
        <f t="array" ref="AN7">IF((AM7+1)&gt;12,12,(AM7+1))-SUMPRODUCT((D7:AH7="P")*1+(D7:AH7="1/2P")*0.5)</f>
        <v>7</v>
      </c>
      <c r="AO7" s="53"/>
      <c r="AP7" s="57">
        <f>SUMIFS(Data_Cong!AF:AF,Data_Cong!A:A,$A7)+SUMIFS(Data_Cong!AG:AG,Data_Cong!A:A,$A7)</f>
        <v>80000</v>
      </c>
    </row>
    <row r="8" spans="1:42" ht="15.75" x14ac:dyDescent="0.25">
      <c r="A8" s="31" t="s">
        <v>112</v>
      </c>
      <c r="B8" s="50">
        <v>3</v>
      </c>
      <c r="C8" s="51" t="s">
        <v>410</v>
      </c>
      <c r="D8" s="52" t="str">
        <f>IF(D$3="","",IF(TEXT(D$3,"ddd")="CN","CN",VLOOKUP($A8&amp;D$3,Data_Cong!$R:$AJ,10,0)))</f>
        <v>L</v>
      </c>
      <c r="E8" s="52" t="str">
        <f>IF(E$3="","",IF(TEXT(E$3,"ddd")="CN","CN",VLOOKUP($A8&amp;E$3,Data_Cong!$R:$AJ,10,0)))</f>
        <v>L</v>
      </c>
      <c r="F8" s="52" t="str">
        <f>IF(F$3="","",IF(TEXT(F$3,"ddd")="CN","CN",VLOOKUP($A8&amp;F$3,Data_Cong!$R:$AJ,10,0)))</f>
        <v>x</v>
      </c>
      <c r="G8" s="52" t="str">
        <f>IF(G$3="","",IF(TEXT(G$3,"ddd")="CN","CN",VLOOKUP($A8&amp;G$3,Data_Cong!$R:$AJ,10,0)))</f>
        <v>x</v>
      </c>
      <c r="H8" s="52" t="str">
        <f>IF(H$3="","",IF(TEXT(H$3,"ddd")="CN","CN",VLOOKUP($A8&amp;H$3,Data_Cong!$R:$AJ,10,0)))</f>
        <v>x</v>
      </c>
      <c r="I8" s="52" t="str">
        <f>IF(I$3="","",IF(TEXT(I$3,"ddd")="CN","CN",VLOOKUP($A8&amp;I$3,Data_Cong!$R:$AJ,10,0)))</f>
        <v/>
      </c>
      <c r="J8" s="52" t="str">
        <f>IF(J$3="","",IF(TEXT(J$3,"ddd")="CN","CN",VLOOKUP($A8&amp;J$3,Data_Cong!$R:$AJ,10,0)))</f>
        <v>CN</v>
      </c>
      <c r="K8" s="52" t="str">
        <f>IF(K$3="","",IF(TEXT(K$3,"ddd")="CN","CN",VLOOKUP($A8&amp;K$3,Data_Cong!$R:$AJ,10,0)))</f>
        <v>x</v>
      </c>
      <c r="L8" s="52" t="str">
        <f>IF(L$3="","",IF(TEXT(L$3,"ddd")="CN","CN",VLOOKUP($A8&amp;L$3,Data_Cong!$R:$AJ,10,0)))</f>
        <v>x</v>
      </c>
      <c r="M8" s="52" t="str">
        <f>IF(M$3="","",IF(TEXT(M$3,"ddd")="CN","CN",VLOOKUP($A8&amp;M$3,Data_Cong!$R:$AJ,10,0)))</f>
        <v>x</v>
      </c>
      <c r="N8" s="52" t="str">
        <f>IF(N$3="","",IF(TEXT(N$3,"ddd")="CN","CN",VLOOKUP($A8&amp;N$3,Data_Cong!$R:$AJ,10,0)))</f>
        <v>x</v>
      </c>
      <c r="O8" s="52" t="str">
        <f>IF(O$3="","",IF(TEXT(O$3,"ddd")="CN","CN",VLOOKUP($A8&amp;O$3,Data_Cong!$R:$AJ,10,0)))</f>
        <v/>
      </c>
      <c r="P8" s="52" t="str">
        <f>IF(P$3="","",IF(TEXT(P$3,"ddd")="CN","CN",VLOOKUP($A8&amp;P$3,Data_Cong!$R:$AJ,10,0)))</f>
        <v>x</v>
      </c>
      <c r="Q8" s="52" t="str">
        <f>IF(Q$3="","",IF(TEXT(Q$3,"ddd")="CN","CN",VLOOKUP($A8&amp;Q$3,Data_Cong!$R:$AJ,10,0)))</f>
        <v>CN</v>
      </c>
      <c r="R8" s="52" t="str">
        <f>IF(R$3="","",IF(TEXT(R$3,"ddd")="CN","CN",VLOOKUP($A8&amp;R$3,Data_Cong!$R:$AJ,10,0)))</f>
        <v>x</v>
      </c>
      <c r="S8" s="52" t="str">
        <f>IF(S$3="","",IF(TEXT(S$3,"ddd")="CN","CN",VLOOKUP($A8&amp;S$3,Data_Cong!$R:$AJ,10,0)))</f>
        <v>x</v>
      </c>
      <c r="T8" s="52" t="str">
        <f>IF(T$3="","",IF(TEXT(T$3,"ddd")="CN","CN",VLOOKUP($A8&amp;T$3,Data_Cong!$R:$AJ,10,0)))</f>
        <v>x</v>
      </c>
      <c r="U8" s="52" t="str">
        <f>IF(U$3="","",IF(TEXT(U$3,"ddd")="CN","CN",VLOOKUP($A8&amp;U$3,Data_Cong!$R:$AJ,10,0)))</f>
        <v/>
      </c>
      <c r="V8" s="52" t="str">
        <f>IF(V$3="","",IF(TEXT(V$3,"ddd")="CN","CN",VLOOKUP($A8&amp;V$3,Data_Cong!$R:$AJ,10,0)))</f>
        <v>x</v>
      </c>
      <c r="W8" s="52" t="str">
        <f>IF(W$3="","",IF(TEXT(W$3,"ddd")="CN","CN",VLOOKUP($A8&amp;W$3,Data_Cong!$R:$AJ,10,0)))</f>
        <v>x</v>
      </c>
      <c r="X8" s="52" t="str">
        <f>IF(X$3="","",IF(TEXT(X$3,"ddd")="CN","CN",VLOOKUP($A8&amp;X$3,Data_Cong!$R:$AJ,10,0)))</f>
        <v>CN</v>
      </c>
      <c r="Y8" s="52" t="str">
        <f>IF(Y$3="","",IF(TEXT(Y$3,"ddd")="CN","CN",VLOOKUP($A8&amp;Y$3,Data_Cong!$R:$AJ,10,0)))</f>
        <v/>
      </c>
      <c r="Z8" s="52" t="str">
        <f>IF(Z$3="","",IF(TEXT(Z$3,"ddd")="CN","CN",VLOOKUP($A8&amp;Z$3,Data_Cong!$R:$AJ,10,0)))</f>
        <v>x</v>
      </c>
      <c r="AA8" s="52" t="str">
        <f>IF(AA$3="","",IF(TEXT(AA$3,"ddd")="CN","CN",VLOOKUP($A8&amp;AA$3,Data_Cong!$R:$AJ,10,0)))</f>
        <v>x</v>
      </c>
      <c r="AB8" s="52" t="str">
        <f>IF(AB$3="","",IF(TEXT(AB$3,"ddd")="CN","CN",VLOOKUP($A8&amp;AB$3,Data_Cong!$R:$AJ,10,0)))</f>
        <v>x</v>
      </c>
      <c r="AC8" s="52" t="str">
        <f>IF(AC$3="","",IF(TEXT(AC$3,"ddd")="CN","CN",VLOOKUP($A8&amp;AC$3,Data_Cong!$R:$AJ,10,0)))</f>
        <v>x</v>
      </c>
      <c r="AD8" s="52" t="str">
        <f>IF(AD$3="","",IF(TEXT(AD$3,"ddd")="CN","CN",VLOOKUP($A8&amp;AD$3,Data_Cong!$R:$AJ,10,0)))</f>
        <v/>
      </c>
      <c r="AE8" s="52" t="str">
        <f>IF(AE$3="","",IF(TEXT(AE$3,"ddd")="CN","CN",VLOOKUP($A8&amp;AE$3,Data_Cong!$R:$AJ,10,0)))</f>
        <v>CN</v>
      </c>
      <c r="AF8" s="52" t="str">
        <f>IF(AF$3="","",IF(TEXT(AF$3,"ddd")="CN","CN",VLOOKUP($A8&amp;AF$3,Data_Cong!$R:$AJ,10,0)))</f>
        <v>x</v>
      </c>
      <c r="AG8" s="52" t="str">
        <f>IF(AG$3="","",IF(TEXT(AG$3,"ddd")="CN","CN",VLOOKUP($A8&amp;AG$3,Data_Cong!$R:$AJ,10,0)))</f>
        <v>x</v>
      </c>
      <c r="AH8" s="52" t="str">
        <f>IF(AH$3="","",IF(TEXT(AH$3,"ddd")="CN","CN",VLOOKUP($A8&amp;AH$3,Data_Cong!$R:$AJ,10,0)))</f>
        <v/>
      </c>
      <c r="AI8" s="53" cm="1">
        <f t="array" ref="AI8">SUMPRODUCT((D8:AH8="x")*1+(D8:AH8="P")*1+(D8:AH8="1/2P")*1+(D8:AH8="1/2")*0.5+(D8:AH8="2x")*2+(D8:AH8="L")*1)</f>
        <v>21</v>
      </c>
      <c r="AJ8" s="54">
        <f>SUMIF(Data_Cong!A:A,$A8,Data_Cong!AE:AE)</f>
        <v>0</v>
      </c>
      <c r="AK8" s="55">
        <f>COUNTIFS(Data_Cong!AB:AB,"&gt;5",Data_Cong!A:A,A8)</f>
        <v>2</v>
      </c>
      <c r="AL8" s="56"/>
      <c r="AM8" s="56">
        <v>6</v>
      </c>
      <c r="AN8" s="53" cm="1">
        <f t="array" ref="AN8">IF((AM8+1)&gt;12,12,(AM8+1))-SUMPRODUCT((D8:AH8="P")*1+(D8:AH8="1/2P")*0.5)</f>
        <v>7</v>
      </c>
      <c r="AO8" s="53">
        <v>5</v>
      </c>
      <c r="AP8" s="57">
        <f>SUMIFS(Data_Cong!AF:AF,Data_Cong!A:A,$A8)+SUMIFS(Data_Cong!AG:AG,Data_Cong!A:A,$A8)</f>
        <v>80000</v>
      </c>
    </row>
    <row r="9" spans="1:42" ht="15.75" x14ac:dyDescent="0.25">
      <c r="A9" s="31" t="s">
        <v>78</v>
      </c>
      <c r="B9" s="50">
        <v>4</v>
      </c>
      <c r="C9" s="51" t="s">
        <v>411</v>
      </c>
      <c r="D9" s="52" t="str">
        <f>IF(D$3="","",IF(TEXT(D$3,"ddd")="CN","CN",VLOOKUP($A9&amp;D$3,Data_Cong!$R:$AJ,10,0)))</f>
        <v>L</v>
      </c>
      <c r="E9" s="52" t="str">
        <f>IF(E$3="","",IF(TEXT(E$3,"ddd")="CN","CN",VLOOKUP($A9&amp;E$3,Data_Cong!$R:$AJ,10,0)))</f>
        <v>L</v>
      </c>
      <c r="F9" s="52" t="str">
        <f>IF(F$3="","",IF(TEXT(F$3,"ddd")="CN","CN",VLOOKUP($A9&amp;F$3,Data_Cong!$R:$AJ,10,0)))</f>
        <v>x</v>
      </c>
      <c r="G9" s="52" t="str">
        <f>IF(G$3="","",IF(TEXT(G$3,"ddd")="CN","CN",VLOOKUP($A9&amp;G$3,Data_Cong!$R:$AJ,10,0)))</f>
        <v>x</v>
      </c>
      <c r="H9" s="52" t="str">
        <f>IF(H$3="","",IF(TEXT(H$3,"ddd")="CN","CN",VLOOKUP($A9&amp;H$3,Data_Cong!$R:$AJ,10,0)))</f>
        <v>x</v>
      </c>
      <c r="I9" s="52" t="str">
        <f>IF(I$3="","",IF(TEXT(I$3,"ddd")="CN","CN",VLOOKUP($A9&amp;I$3,Data_Cong!$R:$AJ,10,0)))</f>
        <v>x</v>
      </c>
      <c r="J9" s="52" t="str">
        <f>IF(J$3="","",IF(TEXT(J$3,"ddd")="CN","CN",VLOOKUP($A9&amp;J$3,Data_Cong!$R:$AJ,10,0)))</f>
        <v>CN</v>
      </c>
      <c r="K9" s="52" t="str">
        <f>IF(K$3="","",IF(TEXT(K$3,"ddd")="CN","CN",VLOOKUP($A9&amp;K$3,Data_Cong!$R:$AJ,10,0)))</f>
        <v/>
      </c>
      <c r="L9" s="52" t="str">
        <f>IF(L$3="","",IF(TEXT(L$3,"ddd")="CN","CN",VLOOKUP($A9&amp;L$3,Data_Cong!$R:$AJ,10,0)))</f>
        <v>x</v>
      </c>
      <c r="M9" s="52" t="str">
        <f>IF(M$3="","",IF(TEXT(M$3,"ddd")="CN","CN",VLOOKUP($A9&amp;M$3,Data_Cong!$R:$AJ,10,0)))</f>
        <v>x</v>
      </c>
      <c r="N9" s="52" t="str">
        <f>IF(N$3="","",IF(TEXT(N$3,"ddd")="CN","CN",VLOOKUP($A9&amp;N$3,Data_Cong!$R:$AJ,10,0)))</f>
        <v>x</v>
      </c>
      <c r="O9" s="52" t="str">
        <f>IF(O$3="","",IF(TEXT(O$3,"ddd")="CN","CN",VLOOKUP($A9&amp;O$3,Data_Cong!$R:$AJ,10,0)))</f>
        <v>x</v>
      </c>
      <c r="P9" s="52" t="str">
        <f>IF(P$3="","",IF(TEXT(P$3,"ddd")="CN","CN",VLOOKUP($A9&amp;P$3,Data_Cong!$R:$AJ,10,0)))</f>
        <v>x</v>
      </c>
      <c r="Q9" s="52" t="str">
        <f>IF(Q$3="","",IF(TEXT(Q$3,"ddd")="CN","CN",VLOOKUP($A9&amp;Q$3,Data_Cong!$R:$AJ,10,0)))</f>
        <v>CN</v>
      </c>
      <c r="R9" s="52" t="str">
        <f>IF(R$3="","",IF(TEXT(R$3,"ddd")="CN","CN",VLOOKUP($A9&amp;R$3,Data_Cong!$R:$AJ,10,0)))</f>
        <v/>
      </c>
      <c r="S9" s="52" t="str">
        <f>IF(S$3="","",IF(TEXT(S$3,"ddd")="CN","CN",VLOOKUP($A9&amp;S$3,Data_Cong!$R:$AJ,10,0)))</f>
        <v>x</v>
      </c>
      <c r="T9" s="52" t="str">
        <f>IF(T$3="","",IF(TEXT(T$3,"ddd")="CN","CN",VLOOKUP($A9&amp;T$3,Data_Cong!$R:$AJ,10,0)))</f>
        <v>x</v>
      </c>
      <c r="U9" s="52" t="str">
        <f>IF(U$3="","",IF(TEXT(U$3,"ddd")="CN","CN",VLOOKUP($A9&amp;U$3,Data_Cong!$R:$AJ,10,0)))</f>
        <v>x</v>
      </c>
      <c r="V9" s="52" t="str">
        <f>IF(V$3="","",IF(TEXT(V$3,"ddd")="CN","CN",VLOOKUP($A9&amp;V$3,Data_Cong!$R:$AJ,10,0)))</f>
        <v>x</v>
      </c>
      <c r="W9" s="52" t="str">
        <f>IF(W$3="","",IF(TEXT(W$3,"ddd")="CN","CN",VLOOKUP($A9&amp;W$3,Data_Cong!$R:$AJ,10,0)))</f>
        <v/>
      </c>
      <c r="X9" s="52" t="str">
        <f>IF(X$3="","",IF(TEXT(X$3,"ddd")="CN","CN",VLOOKUP($A9&amp;X$3,Data_Cong!$R:$AJ,10,0)))</f>
        <v>CN</v>
      </c>
      <c r="Y9" s="52" t="str">
        <f>IF(Y$3="","",IF(TEXT(Y$3,"ddd")="CN","CN",VLOOKUP($A9&amp;Y$3,Data_Cong!$R:$AJ,10,0)))</f>
        <v>x</v>
      </c>
      <c r="Z9" s="52" t="str">
        <f>IF(Z$3="","",IF(TEXT(Z$3,"ddd")="CN","CN",VLOOKUP($A9&amp;Z$3,Data_Cong!$R:$AJ,10,0)))</f>
        <v>x</v>
      </c>
      <c r="AA9" s="52" t="str">
        <f>IF(AA$3="","",IF(TEXT(AA$3,"ddd")="CN","CN",VLOOKUP($A9&amp;AA$3,Data_Cong!$R:$AJ,10,0)))</f>
        <v>x</v>
      </c>
      <c r="AB9" s="52" t="str">
        <f>IF(AB$3="","",IF(TEXT(AB$3,"ddd")="CN","CN",VLOOKUP($A9&amp;AB$3,Data_Cong!$R:$AJ,10,0)))</f>
        <v>x</v>
      </c>
      <c r="AC9" s="52" t="str">
        <f>IF(AC$3="","",IF(TEXT(AC$3,"ddd")="CN","CN",VLOOKUP($A9&amp;AC$3,Data_Cong!$R:$AJ,10,0)))</f>
        <v>x</v>
      </c>
      <c r="AD9" s="52" t="str">
        <f>IF(AD$3="","",IF(TEXT(AD$3,"ddd")="CN","CN",VLOOKUP($A9&amp;AD$3,Data_Cong!$R:$AJ,10,0)))</f>
        <v/>
      </c>
      <c r="AE9" s="52" t="str">
        <f>IF(AE$3="","",IF(TEXT(AE$3,"ddd")="CN","CN",VLOOKUP($A9&amp;AE$3,Data_Cong!$R:$AJ,10,0)))</f>
        <v>CN</v>
      </c>
      <c r="AF9" s="52" t="str">
        <f>IF(AF$3="","",IF(TEXT(AF$3,"ddd")="CN","CN",VLOOKUP($A9&amp;AF$3,Data_Cong!$R:$AJ,10,0)))</f>
        <v>x</v>
      </c>
      <c r="AG9" s="52" t="str">
        <f>IF(AG$3="","",IF(TEXT(AG$3,"ddd")="CN","CN",VLOOKUP($A9&amp;AG$3,Data_Cong!$R:$AJ,10,0)))</f>
        <v>x</v>
      </c>
      <c r="AH9" s="52" t="str">
        <f>IF(AH$3="","",IF(TEXT(AH$3,"ddd")="CN","CN",VLOOKUP($A9&amp;AH$3,Data_Cong!$R:$AJ,10,0)))</f>
        <v/>
      </c>
      <c r="AI9" s="53" cm="1">
        <f t="array" ref="AI9">SUMPRODUCT((D9:AH9="x")*1+(D9:AH9="P")*1+(D9:AH9="1/2P")*1+(D9:AH9="1/2")*0.5+(D9:AH9="2x")*2+(D9:AH9="L")*1)</f>
        <v>22</v>
      </c>
      <c r="AJ9" s="54">
        <f>SUMIF(Data_Cong!A:A,$A9,Data_Cong!AE:AE)</f>
        <v>0</v>
      </c>
      <c r="AK9" s="55">
        <f>COUNTIFS(Data_Cong!AB:AB,"&gt;5",Data_Cong!A:A,A9)</f>
        <v>2</v>
      </c>
      <c r="AL9" s="56"/>
      <c r="AM9" s="56">
        <v>3</v>
      </c>
      <c r="AN9" s="53" cm="1">
        <f t="array" ref="AN9">IF((AM9+1)&gt;12,12,(AM9+1))-SUMPRODUCT((D9:AH9="P")*1+(D9:AH9="1/2P")*0.5)</f>
        <v>4</v>
      </c>
      <c r="AO9" s="53"/>
      <c r="AP9" s="57">
        <f>SUMIFS(Data_Cong!AF:AF,Data_Cong!A:A,$A9)+SUMIFS(Data_Cong!AG:AG,Data_Cong!A:A,$A9)</f>
        <v>60000</v>
      </c>
    </row>
    <row r="10" spans="1:42" ht="15.75" x14ac:dyDescent="0.25">
      <c r="A10" s="31" t="s">
        <v>249</v>
      </c>
      <c r="B10" s="50">
        <v>5</v>
      </c>
      <c r="C10" s="51" t="s">
        <v>412</v>
      </c>
      <c r="D10" s="52" t="str">
        <f>IF(D$3="","",IF(TEXT(D$3,"ddd")="CN","CN",VLOOKUP($A10&amp;D$3,Data_Cong!$R:$AJ,10,0)))</f>
        <v>L</v>
      </c>
      <c r="E10" s="52" t="str">
        <f>IF(E$3="","",IF(TEXT(E$3,"ddd")="CN","CN",VLOOKUP($A10&amp;E$3,Data_Cong!$R:$AJ,10,0)))</f>
        <v>L</v>
      </c>
      <c r="F10" s="52" t="str">
        <f>IF(F$3="","",IF(TEXT(F$3,"ddd")="CN","CN",VLOOKUP($A10&amp;F$3,Data_Cong!$R:$AJ,10,0)))</f>
        <v>x</v>
      </c>
      <c r="G10" s="52" t="str">
        <f>IF(G$3="","",IF(TEXT(G$3,"ddd")="CN","CN",VLOOKUP($A10&amp;G$3,Data_Cong!$R:$AJ,10,0)))</f>
        <v>x</v>
      </c>
      <c r="H10" s="52" t="str">
        <f>IF(H$3="","",IF(TEXT(H$3,"ddd")="CN","CN",VLOOKUP($A10&amp;H$3,Data_Cong!$R:$AJ,10,0)))</f>
        <v>x</v>
      </c>
      <c r="I10" s="52" t="str">
        <f>IF(I$3="","",IF(TEXT(I$3,"ddd")="CN","CN",VLOOKUP($A10&amp;I$3,Data_Cong!$R:$AJ,10,0)))</f>
        <v>x</v>
      </c>
      <c r="J10" s="52" t="str">
        <f>IF(J$3="","",IF(TEXT(J$3,"ddd")="CN","CN",VLOOKUP($A10&amp;J$3,Data_Cong!$R:$AJ,10,0)))</f>
        <v>CN</v>
      </c>
      <c r="K10" s="52" t="str">
        <f>IF(K$3="","",IF(TEXT(K$3,"ddd")="CN","CN",VLOOKUP($A10&amp;K$3,Data_Cong!$R:$AJ,10,0)))</f>
        <v>x</v>
      </c>
      <c r="L10" s="52" t="str">
        <f>IF(L$3="","",IF(TEXT(L$3,"ddd")="CN","CN",VLOOKUP($A10&amp;L$3,Data_Cong!$R:$AJ,10,0)))</f>
        <v>x</v>
      </c>
      <c r="M10" s="52" t="str">
        <f>IF(M$3="","",IF(TEXT(M$3,"ddd")="CN","CN",VLOOKUP($A10&amp;M$3,Data_Cong!$R:$AJ,10,0)))</f>
        <v>x</v>
      </c>
      <c r="N10" s="52" t="str">
        <f>IF(N$3="","",IF(TEXT(N$3,"ddd")="CN","CN",VLOOKUP($A10&amp;N$3,Data_Cong!$R:$AJ,10,0)))</f>
        <v>x</v>
      </c>
      <c r="O10" s="52" t="str">
        <f>IF(O$3="","",IF(TEXT(O$3,"ddd")="CN","CN",VLOOKUP($A10&amp;O$3,Data_Cong!$R:$AJ,10,0)))</f>
        <v>x</v>
      </c>
      <c r="P10" s="52" t="str">
        <f>IF(P$3="","",IF(TEXT(P$3,"ddd")="CN","CN",VLOOKUP($A10&amp;P$3,Data_Cong!$R:$AJ,10,0)))</f>
        <v>x</v>
      </c>
      <c r="Q10" s="52" t="str">
        <f>IF(Q$3="","",IF(TEXT(Q$3,"ddd")="CN","CN",VLOOKUP($A10&amp;Q$3,Data_Cong!$R:$AJ,10,0)))</f>
        <v>CN</v>
      </c>
      <c r="R10" s="52" t="str">
        <f>IF(R$3="","",IF(TEXT(R$3,"ddd")="CN","CN",VLOOKUP($A10&amp;R$3,Data_Cong!$R:$AJ,10,0)))</f>
        <v>x</v>
      </c>
      <c r="S10" s="52" t="str">
        <f>IF(S$3="","",IF(TEXT(S$3,"ddd")="CN","CN",VLOOKUP($A10&amp;S$3,Data_Cong!$R:$AJ,10,0)))</f>
        <v>x</v>
      </c>
      <c r="T10" s="52" t="str">
        <f>IF(T$3="","",IF(TEXT(T$3,"ddd")="CN","CN",VLOOKUP($A10&amp;T$3,Data_Cong!$R:$AJ,10,0)))</f>
        <v>x</v>
      </c>
      <c r="U10" s="52" t="str">
        <f>IF(U$3="","",IF(TEXT(U$3,"ddd")="CN","CN",VLOOKUP($A10&amp;U$3,Data_Cong!$R:$AJ,10,0)))</f>
        <v>x</v>
      </c>
      <c r="V10" s="52" t="str">
        <f>IF(V$3="","",IF(TEXT(V$3,"ddd")="CN","CN",VLOOKUP($A10&amp;V$3,Data_Cong!$R:$AJ,10,0)))</f>
        <v>x</v>
      </c>
      <c r="W10" s="52" t="str">
        <f>IF(W$3="","",IF(TEXT(W$3,"ddd")="CN","CN",VLOOKUP($A10&amp;W$3,Data_Cong!$R:$AJ,10,0)))</f>
        <v/>
      </c>
      <c r="X10" s="52" t="str">
        <f>IF(X$3="","",IF(TEXT(X$3,"ddd")="CN","CN",VLOOKUP($A10&amp;X$3,Data_Cong!$R:$AJ,10,0)))</f>
        <v>CN</v>
      </c>
      <c r="Y10" s="52" t="str">
        <f>IF(Y$3="","",IF(TEXT(Y$3,"ddd")="CN","CN",VLOOKUP($A10&amp;Y$3,Data_Cong!$R:$AJ,10,0)))</f>
        <v>x</v>
      </c>
      <c r="Z10" s="52" t="str">
        <f>IF(Z$3="","",IF(TEXT(Z$3,"ddd")="CN","CN",VLOOKUP($A10&amp;Z$3,Data_Cong!$R:$AJ,10,0)))</f>
        <v>x</v>
      </c>
      <c r="AA10" s="52" t="str">
        <f>IF(AA$3="","",IF(TEXT(AA$3,"ddd")="CN","CN",VLOOKUP($A10&amp;AA$3,Data_Cong!$R:$AJ,10,0)))</f>
        <v>x</v>
      </c>
      <c r="AB10" s="52" t="str">
        <f>IF(AB$3="","",IF(TEXT(AB$3,"ddd")="CN","CN",VLOOKUP($A10&amp;AB$3,Data_Cong!$R:$AJ,10,0)))</f>
        <v>x</v>
      </c>
      <c r="AC10" s="52" t="str">
        <f>IF(AC$3="","",IF(TEXT(AC$3,"ddd")="CN","CN",VLOOKUP($A10&amp;AC$3,Data_Cong!$R:$AJ,10,0)))</f>
        <v>x</v>
      </c>
      <c r="AD10" s="52" t="str">
        <f>IF(AD$3="","",IF(TEXT(AD$3,"ddd")="CN","CN",VLOOKUP($A10&amp;AD$3,Data_Cong!$R:$AJ,10,0)))</f>
        <v/>
      </c>
      <c r="AE10" s="52" t="str">
        <f>IF(AE$3="","",IF(TEXT(AE$3,"ddd")="CN","CN",VLOOKUP($A10&amp;AE$3,Data_Cong!$R:$AJ,10,0)))</f>
        <v>CN</v>
      </c>
      <c r="AF10" s="52" t="str">
        <f>IF(AF$3="","",IF(TEXT(AF$3,"ddd")="CN","CN",VLOOKUP($A10&amp;AF$3,Data_Cong!$R:$AJ,10,0)))</f>
        <v>x</v>
      </c>
      <c r="AG10" s="52" t="str">
        <f>IF(AG$3="","",IF(TEXT(AG$3,"ddd")="CN","CN",VLOOKUP($A10&amp;AG$3,Data_Cong!$R:$AJ,10,0)))</f>
        <v>x</v>
      </c>
      <c r="AH10" s="52" t="str">
        <f>IF(AH$3="","",IF(TEXT(AH$3,"ddd")="CN","CN",VLOOKUP($A10&amp;AH$3,Data_Cong!$R:$AJ,10,0)))</f>
        <v/>
      </c>
      <c r="AI10" s="53" cm="1">
        <f t="array" ref="AI10">SUMPRODUCT((D10:AH10="x")*1+(D10:AH10="P")*1+(D10:AH10="1/2P")*1+(D10:AH10="1/2")*0.5+(D10:AH10="2x")*2+(D10:AH10="L")*1)</f>
        <v>24</v>
      </c>
      <c r="AJ10" s="54">
        <f>SUMIF(Data_Cong!A:A,$A10,Data_Cong!AE:AE)</f>
        <v>0</v>
      </c>
      <c r="AK10" s="55">
        <f>COUNTIFS(Data_Cong!AB:AB,"&gt;5",Data_Cong!A:A,A10)</f>
        <v>1</v>
      </c>
      <c r="AL10" s="58"/>
      <c r="AM10" s="56">
        <v>5</v>
      </c>
      <c r="AN10" s="53" cm="1">
        <f t="array" ref="AN10">IF((AM10+1)&gt;12,12,(AM10+1))-SUMPRODUCT((D10:AH10="P")*1+(D10:AH10="1/2P")*0.5)</f>
        <v>6</v>
      </c>
      <c r="AO10" s="53"/>
      <c r="AP10" s="57">
        <f>SUMIFS(Data_Cong!AF:AF,Data_Cong!A:A,$A10)+SUMIFS(Data_Cong!AG:AG,Data_Cong!A:A,$A10)</f>
        <v>0</v>
      </c>
    </row>
    <row r="11" spans="1:42" ht="15.75" x14ac:dyDescent="0.25">
      <c r="A11" s="31" t="s">
        <v>304</v>
      </c>
      <c r="B11" s="50">
        <v>6</v>
      </c>
      <c r="C11" s="51" t="s">
        <v>413</v>
      </c>
      <c r="D11" s="52" t="str">
        <f>IF(D$3="","",IF(TEXT(D$3,"ddd")="CN","CN",VLOOKUP($A11&amp;D$3,Data_Cong!$R:$AJ,10,0)))</f>
        <v>L</v>
      </c>
      <c r="E11" s="52" t="str">
        <f>IF(E$3="","",IF(TEXT(E$3,"ddd")="CN","CN",VLOOKUP($A11&amp;E$3,Data_Cong!$R:$AJ,10,0)))</f>
        <v>L</v>
      </c>
      <c r="F11" s="52" t="str">
        <f>IF(F$3="","",IF(TEXT(F$3,"ddd")="CN","CN",VLOOKUP($A11&amp;F$3,Data_Cong!$R:$AJ,10,0)))</f>
        <v>x</v>
      </c>
      <c r="G11" s="52" t="str">
        <f>IF(G$3="","",IF(TEXT(G$3,"ddd")="CN","CN",VLOOKUP($A11&amp;G$3,Data_Cong!$R:$AJ,10,0)))</f>
        <v>x</v>
      </c>
      <c r="H11" s="52" t="str">
        <f>IF(H$3="","",IF(TEXT(H$3,"ddd")="CN","CN",VLOOKUP($A11&amp;H$3,Data_Cong!$R:$AJ,10,0)))</f>
        <v>x</v>
      </c>
      <c r="I11" s="52" t="str">
        <f>IF(I$3="","",IF(TEXT(I$3,"ddd")="CN","CN",VLOOKUP($A11&amp;I$3,Data_Cong!$R:$AJ,10,0)))</f>
        <v>x</v>
      </c>
      <c r="J11" s="52" t="str">
        <f>IF(J$3="","",IF(TEXT(J$3,"ddd")="CN","CN",VLOOKUP($A11&amp;J$3,Data_Cong!$R:$AJ,10,0)))</f>
        <v>CN</v>
      </c>
      <c r="K11" s="52" t="str">
        <f>IF(K$3="","",IF(TEXT(K$3,"ddd")="CN","CN",VLOOKUP($A11&amp;K$3,Data_Cong!$R:$AJ,10,0)))</f>
        <v>x</v>
      </c>
      <c r="L11" s="52" t="str">
        <f>IF(L$3="","",IF(TEXT(L$3,"ddd")="CN","CN",VLOOKUP($A11&amp;L$3,Data_Cong!$R:$AJ,10,0)))</f>
        <v>x</v>
      </c>
      <c r="M11" s="52" t="str">
        <f>IF(M$3="","",IF(TEXT(M$3,"ddd")="CN","CN",VLOOKUP($A11&amp;M$3,Data_Cong!$R:$AJ,10,0)))</f>
        <v>x</v>
      </c>
      <c r="N11" s="52" t="str">
        <f>IF(N$3="","",IF(TEXT(N$3,"ddd")="CN","CN",VLOOKUP($A11&amp;N$3,Data_Cong!$R:$AJ,10,0)))</f>
        <v>x</v>
      </c>
      <c r="O11" s="52" t="str">
        <f>IF(O$3="","",IF(TEXT(O$3,"ddd")="CN","CN",VLOOKUP($A11&amp;O$3,Data_Cong!$R:$AJ,10,0)))</f>
        <v>x</v>
      </c>
      <c r="P11" s="52" t="str">
        <f>IF(P$3="","",IF(TEXT(P$3,"ddd")="CN","CN",VLOOKUP($A11&amp;P$3,Data_Cong!$R:$AJ,10,0)))</f>
        <v>x</v>
      </c>
      <c r="Q11" s="52" t="str">
        <f>IF(Q$3="","",IF(TEXT(Q$3,"ddd")="CN","CN",VLOOKUP($A11&amp;Q$3,Data_Cong!$R:$AJ,10,0)))</f>
        <v>CN</v>
      </c>
      <c r="R11" s="52" t="str">
        <f>IF(R$3="","",IF(TEXT(R$3,"ddd")="CN","CN",VLOOKUP($A11&amp;R$3,Data_Cong!$R:$AJ,10,0)))</f>
        <v>x</v>
      </c>
      <c r="S11" s="52" t="str">
        <f>IF(S$3="","",IF(TEXT(S$3,"ddd")="CN","CN",VLOOKUP($A11&amp;S$3,Data_Cong!$R:$AJ,10,0)))</f>
        <v>x</v>
      </c>
      <c r="T11" s="52" t="str">
        <f>IF(T$3="","",IF(TEXT(T$3,"ddd")="CN","CN",VLOOKUP($A11&amp;T$3,Data_Cong!$R:$AJ,10,0)))</f>
        <v>x</v>
      </c>
      <c r="U11" s="52" t="str">
        <f>IF(U$3="","",IF(TEXT(U$3,"ddd")="CN","CN",VLOOKUP($A11&amp;U$3,Data_Cong!$R:$AJ,10,0)))</f>
        <v/>
      </c>
      <c r="V11" s="52" t="str">
        <f>IF(V$3="","",IF(TEXT(V$3,"ddd")="CN","CN",VLOOKUP($A11&amp;V$3,Data_Cong!$R:$AJ,10,0)))</f>
        <v>x</v>
      </c>
      <c r="W11" s="52" t="str">
        <f>IF(W$3="","",IF(TEXT(W$3,"ddd")="CN","CN",VLOOKUP($A11&amp;W$3,Data_Cong!$R:$AJ,10,0)))</f>
        <v>x</v>
      </c>
      <c r="X11" s="52" t="str">
        <f>IF(X$3="","",IF(TEXT(X$3,"ddd")="CN","CN",VLOOKUP($A11&amp;X$3,Data_Cong!$R:$AJ,10,0)))</f>
        <v>CN</v>
      </c>
      <c r="Y11" s="52" t="str">
        <f>IF(Y$3="","",IF(TEXT(Y$3,"ddd")="CN","CN",VLOOKUP($A11&amp;Y$3,Data_Cong!$R:$AJ,10,0)))</f>
        <v>x</v>
      </c>
      <c r="Z11" s="52" t="str">
        <f>IF(Z$3="","",IF(TEXT(Z$3,"ddd")="CN","CN",VLOOKUP($A11&amp;Z$3,Data_Cong!$R:$AJ,10,0)))</f>
        <v>x</v>
      </c>
      <c r="AA11" s="52" t="str">
        <f>IF(AA$3="","",IF(TEXT(AA$3,"ddd")="CN","CN",VLOOKUP($A11&amp;AA$3,Data_Cong!$R:$AJ,10,0)))</f>
        <v>x</v>
      </c>
      <c r="AB11" s="52" t="str">
        <f>IF(AB$3="","",IF(TEXT(AB$3,"ddd")="CN","CN",VLOOKUP($A11&amp;AB$3,Data_Cong!$R:$AJ,10,0)))</f>
        <v>x</v>
      </c>
      <c r="AC11" s="52" t="str">
        <f>IF(AC$3="","",IF(TEXT(AC$3,"ddd")="CN","CN",VLOOKUP($A11&amp;AC$3,Data_Cong!$R:$AJ,10,0)))</f>
        <v>x</v>
      </c>
      <c r="AD11" s="52" t="str">
        <f>IF(AD$3="","",IF(TEXT(AD$3,"ddd")="CN","CN",VLOOKUP($A11&amp;AD$3,Data_Cong!$R:$AJ,10,0)))</f>
        <v/>
      </c>
      <c r="AE11" s="52" t="str">
        <f>IF(AE$3="","",IF(TEXT(AE$3,"ddd")="CN","CN",VLOOKUP($A11&amp;AE$3,Data_Cong!$R:$AJ,10,0)))</f>
        <v>CN</v>
      </c>
      <c r="AF11" s="52" t="str">
        <f>IF(AF$3="","",IF(TEXT(AF$3,"ddd")="CN","CN",VLOOKUP($A11&amp;AF$3,Data_Cong!$R:$AJ,10,0)))</f>
        <v>x</v>
      </c>
      <c r="AG11" s="52" t="str">
        <f>IF(AG$3="","",IF(TEXT(AG$3,"ddd")="CN","CN",VLOOKUP($A11&amp;AG$3,Data_Cong!$R:$AJ,10,0)))</f>
        <v>x</v>
      </c>
      <c r="AH11" s="52" t="str">
        <f>IF(AH$3="","",IF(TEXT(AH$3,"ddd")="CN","CN",VLOOKUP($A11&amp;AH$3,Data_Cong!$R:$AJ,10,0)))</f>
        <v/>
      </c>
      <c r="AI11" s="53" cm="1">
        <f t="array" ref="AI11">SUMPRODUCT((D11:AH11="x")*1+(D11:AH11="P")*1+(D11:AH11="1/2P")*1+(D11:AH11="1/2")*0.5+(D11:AH11="2x")*2+(D11:AH11="L")*1)</f>
        <v>24</v>
      </c>
      <c r="AJ11" s="54">
        <f>SUMIF(Data_Cong!A:A,$A11,Data_Cong!AE:AE)</f>
        <v>0</v>
      </c>
      <c r="AK11" s="55">
        <f>COUNTIFS(Data_Cong!AB:AB,"&gt;5",Data_Cong!A:A,A11)</f>
        <v>2</v>
      </c>
      <c r="AL11" s="56"/>
      <c r="AM11" s="56">
        <v>6</v>
      </c>
      <c r="AN11" s="53" cm="1">
        <f t="array" ref="AN11">IF((AM11+1)&gt;12,12,(AM11+1))-SUMPRODUCT((D11:AH11="P")*1+(D11:AH11="1/2P")*0.5)</f>
        <v>7</v>
      </c>
      <c r="AO11" s="53"/>
      <c r="AP11" s="57">
        <f>SUMIFS(Data_Cong!AF:AF,Data_Cong!A:A,$A11)+SUMIFS(Data_Cong!AG:AG,Data_Cong!A:A,$A11)</f>
        <v>60000</v>
      </c>
    </row>
    <row r="12" spans="1:42" ht="15.75" x14ac:dyDescent="0.25">
      <c r="A12" s="31" t="s">
        <v>338</v>
      </c>
      <c r="B12" s="50">
        <v>7</v>
      </c>
      <c r="C12" s="51" t="s">
        <v>414</v>
      </c>
      <c r="D12" s="52" t="str">
        <f>IF(D$3="","",IF(TEXT(D$3,"ddd")="CN","CN",VLOOKUP($A12&amp;D$3,Data_Cong!$R:$AJ,10,0)))</f>
        <v>L</v>
      </c>
      <c r="E12" s="52" t="str">
        <f>IF(E$3="","",IF(TEXT(E$3,"ddd")="CN","CN",VLOOKUP($A12&amp;E$3,Data_Cong!$R:$AJ,10,0)))</f>
        <v>L</v>
      </c>
      <c r="F12" s="52" t="str">
        <f>IF(F$3="","",IF(TEXT(F$3,"ddd")="CN","CN",VLOOKUP($A12&amp;F$3,Data_Cong!$R:$AJ,10,0)))</f>
        <v>x</v>
      </c>
      <c r="G12" s="52" t="str">
        <f>IF(G$3="","",IF(TEXT(G$3,"ddd")="CN","CN",VLOOKUP($A12&amp;G$3,Data_Cong!$R:$AJ,10,0)))</f>
        <v>x</v>
      </c>
      <c r="H12" s="52" t="str">
        <f>IF(H$3="","",IF(TEXT(H$3,"ddd")="CN","CN",VLOOKUP($A12&amp;H$3,Data_Cong!$R:$AJ,10,0)))</f>
        <v>x</v>
      </c>
      <c r="I12" s="52" t="str">
        <f>IF(I$3="","",IF(TEXT(I$3,"ddd")="CN","CN",VLOOKUP($A12&amp;I$3,Data_Cong!$R:$AJ,10,0)))</f>
        <v>x</v>
      </c>
      <c r="J12" s="52" t="str">
        <f>IF(J$3="","",IF(TEXT(J$3,"ddd")="CN","CN",VLOOKUP($A12&amp;J$3,Data_Cong!$R:$AJ,10,0)))</f>
        <v>CN</v>
      </c>
      <c r="K12" s="52" t="str">
        <f>IF(K$3="","",IF(TEXT(K$3,"ddd")="CN","CN",VLOOKUP($A12&amp;K$3,Data_Cong!$R:$AJ,10,0)))</f>
        <v>x</v>
      </c>
      <c r="L12" s="52" t="str">
        <f>IF(L$3="","",IF(TEXT(L$3,"ddd")="CN","CN",VLOOKUP($A12&amp;L$3,Data_Cong!$R:$AJ,10,0)))</f>
        <v>x</v>
      </c>
      <c r="M12" s="52" t="str">
        <f>IF(M$3="","",IF(TEXT(M$3,"ddd")="CN","CN",VLOOKUP($A12&amp;M$3,Data_Cong!$R:$AJ,10,0)))</f>
        <v>x</v>
      </c>
      <c r="N12" s="52" t="str">
        <f>IF(N$3="","",IF(TEXT(N$3,"ddd")="CN","CN",VLOOKUP($A12&amp;N$3,Data_Cong!$R:$AJ,10,0)))</f>
        <v>x</v>
      </c>
      <c r="O12" s="52" t="str">
        <f>IF(O$3="","",IF(TEXT(O$3,"ddd")="CN","CN",VLOOKUP($A12&amp;O$3,Data_Cong!$R:$AJ,10,0)))</f>
        <v/>
      </c>
      <c r="P12" s="52" t="str">
        <f>IF(P$3="","",IF(TEXT(P$3,"ddd")="CN","CN",VLOOKUP($A12&amp;P$3,Data_Cong!$R:$AJ,10,0)))</f>
        <v>x</v>
      </c>
      <c r="Q12" s="52" t="str">
        <f>IF(Q$3="","",IF(TEXT(Q$3,"ddd")="CN","CN",VLOOKUP($A12&amp;Q$3,Data_Cong!$R:$AJ,10,0)))</f>
        <v>CN</v>
      </c>
      <c r="R12" s="52" t="str">
        <f>IF(R$3="","",IF(TEXT(R$3,"ddd")="CN","CN",VLOOKUP($A12&amp;R$3,Data_Cong!$R:$AJ,10,0)))</f>
        <v>x</v>
      </c>
      <c r="S12" s="52" t="str">
        <f>IF(S$3="","",IF(TEXT(S$3,"ddd")="CN","CN",VLOOKUP($A12&amp;S$3,Data_Cong!$R:$AJ,10,0)))</f>
        <v>x</v>
      </c>
      <c r="T12" s="52" t="str">
        <f>IF(T$3="","",IF(TEXT(T$3,"ddd")="CN","CN",VLOOKUP($A12&amp;T$3,Data_Cong!$R:$AJ,10,0)))</f>
        <v>x</v>
      </c>
      <c r="U12" s="52" t="str">
        <f>IF(U$3="","",IF(TEXT(U$3,"ddd")="CN","CN",VLOOKUP($A12&amp;U$3,Data_Cong!$R:$AJ,10,0)))</f>
        <v>x</v>
      </c>
      <c r="V12" s="52" t="str">
        <f>IF(V$3="","",IF(TEXT(V$3,"ddd")="CN","CN",VLOOKUP($A12&amp;V$3,Data_Cong!$R:$AJ,10,0)))</f>
        <v>x</v>
      </c>
      <c r="W12" s="52" t="str">
        <f>IF(W$3="","",IF(TEXT(W$3,"ddd")="CN","CN",VLOOKUP($A12&amp;W$3,Data_Cong!$R:$AJ,10,0)))</f>
        <v>x</v>
      </c>
      <c r="X12" s="52" t="str">
        <f>IF(X$3="","",IF(TEXT(X$3,"ddd")="CN","CN",VLOOKUP($A12&amp;X$3,Data_Cong!$R:$AJ,10,0)))</f>
        <v>CN</v>
      </c>
      <c r="Y12" s="52" t="str">
        <f>IF(Y$3="","",IF(TEXT(Y$3,"ddd")="CN","CN",VLOOKUP($A12&amp;Y$3,Data_Cong!$R:$AJ,10,0)))</f>
        <v>x</v>
      </c>
      <c r="Z12" s="52" t="str">
        <f>IF(Z$3="","",IF(TEXT(Z$3,"ddd")="CN","CN",VLOOKUP($A12&amp;Z$3,Data_Cong!$R:$AJ,10,0)))</f>
        <v>x</v>
      </c>
      <c r="AA12" s="52" t="str">
        <f>IF(AA$3="","",IF(TEXT(AA$3,"ddd")="CN","CN",VLOOKUP($A12&amp;AA$3,Data_Cong!$R:$AJ,10,0)))</f>
        <v>x</v>
      </c>
      <c r="AB12" s="52" t="str">
        <f>IF(AB$3="","",IF(TEXT(AB$3,"ddd")="CN","CN",VLOOKUP($A12&amp;AB$3,Data_Cong!$R:$AJ,10,0)))</f>
        <v>x</v>
      </c>
      <c r="AC12" s="52" t="str">
        <f>IF(AC$3="","",IF(TEXT(AC$3,"ddd")="CN","CN",VLOOKUP($A12&amp;AC$3,Data_Cong!$R:$AJ,10,0)))</f>
        <v>x</v>
      </c>
      <c r="AD12" s="52" t="str">
        <f>IF(AD$3="","",IF(TEXT(AD$3,"ddd")="CN","CN",VLOOKUP($A12&amp;AD$3,Data_Cong!$R:$AJ,10,0)))</f>
        <v/>
      </c>
      <c r="AE12" s="52" t="str">
        <f>IF(AE$3="","",IF(TEXT(AE$3,"ddd")="CN","CN",VLOOKUP($A12&amp;AE$3,Data_Cong!$R:$AJ,10,0)))</f>
        <v>CN</v>
      </c>
      <c r="AF12" s="52" t="str">
        <f>IF(AF$3="","",IF(TEXT(AF$3,"ddd")="CN","CN",VLOOKUP($A12&amp;AF$3,Data_Cong!$R:$AJ,10,0)))</f>
        <v>x</v>
      </c>
      <c r="AG12" s="52" t="str">
        <f>IF(AG$3="","",IF(TEXT(AG$3,"ddd")="CN","CN",VLOOKUP($A12&amp;AG$3,Data_Cong!$R:$AJ,10,0)))</f>
        <v>1/2</v>
      </c>
      <c r="AH12" s="52" t="str">
        <f>IF(AH$3="","",IF(TEXT(AH$3,"ddd")="CN","CN",VLOOKUP($A12&amp;AH$3,Data_Cong!$R:$AJ,10,0)))</f>
        <v/>
      </c>
      <c r="AI12" s="53" cm="1">
        <f t="array" ref="AI12">SUMPRODUCT((D12:AH12="x")*1+(D12:AH12="P")*1+(D12:AH12="1/2P")*1+(D12:AH12="1/2")*0.5+(D12:AH12="2x")*2+(D12:AH12="L")*1)</f>
        <v>23.5</v>
      </c>
      <c r="AJ12" s="54">
        <f>SUMIF(Data_Cong!A:A,$A12,Data_Cong!AE:AE)</f>
        <v>0</v>
      </c>
      <c r="AK12" s="55">
        <f>COUNTIFS(Data_Cong!AB:AB,"&gt;5",Data_Cong!A:A,A12)</f>
        <v>6</v>
      </c>
      <c r="AL12" s="56"/>
      <c r="AM12" s="56">
        <v>7</v>
      </c>
      <c r="AN12" s="53" cm="1">
        <f t="array" ref="AN12">IF((AM12+1)&gt;12,12,(AM12+1))-SUMPRODUCT((D12:AH12="P")*1+(D12:AH12="1/2P")*0.5)</f>
        <v>8</v>
      </c>
      <c r="AO12" s="53">
        <v>2</v>
      </c>
      <c r="AP12" s="57">
        <f>SUMIFS(Data_Cong!AF:AF,Data_Cong!A:A,$A12)+SUMIFS(Data_Cong!AG:AG,Data_Cong!A:A,$A12)</f>
        <v>180000</v>
      </c>
    </row>
    <row r="13" spans="1:42" ht="15.75" x14ac:dyDescent="0.25">
      <c r="A13" s="31" t="s">
        <v>177</v>
      </c>
      <c r="B13" s="50">
        <v>8</v>
      </c>
      <c r="C13" s="51" t="s">
        <v>415</v>
      </c>
      <c r="D13" s="52" t="str">
        <f>IF(D$3="","",IF(TEXT(D$3,"ddd")="CN","CN",VLOOKUP($A13&amp;D$3,Data_Cong!$R:$AJ,10,0)))</f>
        <v>L</v>
      </c>
      <c r="E13" s="52" t="str">
        <f>IF(E$3="","",IF(TEXT(E$3,"ddd")="CN","CN",VLOOKUP($A13&amp;E$3,Data_Cong!$R:$AJ,10,0)))</f>
        <v>L</v>
      </c>
      <c r="F13" s="52" t="str">
        <f>IF(F$3="","",IF(TEXT(F$3,"ddd")="CN","CN",VLOOKUP($A13&amp;F$3,Data_Cong!$R:$AJ,10,0)))</f>
        <v>x</v>
      </c>
      <c r="G13" s="52" t="str">
        <f>IF(G$3="","",IF(TEXT(G$3,"ddd")="CN","CN",VLOOKUP($A13&amp;G$3,Data_Cong!$R:$AJ,10,0)))</f>
        <v>x</v>
      </c>
      <c r="H13" s="52" t="str">
        <f>IF(H$3="","",IF(TEXT(H$3,"ddd")="CN","CN",VLOOKUP($A13&amp;H$3,Data_Cong!$R:$AJ,10,0)))</f>
        <v>x</v>
      </c>
      <c r="I13" s="52" t="str">
        <f>IF(I$3="","",IF(TEXT(I$3,"ddd")="CN","CN",VLOOKUP($A13&amp;I$3,Data_Cong!$R:$AJ,10,0)))</f>
        <v>x</v>
      </c>
      <c r="J13" s="52" t="str">
        <f>IF(J$3="","",IF(TEXT(J$3,"ddd")="CN","CN",VLOOKUP($A13&amp;J$3,Data_Cong!$R:$AJ,10,0)))</f>
        <v>CN</v>
      </c>
      <c r="K13" s="52" t="str">
        <f>IF(K$3="","",IF(TEXT(K$3,"ddd")="CN","CN",VLOOKUP($A13&amp;K$3,Data_Cong!$R:$AJ,10,0)))</f>
        <v>x</v>
      </c>
      <c r="L13" s="52" t="str">
        <f>IF(L$3="","",IF(TEXT(L$3,"ddd")="CN","CN",VLOOKUP($A13&amp;L$3,Data_Cong!$R:$AJ,10,0)))</f>
        <v>x</v>
      </c>
      <c r="M13" s="52" t="str">
        <f>IF(M$3="","",IF(TEXT(M$3,"ddd")="CN","CN",VLOOKUP($A13&amp;M$3,Data_Cong!$R:$AJ,10,0)))</f>
        <v>x</v>
      </c>
      <c r="N13" s="52" t="str">
        <f>IF(N$3="","",IF(TEXT(N$3,"ddd")="CN","CN",VLOOKUP($A13&amp;N$3,Data_Cong!$R:$AJ,10,0)))</f>
        <v>x</v>
      </c>
      <c r="O13" s="52" t="str">
        <f>IF(O$3="","",IF(TEXT(O$3,"ddd")="CN","CN",VLOOKUP($A13&amp;O$3,Data_Cong!$R:$AJ,10,0)))</f>
        <v>x</v>
      </c>
      <c r="P13" s="52" t="str">
        <f>IF(P$3="","",IF(TEXT(P$3,"ddd")="CN","CN",VLOOKUP($A13&amp;P$3,Data_Cong!$R:$AJ,10,0)))</f>
        <v>x</v>
      </c>
      <c r="Q13" s="52" t="str">
        <f>IF(Q$3="","",IF(TEXT(Q$3,"ddd")="CN","CN",VLOOKUP($A13&amp;Q$3,Data_Cong!$R:$AJ,10,0)))</f>
        <v>CN</v>
      </c>
      <c r="R13" s="52" t="str">
        <f>IF(R$3="","",IF(TEXT(R$3,"ddd")="CN","CN",VLOOKUP($A13&amp;R$3,Data_Cong!$R:$AJ,10,0)))</f>
        <v>x</v>
      </c>
      <c r="S13" s="52" t="str">
        <f>IF(S$3="","",IF(TEXT(S$3,"ddd")="CN","CN",VLOOKUP($A13&amp;S$3,Data_Cong!$R:$AJ,10,0)))</f>
        <v>x</v>
      </c>
      <c r="T13" s="52" t="str">
        <f>IF(T$3="","",IF(TEXT(T$3,"ddd")="CN","CN",VLOOKUP($A13&amp;T$3,Data_Cong!$R:$AJ,10,0)))</f>
        <v>x</v>
      </c>
      <c r="U13" s="52" t="str">
        <f>IF(U$3="","",IF(TEXT(U$3,"ddd")="CN","CN",VLOOKUP($A13&amp;U$3,Data_Cong!$R:$AJ,10,0)))</f>
        <v>x</v>
      </c>
      <c r="V13" s="52" t="str">
        <f>IF(V$3="","",IF(TEXT(V$3,"ddd")="CN","CN",VLOOKUP($A13&amp;V$3,Data_Cong!$R:$AJ,10,0)))</f>
        <v>x</v>
      </c>
      <c r="W13" s="52" t="str">
        <f>IF(W$3="","",IF(TEXT(W$3,"ddd")="CN","CN",VLOOKUP($A13&amp;W$3,Data_Cong!$R:$AJ,10,0)))</f>
        <v>1/2</v>
      </c>
      <c r="X13" s="52" t="str">
        <f>IF(X$3="","",IF(TEXT(X$3,"ddd")="CN","CN",VLOOKUP($A13&amp;X$3,Data_Cong!$R:$AJ,10,0)))</f>
        <v>CN</v>
      </c>
      <c r="Y13" s="52" t="str">
        <f>IF(Y$3="","",IF(TEXT(Y$3,"ddd")="CN","CN",VLOOKUP($A13&amp;Y$3,Data_Cong!$R:$AJ,10,0)))</f>
        <v>x</v>
      </c>
      <c r="Z13" s="52" t="str">
        <f>IF(Z$3="","",IF(TEXT(Z$3,"ddd")="CN","CN",VLOOKUP($A13&amp;Z$3,Data_Cong!$R:$AJ,10,0)))</f>
        <v>x</v>
      </c>
      <c r="AA13" s="52" t="str">
        <f>IF(AA$3="","",IF(TEXT(AA$3,"ddd")="CN","CN",VLOOKUP($A13&amp;AA$3,Data_Cong!$R:$AJ,10,0)))</f>
        <v>x</v>
      </c>
      <c r="AB13" s="52" t="str">
        <f>IF(AB$3="","",IF(TEXT(AB$3,"ddd")="CN","CN",VLOOKUP($A13&amp;AB$3,Data_Cong!$R:$AJ,10,0)))</f>
        <v>x</v>
      </c>
      <c r="AC13" s="52" t="str">
        <f>IF(AC$3="","",IF(TEXT(AC$3,"ddd")="CN","CN",VLOOKUP($A13&amp;AC$3,Data_Cong!$R:$AJ,10,0)))</f>
        <v>x</v>
      </c>
      <c r="AD13" s="52" t="str">
        <f>IF(AD$3="","",IF(TEXT(AD$3,"ddd")="CN","CN",VLOOKUP($A13&amp;AD$3,Data_Cong!$R:$AJ,10,0)))</f>
        <v>x</v>
      </c>
      <c r="AE13" s="52" t="str">
        <f>IF(AE$3="","",IF(TEXT(AE$3,"ddd")="CN","CN",VLOOKUP($A13&amp;AE$3,Data_Cong!$R:$AJ,10,0)))</f>
        <v>CN</v>
      </c>
      <c r="AF13" s="52" t="str">
        <f>IF(AF$3="","",IF(TEXT(AF$3,"ddd")="CN","CN",VLOOKUP($A13&amp;AF$3,Data_Cong!$R:$AJ,10,0)))</f>
        <v>x</v>
      </c>
      <c r="AG13" s="52" t="str">
        <f>IF(AG$3="","",IF(TEXT(AG$3,"ddd")="CN","CN",VLOOKUP($A13&amp;AG$3,Data_Cong!$R:$AJ,10,0)))</f>
        <v>x</v>
      </c>
      <c r="AH13" s="52" t="str">
        <f>IF(AH$3="","",IF(TEXT(AH$3,"ddd")="CN","CN",VLOOKUP($A13&amp;AH$3,Data_Cong!$R:$AJ,10,0)))</f>
        <v/>
      </c>
      <c r="AI13" s="53" cm="1">
        <f t="array" ref="AI13">SUMPRODUCT((D13:AH13="x")*1+(D13:AH13="P")*1+(D13:AH13="1/2P")*1+(D13:AH13="1/2")*0.5+(D13:AH13="2x")*2+(D13:AH13="L")*1)</f>
        <v>25.5</v>
      </c>
      <c r="AJ13" s="54">
        <f>SUMIF(Data_Cong!A:A,$A13,Data_Cong!AE:AE)</f>
        <v>1657</v>
      </c>
      <c r="AK13" s="55">
        <f>COUNTIFS(Data_Cong!AB:AB,"&gt;5",Data_Cong!A:A,A13)</f>
        <v>3</v>
      </c>
      <c r="AL13" s="59"/>
      <c r="AM13" s="56">
        <v>8.5</v>
      </c>
      <c r="AN13" s="53" cm="1">
        <f t="array" ref="AN13">IF((AM13+1)&gt;12,12,(AM13+1))-SUMPRODUCT((D13:AH13="P")*1+(D13:AH13="1/2P")*0.5)</f>
        <v>9.5</v>
      </c>
      <c r="AO13" s="53"/>
      <c r="AP13" s="57">
        <f>SUMIFS(Data_Cong!AF:AF,Data_Cong!A:A,$A13)+SUMIFS(Data_Cong!AG:AG,Data_Cong!A:A,$A13)</f>
        <v>160000</v>
      </c>
    </row>
    <row r="14" spans="1:42" ht="15.75" x14ac:dyDescent="0.25">
      <c r="A14" s="31"/>
      <c r="B14" s="60"/>
      <c r="C14" s="60"/>
      <c r="D14" s="61"/>
      <c r="E14" s="62"/>
      <c r="F14" s="60"/>
      <c r="G14" s="60"/>
      <c r="H14" s="60"/>
      <c r="I14" s="60"/>
      <c r="J14" s="63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31"/>
      <c r="AK14" s="31"/>
      <c r="AL14" s="31"/>
      <c r="AM14" s="31"/>
      <c r="AN14" s="31"/>
      <c r="AO14" s="31"/>
      <c r="AP14" s="34"/>
    </row>
    <row r="15" spans="1:42" ht="15.75" x14ac:dyDescent="0.25">
      <c r="A15" s="31"/>
      <c r="B15" s="60"/>
      <c r="C15" s="60"/>
      <c r="D15" s="61" t="s">
        <v>499</v>
      </c>
      <c r="E15" s="62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31"/>
      <c r="AK15" s="31"/>
      <c r="AL15" s="31"/>
      <c r="AM15" s="31"/>
      <c r="AN15" s="31"/>
      <c r="AO15" s="31"/>
      <c r="AP15" s="34"/>
    </row>
    <row r="16" spans="1:42" ht="15.75" x14ac:dyDescent="0.25">
      <c r="A16" s="31"/>
      <c r="B16" s="60"/>
      <c r="C16" s="60"/>
      <c r="D16" s="61" t="s">
        <v>500</v>
      </c>
      <c r="E16" s="62" t="s">
        <v>501</v>
      </c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31"/>
      <c r="AK16" s="31"/>
      <c r="AL16" s="31"/>
      <c r="AM16" s="31"/>
      <c r="AN16" s="31"/>
      <c r="AO16" s="31"/>
      <c r="AP16" s="34"/>
    </row>
    <row r="17" spans="1:42" ht="15.75" x14ac:dyDescent="0.25">
      <c r="A17" s="31"/>
      <c r="B17" s="60"/>
      <c r="C17" s="60"/>
      <c r="D17" s="61" t="s">
        <v>502</v>
      </c>
      <c r="E17" s="62" t="s">
        <v>503</v>
      </c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31"/>
      <c r="AK17" s="31"/>
      <c r="AL17" s="31"/>
      <c r="AM17" s="31"/>
      <c r="AN17" s="31"/>
      <c r="AO17" s="31"/>
      <c r="AP17" s="34"/>
    </row>
    <row r="18" spans="1:42" ht="15.75" x14ac:dyDescent="0.25">
      <c r="A18" s="31"/>
      <c r="B18" s="60"/>
      <c r="C18" s="60"/>
      <c r="D18" s="64" t="s">
        <v>504</v>
      </c>
      <c r="E18" s="62" t="s">
        <v>505</v>
      </c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31"/>
      <c r="AK18" s="31"/>
      <c r="AL18" s="31"/>
      <c r="AM18" s="31"/>
      <c r="AN18" s="31"/>
      <c r="AO18" s="31"/>
      <c r="AP18" s="34"/>
    </row>
    <row r="19" spans="1:42" ht="15.75" x14ac:dyDescent="0.25">
      <c r="A19" s="31"/>
      <c r="B19" s="60"/>
      <c r="C19" s="60"/>
      <c r="D19" s="65" t="s">
        <v>506</v>
      </c>
      <c r="E19" s="62" t="s">
        <v>507</v>
      </c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31"/>
      <c r="Z19" s="66"/>
      <c r="AA19" s="66"/>
      <c r="AB19" s="66"/>
      <c r="AC19" s="66"/>
      <c r="AD19" s="66"/>
      <c r="AE19" s="66"/>
      <c r="AF19" s="66"/>
      <c r="AG19" s="66"/>
      <c r="AH19" s="66"/>
      <c r="AI19" s="60"/>
      <c r="AJ19" s="31"/>
      <c r="AK19" s="31"/>
      <c r="AL19" s="31"/>
      <c r="AM19" s="31"/>
      <c r="AN19" s="31"/>
      <c r="AO19" s="31"/>
      <c r="AP19" s="34"/>
    </row>
    <row r="20" spans="1:42" ht="15.75" x14ac:dyDescent="0.25">
      <c r="A20" s="31"/>
      <c r="B20" s="60"/>
      <c r="C20" s="60"/>
      <c r="D20" s="67" t="s">
        <v>508</v>
      </c>
      <c r="E20" s="62" t="s">
        <v>509</v>
      </c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31"/>
      <c r="Z20" s="66"/>
      <c r="AA20" s="66"/>
      <c r="AB20" s="66"/>
      <c r="AC20" s="66"/>
      <c r="AD20" s="66"/>
      <c r="AE20" s="66"/>
      <c r="AF20" s="66"/>
      <c r="AG20" s="66"/>
      <c r="AH20" s="66"/>
      <c r="AI20" s="60"/>
      <c r="AJ20" s="31"/>
      <c r="AK20" s="31"/>
      <c r="AL20" s="31"/>
      <c r="AM20" s="31"/>
      <c r="AN20" s="31"/>
      <c r="AO20" s="31"/>
      <c r="AP20" s="34"/>
    </row>
    <row r="21" spans="1:42" ht="15.75" x14ac:dyDescent="0.25">
      <c r="A21" s="31"/>
      <c r="B21" s="60"/>
      <c r="C21" s="60"/>
      <c r="D21" s="61" t="s">
        <v>510</v>
      </c>
      <c r="E21" s="62" t="s">
        <v>511</v>
      </c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0"/>
      <c r="AJ21" s="31"/>
      <c r="AK21" s="31"/>
      <c r="AL21" s="31"/>
      <c r="AM21" s="31"/>
      <c r="AN21" s="31"/>
      <c r="AO21" s="31"/>
      <c r="AP21" s="34"/>
    </row>
    <row r="22" spans="1:42" ht="15.75" x14ac:dyDescent="0.25">
      <c r="A22" s="31"/>
      <c r="B22" s="60"/>
      <c r="C22" s="60"/>
      <c r="D22" s="68" t="s">
        <v>512</v>
      </c>
      <c r="E22" s="62" t="s">
        <v>513</v>
      </c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69"/>
      <c r="AD22" s="69"/>
      <c r="AE22" s="69"/>
      <c r="AF22" s="69"/>
      <c r="AG22" s="69"/>
      <c r="AH22" s="69"/>
      <c r="AI22" s="60"/>
      <c r="AJ22" s="31"/>
      <c r="AK22" s="31"/>
      <c r="AL22" s="31"/>
      <c r="AM22" s="31"/>
      <c r="AN22" s="31"/>
      <c r="AO22" s="31"/>
      <c r="AP22" s="34"/>
    </row>
    <row r="23" spans="1:42" ht="15.75" x14ac:dyDescent="0.25">
      <c r="A23" s="31"/>
      <c r="B23" s="60"/>
      <c r="C23" s="60"/>
      <c r="D23" s="70" t="s">
        <v>514</v>
      </c>
      <c r="E23" s="62" t="s">
        <v>515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60"/>
      <c r="AD23" s="60"/>
      <c r="AE23" s="60"/>
      <c r="AF23" s="60"/>
      <c r="AG23" s="60"/>
      <c r="AH23" s="60"/>
      <c r="AI23" s="60"/>
      <c r="AJ23" s="31"/>
      <c r="AK23" s="31"/>
      <c r="AL23" s="31"/>
      <c r="AM23" s="31"/>
      <c r="AN23" s="31"/>
      <c r="AO23" s="31"/>
      <c r="AP23" s="34"/>
    </row>
    <row r="24" spans="1:42" ht="15.75" x14ac:dyDescent="0.25">
      <c r="A24" s="31"/>
      <c r="B24" s="60"/>
      <c r="C24" s="60"/>
      <c r="D24" s="61"/>
      <c r="E24" s="62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60"/>
      <c r="AD24" s="60"/>
      <c r="AE24" s="60"/>
      <c r="AF24" s="60"/>
      <c r="AG24" s="60"/>
      <c r="AH24" s="60"/>
      <c r="AI24" s="60"/>
      <c r="AJ24" s="31"/>
      <c r="AK24" s="31"/>
      <c r="AL24" s="31"/>
      <c r="AM24" s="31"/>
      <c r="AN24" s="31"/>
      <c r="AO24" s="31"/>
      <c r="AP24" s="34"/>
    </row>
    <row r="25" spans="1:42" ht="15.75" x14ac:dyDescent="0.25">
      <c r="A25" s="31"/>
      <c r="B25" s="60"/>
      <c r="C25" s="60"/>
      <c r="D25" s="61"/>
      <c r="E25" s="62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66" t="str">
        <f>"Ngày "&amp;DAY(EOMONTH(AN1,0))&amp;" Tháng "&amp;MONTH(AN1)&amp;" Năm "&amp;YEAR(AN1)</f>
        <v>Ngày 30 Tháng 9 Năm 2025</v>
      </c>
      <c r="Z25" s="31"/>
      <c r="AA25" s="31"/>
      <c r="AB25" s="31"/>
      <c r="AC25" s="60"/>
      <c r="AD25" s="60"/>
      <c r="AE25" s="60"/>
      <c r="AF25" s="60"/>
      <c r="AG25" s="60"/>
      <c r="AH25" s="60"/>
      <c r="AI25" s="60"/>
      <c r="AJ25" s="31"/>
      <c r="AK25" s="31"/>
      <c r="AL25" s="31"/>
      <c r="AM25" s="31"/>
      <c r="AN25" s="31"/>
      <c r="AO25" s="31"/>
      <c r="AP25" s="34"/>
    </row>
    <row r="26" spans="1:42" ht="15.75" x14ac:dyDescent="0.25">
      <c r="A26" s="31"/>
      <c r="B26" s="60"/>
      <c r="C26" s="60"/>
      <c r="D26" s="60"/>
      <c r="E26" s="60"/>
      <c r="F26" s="79" t="s">
        <v>516</v>
      </c>
      <c r="G26" s="79"/>
      <c r="H26" s="79"/>
      <c r="I26" s="79"/>
      <c r="J26" s="79"/>
      <c r="K26" s="79"/>
      <c r="L26" s="69"/>
      <c r="M26" s="69"/>
      <c r="N26" s="69"/>
      <c r="O26" s="60"/>
      <c r="P26" s="60"/>
      <c r="Q26" s="60"/>
      <c r="R26" s="60"/>
      <c r="S26" s="60"/>
      <c r="T26" s="60"/>
      <c r="U26" s="60"/>
      <c r="V26" s="60"/>
      <c r="W26" s="79" t="s">
        <v>517</v>
      </c>
      <c r="X26" s="79"/>
      <c r="Y26" s="79"/>
      <c r="Z26" s="79"/>
      <c r="AA26" s="79"/>
      <c r="AB26" s="79"/>
      <c r="AC26" s="60"/>
      <c r="AD26" s="60"/>
      <c r="AE26" s="60"/>
      <c r="AF26" s="60"/>
      <c r="AG26" s="60"/>
      <c r="AH26" s="60"/>
      <c r="AI26" s="60"/>
      <c r="AJ26" s="31"/>
      <c r="AK26" s="31"/>
      <c r="AL26" s="31"/>
      <c r="AM26" s="31"/>
      <c r="AN26" s="31"/>
      <c r="AO26" s="31"/>
      <c r="AP26" s="34"/>
    </row>
    <row r="27" spans="1:42" x14ac:dyDescent="0.25">
      <c r="A27" s="31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31"/>
      <c r="AK27" s="31"/>
      <c r="AL27" s="31"/>
      <c r="AM27" s="31"/>
      <c r="AN27" s="31"/>
      <c r="AO27" s="31"/>
      <c r="AP27" s="34"/>
    </row>
    <row r="28" spans="1:42" x14ac:dyDescent="0.25">
      <c r="A28" s="31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31"/>
      <c r="AK28" s="31"/>
      <c r="AL28" s="31"/>
      <c r="AM28" s="31"/>
      <c r="AN28" s="31"/>
      <c r="AO28" s="31"/>
      <c r="AP28" s="34"/>
    </row>
    <row r="29" spans="1:42" x14ac:dyDescent="0.25">
      <c r="A29" s="31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31"/>
      <c r="AK29" s="31"/>
      <c r="AL29" s="31"/>
      <c r="AM29" s="31"/>
      <c r="AN29" s="31"/>
      <c r="AO29" s="31"/>
      <c r="AP29" s="34"/>
    </row>
    <row r="30" spans="1:42" x14ac:dyDescent="0.25">
      <c r="A30" s="31"/>
      <c r="B30" s="60"/>
      <c r="C30" s="60"/>
      <c r="D30" s="60"/>
      <c r="E30" s="60"/>
      <c r="F30" s="71"/>
      <c r="G30" s="71"/>
      <c r="H30" s="71"/>
      <c r="I30" s="71"/>
      <c r="J30" s="71"/>
      <c r="K30" s="71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71"/>
      <c r="X30" s="71"/>
      <c r="Y30" s="71"/>
      <c r="Z30" s="71"/>
      <c r="AA30" s="71"/>
      <c r="AB30" s="71"/>
      <c r="AC30" s="60"/>
      <c r="AD30" s="60"/>
      <c r="AE30" s="60"/>
      <c r="AF30" s="60"/>
      <c r="AG30" s="60"/>
      <c r="AH30" s="60"/>
      <c r="AI30" s="60"/>
      <c r="AJ30" s="31"/>
      <c r="AK30" s="31"/>
      <c r="AL30" s="31"/>
      <c r="AM30" s="31"/>
      <c r="AN30" s="31"/>
      <c r="AO30" s="31"/>
      <c r="AP30" s="34"/>
    </row>
    <row r="31" spans="1:42" x14ac:dyDescent="0.25">
      <c r="A31" s="31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31"/>
      <c r="AK31" s="31"/>
      <c r="AL31" s="31"/>
      <c r="AM31" s="31"/>
      <c r="AN31" s="31"/>
      <c r="AO31" s="31"/>
      <c r="AP31" s="34"/>
    </row>
    <row r="32" spans="1:42" ht="15.75" x14ac:dyDescent="0.25">
      <c r="A32" s="31"/>
      <c r="B32" s="60"/>
      <c r="C32" s="60"/>
      <c r="D32" s="60"/>
      <c r="E32" s="60"/>
      <c r="F32" s="79" t="s">
        <v>429</v>
      </c>
      <c r="G32" s="79"/>
      <c r="H32" s="79"/>
      <c r="I32" s="79"/>
      <c r="J32" s="79"/>
      <c r="K32" s="79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79" t="s">
        <v>518</v>
      </c>
      <c r="X32" s="79"/>
      <c r="Y32" s="79"/>
      <c r="Z32" s="79"/>
      <c r="AA32" s="79"/>
      <c r="AB32" s="79"/>
      <c r="AC32" s="60"/>
      <c r="AD32" s="60"/>
      <c r="AE32" s="60"/>
      <c r="AF32" s="60"/>
      <c r="AG32" s="60"/>
      <c r="AH32" s="60"/>
      <c r="AI32" s="60"/>
      <c r="AJ32" s="31"/>
      <c r="AK32" s="31"/>
      <c r="AL32" s="31"/>
      <c r="AM32" s="31"/>
      <c r="AN32" s="31"/>
      <c r="AO32" s="31"/>
      <c r="AP32" s="34"/>
    </row>
  </sheetData>
  <mergeCells count="18">
    <mergeCell ref="B3:B4"/>
    <mergeCell ref="C3:C4"/>
    <mergeCell ref="AI3:AI4"/>
    <mergeCell ref="AJ3:AJ4"/>
    <mergeCell ref="AK3:AK4"/>
    <mergeCell ref="AP3:AP4"/>
    <mergeCell ref="F26:K26"/>
    <mergeCell ref="W26:AB26"/>
    <mergeCell ref="C1:AK1"/>
    <mergeCell ref="AN1:AO1"/>
    <mergeCell ref="R2:S2"/>
    <mergeCell ref="U2:W2"/>
    <mergeCell ref="AL3:AL4"/>
    <mergeCell ref="F32:K32"/>
    <mergeCell ref="W32:AB32"/>
    <mergeCell ref="AM3:AM4"/>
    <mergeCell ref="AN3:AN4"/>
    <mergeCell ref="AO3:AO4"/>
  </mergeCells>
  <conditionalFormatting sqref="C8">
    <cfRule type="duplicateValues" dxfId="10" priority="34"/>
  </conditionalFormatting>
  <conditionalFormatting sqref="C9">
    <cfRule type="duplicateValues" dxfId="9" priority="36"/>
  </conditionalFormatting>
  <conditionalFormatting sqref="C10:C12">
    <cfRule type="duplicateValues" dxfId="8" priority="35"/>
  </conditionalFormatting>
  <conditionalFormatting sqref="D6:AH13">
    <cfRule type="containsText" dxfId="7" priority="28" operator="containsText" text="1/2CP">
      <formula>NOT(ISERROR(SEARCH("1/2CP",D6)))</formula>
    </cfRule>
    <cfRule type="containsText" dxfId="6" priority="29" operator="containsText" text="CN">
      <formula>NOT(ISERROR(SEARCH("CN",D6)))</formula>
    </cfRule>
    <cfRule type="containsText" dxfId="5" priority="30" operator="containsText" text="1/2P">
      <formula>NOT(ISERROR(SEARCH("1/2P",D6)))</formula>
    </cfRule>
    <cfRule type="containsText" dxfId="4" priority="31" operator="containsText" text="1/2">
      <formula>NOT(ISERROR(SEARCH("1/2",D6)))</formula>
    </cfRule>
    <cfRule type="containsText" dxfId="3" priority="32" operator="containsText" text="P">
      <formula>NOT(ISERROR(SEARCH("P",D6)))</formula>
    </cfRule>
    <cfRule type="containsText" dxfId="2" priority="33" operator="containsText" text="v">
      <formula>NOT(ISERROR(SEARCH("v",D6)))</formula>
    </cfRule>
  </conditionalFormatting>
  <conditionalFormatting sqref="AI3:AP3">
    <cfRule type="expression" dxfId="1" priority="47" stopIfTrue="1">
      <formula>"weekdey(r2,u2,1)&gt;5"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D3E85-38C0-41F9-B1C6-79FC7B9134AC}">
  <dimension ref="A1:I66"/>
  <sheetViews>
    <sheetView workbookViewId="0">
      <selection activeCell="G1" sqref="G1"/>
    </sheetView>
  </sheetViews>
  <sheetFormatPr defaultRowHeight="15" x14ac:dyDescent="0.25"/>
  <cols>
    <col min="1" max="1" width="5" customWidth="1"/>
    <col min="2" max="2" width="6.5703125" customWidth="1"/>
    <col min="3" max="3" width="23.28515625" bestFit="1" customWidth="1"/>
    <col min="4" max="4" width="20.85546875" bestFit="1" customWidth="1"/>
    <col min="5" max="5" width="14.85546875" customWidth="1"/>
    <col min="7" max="7" width="9.28515625" customWidth="1"/>
    <col min="8" max="8" width="17" style="11" bestFit="1" customWidth="1"/>
    <col min="9" max="9" width="12.42578125" style="11" bestFit="1" customWidth="1"/>
  </cols>
  <sheetData>
    <row r="1" spans="1:9" ht="47.25" x14ac:dyDescent="0.25">
      <c r="A1" s="5" t="s">
        <v>406</v>
      </c>
      <c r="B1" s="6" t="s">
        <v>404</v>
      </c>
      <c r="C1" s="7" t="s">
        <v>405</v>
      </c>
      <c r="D1" s="7" t="s">
        <v>3</v>
      </c>
      <c r="E1" s="7" t="s">
        <v>443</v>
      </c>
      <c r="F1" s="8" t="s">
        <v>445</v>
      </c>
      <c r="G1" s="9" t="s">
        <v>448</v>
      </c>
      <c r="H1" s="13" t="s">
        <v>451</v>
      </c>
      <c r="I1" s="13" t="s">
        <v>453</v>
      </c>
    </row>
    <row r="2" spans="1:9" ht="15.75" x14ac:dyDescent="0.25">
      <c r="A2" s="3" t="s">
        <v>362</v>
      </c>
      <c r="B2" s="3">
        <v>1</v>
      </c>
      <c r="C2" s="2" t="s">
        <v>408</v>
      </c>
      <c r="D2" s="2" t="s">
        <v>407</v>
      </c>
      <c r="E2" t="s">
        <v>441</v>
      </c>
      <c r="F2" t="s">
        <v>446</v>
      </c>
      <c r="G2" t="s">
        <v>446</v>
      </c>
      <c r="H2" s="11">
        <v>0.33333333333333331</v>
      </c>
      <c r="I2" s="11">
        <v>0.70833333333333337</v>
      </c>
    </row>
    <row r="3" spans="1:9" ht="15.75" x14ac:dyDescent="0.25">
      <c r="A3" s="3" t="s">
        <v>275</v>
      </c>
      <c r="B3" s="3">
        <v>2</v>
      </c>
      <c r="C3" s="2" t="s">
        <v>409</v>
      </c>
      <c r="D3" s="2" t="s">
        <v>407</v>
      </c>
      <c r="E3" t="s">
        <v>441</v>
      </c>
      <c r="F3" t="s">
        <v>446</v>
      </c>
      <c r="G3" t="s">
        <v>446</v>
      </c>
      <c r="H3" s="11">
        <v>0.33333333333333331</v>
      </c>
      <c r="I3" s="11">
        <v>0.70833333333333337</v>
      </c>
    </row>
    <row r="4" spans="1:9" ht="15.75" x14ac:dyDescent="0.25">
      <c r="A4" s="3" t="s">
        <v>112</v>
      </c>
      <c r="B4" s="3">
        <v>3</v>
      </c>
      <c r="C4" s="2" t="s">
        <v>410</v>
      </c>
      <c r="D4" s="2" t="s">
        <v>407</v>
      </c>
      <c r="E4" t="s">
        <v>441</v>
      </c>
      <c r="F4" t="s">
        <v>446</v>
      </c>
      <c r="G4" t="s">
        <v>446</v>
      </c>
      <c r="H4" s="11">
        <v>0.33333333333333331</v>
      </c>
      <c r="I4" s="11">
        <v>0.70833333333333337</v>
      </c>
    </row>
    <row r="5" spans="1:9" ht="15.75" x14ac:dyDescent="0.25">
      <c r="A5" s="3" t="s">
        <v>78</v>
      </c>
      <c r="B5" s="3">
        <v>4</v>
      </c>
      <c r="C5" s="2" t="s">
        <v>411</v>
      </c>
      <c r="D5" s="2" t="s">
        <v>407</v>
      </c>
      <c r="E5" t="s">
        <v>441</v>
      </c>
      <c r="F5" t="s">
        <v>446</v>
      </c>
      <c r="G5" t="s">
        <v>446</v>
      </c>
      <c r="H5" s="11">
        <v>0.33333333333333331</v>
      </c>
      <c r="I5" s="11">
        <v>0.70833333333333337</v>
      </c>
    </row>
    <row r="6" spans="1:9" ht="15.75" x14ac:dyDescent="0.25">
      <c r="A6" s="3" t="s">
        <v>249</v>
      </c>
      <c r="B6" s="3">
        <v>5</v>
      </c>
      <c r="C6" s="2" t="s">
        <v>412</v>
      </c>
      <c r="D6" s="2" t="s">
        <v>407</v>
      </c>
      <c r="E6" t="s">
        <v>441</v>
      </c>
      <c r="F6" t="s">
        <v>446</v>
      </c>
      <c r="G6" t="s">
        <v>446</v>
      </c>
      <c r="H6" s="11">
        <v>0.33333333333333331</v>
      </c>
      <c r="I6" s="11">
        <v>0.70833333333333337</v>
      </c>
    </row>
    <row r="7" spans="1:9" ht="15.75" x14ac:dyDescent="0.25">
      <c r="A7" s="3" t="s">
        <v>304</v>
      </c>
      <c r="B7" s="3">
        <v>6</v>
      </c>
      <c r="C7" s="2" t="s">
        <v>413</v>
      </c>
      <c r="D7" s="2" t="s">
        <v>407</v>
      </c>
      <c r="E7" t="s">
        <v>441</v>
      </c>
      <c r="F7" t="s">
        <v>446</v>
      </c>
      <c r="G7" t="s">
        <v>446</v>
      </c>
      <c r="H7" s="11">
        <v>0.33333333333333331</v>
      </c>
      <c r="I7" s="11">
        <v>0.70833333333333337</v>
      </c>
    </row>
    <row r="8" spans="1:9" ht="15.75" x14ac:dyDescent="0.25">
      <c r="A8" s="3" t="s">
        <v>338</v>
      </c>
      <c r="B8" s="3">
        <v>7</v>
      </c>
      <c r="C8" s="2" t="s">
        <v>414</v>
      </c>
      <c r="D8" s="2" t="s">
        <v>407</v>
      </c>
      <c r="E8" t="s">
        <v>441</v>
      </c>
      <c r="F8" t="s">
        <v>446</v>
      </c>
      <c r="G8" t="s">
        <v>446</v>
      </c>
      <c r="H8" s="11">
        <v>0.33333333333333331</v>
      </c>
      <c r="I8" s="11">
        <v>0.70833333333333337</v>
      </c>
    </row>
    <row r="9" spans="1:9" ht="15.75" x14ac:dyDescent="0.25">
      <c r="A9" s="3" t="s">
        <v>177</v>
      </c>
      <c r="B9" s="3">
        <v>8</v>
      </c>
      <c r="C9" s="2" t="s">
        <v>415</v>
      </c>
      <c r="D9" s="2" t="s">
        <v>407</v>
      </c>
      <c r="E9" t="s">
        <v>441</v>
      </c>
      <c r="F9" t="s">
        <v>447</v>
      </c>
      <c r="G9" t="s">
        <v>447</v>
      </c>
      <c r="H9" s="11">
        <v>0.33333333333333331</v>
      </c>
      <c r="I9" s="11">
        <v>0.70833333333333337</v>
      </c>
    </row>
    <row r="10" spans="1:9" ht="15.75" x14ac:dyDescent="0.25">
      <c r="A10" s="3" t="s">
        <v>18</v>
      </c>
      <c r="B10" s="3">
        <v>9</v>
      </c>
      <c r="C10" s="2" t="s">
        <v>416</v>
      </c>
      <c r="D10" s="2" t="s">
        <v>442</v>
      </c>
      <c r="E10" t="s">
        <v>441</v>
      </c>
      <c r="F10" t="s">
        <v>446</v>
      </c>
      <c r="G10" t="s">
        <v>447</v>
      </c>
      <c r="H10" s="11">
        <v>0.3125</v>
      </c>
      <c r="I10" s="11">
        <v>0.6875</v>
      </c>
    </row>
    <row r="11" spans="1:9" ht="15.75" x14ac:dyDescent="0.25">
      <c r="A11" s="3" t="s">
        <v>64</v>
      </c>
      <c r="B11" s="3">
        <v>10</v>
      </c>
      <c r="C11" s="2" t="s">
        <v>417</v>
      </c>
      <c r="D11" s="2" t="s">
        <v>442</v>
      </c>
      <c r="E11" t="s">
        <v>441</v>
      </c>
      <c r="F11" t="s">
        <v>446</v>
      </c>
      <c r="G11" t="s">
        <v>446</v>
      </c>
      <c r="H11" s="11">
        <v>0.3125</v>
      </c>
      <c r="I11" s="11">
        <v>0.6875</v>
      </c>
    </row>
    <row r="12" spans="1:9" ht="15.75" x14ac:dyDescent="0.25">
      <c r="A12" s="3" t="s">
        <v>66</v>
      </c>
      <c r="B12" s="3">
        <v>11</v>
      </c>
      <c r="C12" s="2" t="s">
        <v>418</v>
      </c>
      <c r="D12" s="2" t="s">
        <v>442</v>
      </c>
      <c r="E12" t="s">
        <v>441</v>
      </c>
      <c r="F12" t="s">
        <v>446</v>
      </c>
      <c r="G12" t="s">
        <v>446</v>
      </c>
      <c r="H12" s="11">
        <v>0.3125</v>
      </c>
      <c r="I12" s="11">
        <v>0.6875</v>
      </c>
    </row>
    <row r="13" spans="1:9" ht="15.75" x14ac:dyDescent="0.25">
      <c r="A13" s="3" t="s">
        <v>148</v>
      </c>
      <c r="B13" s="3">
        <v>12</v>
      </c>
      <c r="C13" s="2" t="s">
        <v>419</v>
      </c>
      <c r="D13" s="2" t="s">
        <v>442</v>
      </c>
      <c r="E13" t="s">
        <v>441</v>
      </c>
      <c r="F13" t="s">
        <v>446</v>
      </c>
      <c r="G13" t="s">
        <v>446</v>
      </c>
      <c r="H13" s="11">
        <v>0.3125</v>
      </c>
      <c r="I13" s="11">
        <v>0.6875</v>
      </c>
    </row>
    <row r="14" spans="1:9" ht="15.75" x14ac:dyDescent="0.25">
      <c r="A14" s="3" t="s">
        <v>63</v>
      </c>
      <c r="B14" s="3">
        <v>13</v>
      </c>
      <c r="C14" s="2" t="s">
        <v>420</v>
      </c>
      <c r="D14" s="2" t="s">
        <v>442</v>
      </c>
      <c r="E14" t="s">
        <v>441</v>
      </c>
      <c r="F14" t="s">
        <v>446</v>
      </c>
      <c r="G14" t="s">
        <v>446</v>
      </c>
      <c r="H14" s="11">
        <v>0.3125</v>
      </c>
      <c r="I14" s="11">
        <v>0.6875</v>
      </c>
    </row>
    <row r="15" spans="1:9" ht="15.75" x14ac:dyDescent="0.25">
      <c r="A15" s="3" t="s">
        <v>62</v>
      </c>
      <c r="B15" s="3">
        <v>14</v>
      </c>
      <c r="C15" s="2" t="s">
        <v>421</v>
      </c>
      <c r="D15" s="2" t="s">
        <v>442</v>
      </c>
      <c r="E15" t="s">
        <v>441</v>
      </c>
      <c r="F15" t="s">
        <v>446</v>
      </c>
      <c r="G15" t="s">
        <v>446</v>
      </c>
      <c r="H15" s="11">
        <v>0.3125</v>
      </c>
      <c r="I15" s="11">
        <v>0.6875</v>
      </c>
    </row>
    <row r="16" spans="1:9" ht="15.75" x14ac:dyDescent="0.25">
      <c r="A16" s="3" t="s">
        <v>145</v>
      </c>
      <c r="B16" s="3">
        <v>15</v>
      </c>
      <c r="C16" s="2" t="s">
        <v>422</v>
      </c>
      <c r="D16" s="2" t="s">
        <v>442</v>
      </c>
      <c r="E16" t="s">
        <v>441</v>
      </c>
      <c r="F16" t="s">
        <v>447</v>
      </c>
      <c r="G16" t="s">
        <v>447</v>
      </c>
      <c r="H16" s="11">
        <v>0.33333333333333331</v>
      </c>
      <c r="I16" s="11">
        <v>0.70833333333333337</v>
      </c>
    </row>
    <row r="17" spans="1:9" ht="15.75" x14ac:dyDescent="0.25">
      <c r="A17" s="3" t="s">
        <v>143</v>
      </c>
      <c r="B17" s="3">
        <v>16</v>
      </c>
      <c r="C17" s="2" t="s">
        <v>423</v>
      </c>
      <c r="D17" s="2" t="s">
        <v>442</v>
      </c>
      <c r="E17" t="s">
        <v>441</v>
      </c>
      <c r="F17" t="s">
        <v>447</v>
      </c>
      <c r="G17" t="s">
        <v>447</v>
      </c>
      <c r="H17" s="11">
        <v>0.33333333333333331</v>
      </c>
      <c r="I17" s="11">
        <v>0.70833333333333337</v>
      </c>
    </row>
    <row r="18" spans="1:9" ht="15.75" x14ac:dyDescent="0.25">
      <c r="A18" s="3" t="s">
        <v>163</v>
      </c>
      <c r="B18" s="3">
        <v>17</v>
      </c>
      <c r="C18" s="2" t="s">
        <v>424</v>
      </c>
      <c r="D18" s="2" t="s">
        <v>442</v>
      </c>
      <c r="E18" t="s">
        <v>441</v>
      </c>
      <c r="F18" t="s">
        <v>447</v>
      </c>
      <c r="G18" t="s">
        <v>447</v>
      </c>
      <c r="H18" s="11">
        <v>0.3125</v>
      </c>
      <c r="I18" s="11">
        <v>0.6875</v>
      </c>
    </row>
    <row r="19" spans="1:9" ht="15.75" x14ac:dyDescent="0.25">
      <c r="A19" s="3" t="s">
        <v>337</v>
      </c>
      <c r="B19" s="3">
        <v>18</v>
      </c>
      <c r="C19" s="2" t="s">
        <v>425</v>
      </c>
      <c r="D19" s="2" t="s">
        <v>442</v>
      </c>
      <c r="E19" t="s">
        <v>441</v>
      </c>
      <c r="F19" t="s">
        <v>446</v>
      </c>
      <c r="G19" t="s">
        <v>446</v>
      </c>
      <c r="H19" s="11">
        <v>0.3125</v>
      </c>
      <c r="I19" s="11">
        <v>0.6875</v>
      </c>
    </row>
    <row r="20" spans="1:9" ht="15.75" x14ac:dyDescent="0.25">
      <c r="A20" s="3" t="s">
        <v>390</v>
      </c>
      <c r="B20" s="3">
        <v>19</v>
      </c>
      <c r="C20" s="2" t="s">
        <v>426</v>
      </c>
      <c r="D20" s="2" t="s">
        <v>442</v>
      </c>
      <c r="E20" t="s">
        <v>441</v>
      </c>
      <c r="F20" t="s">
        <v>446</v>
      </c>
      <c r="G20" t="s">
        <v>446</v>
      </c>
      <c r="H20" s="11">
        <v>0.3125</v>
      </c>
      <c r="I20" s="11">
        <v>0.6875</v>
      </c>
    </row>
    <row r="21" spans="1:9" ht="15.75" x14ac:dyDescent="0.25">
      <c r="A21" s="3" t="s">
        <v>103</v>
      </c>
      <c r="B21" s="3">
        <v>20</v>
      </c>
      <c r="C21" s="2" t="s">
        <v>427</v>
      </c>
      <c r="D21" s="2" t="s">
        <v>442</v>
      </c>
      <c r="E21" t="s">
        <v>441</v>
      </c>
      <c r="F21" t="s">
        <v>447</v>
      </c>
      <c r="G21" t="s">
        <v>447</v>
      </c>
      <c r="H21" s="11">
        <v>0.33333333333333331</v>
      </c>
      <c r="I21" s="11">
        <v>0.70833333333333337</v>
      </c>
    </row>
    <row r="22" spans="1:9" ht="15.75" x14ac:dyDescent="0.25">
      <c r="A22" s="3" t="s">
        <v>397</v>
      </c>
      <c r="B22" s="3">
        <v>21</v>
      </c>
      <c r="C22" s="2" t="s">
        <v>429</v>
      </c>
      <c r="D22" s="2" t="s">
        <v>428</v>
      </c>
      <c r="E22" t="s">
        <v>441</v>
      </c>
      <c r="F22" t="s">
        <v>446</v>
      </c>
      <c r="G22" t="s">
        <v>447</v>
      </c>
      <c r="H22" s="11">
        <v>0.33333333333333331</v>
      </c>
      <c r="I22" s="11">
        <v>0.70833333333333337</v>
      </c>
    </row>
    <row r="23" spans="1:9" ht="15.75" x14ac:dyDescent="0.25">
      <c r="A23" s="3" t="s">
        <v>396</v>
      </c>
      <c r="B23" s="3">
        <v>22</v>
      </c>
      <c r="C23" s="2" t="s">
        <v>430</v>
      </c>
      <c r="D23" s="2" t="s">
        <v>428</v>
      </c>
      <c r="E23" t="s">
        <v>441</v>
      </c>
      <c r="F23" t="s">
        <v>447</v>
      </c>
      <c r="G23" t="s">
        <v>447</v>
      </c>
      <c r="H23" s="11">
        <v>0.33333333333333331</v>
      </c>
      <c r="I23" s="11">
        <v>0.70833333333333337</v>
      </c>
    </row>
    <row r="24" spans="1:9" ht="15.75" x14ac:dyDescent="0.25">
      <c r="A24" s="3" t="s">
        <v>398</v>
      </c>
      <c r="B24" s="3">
        <v>23</v>
      </c>
      <c r="C24" s="2" t="s">
        <v>431</v>
      </c>
      <c r="D24" s="2" t="s">
        <v>428</v>
      </c>
      <c r="E24" t="s">
        <v>441</v>
      </c>
      <c r="F24" t="s">
        <v>447</v>
      </c>
      <c r="G24" t="s">
        <v>447</v>
      </c>
      <c r="H24" s="11">
        <v>0.33333333333333331</v>
      </c>
      <c r="I24" s="11">
        <v>0.70833333333333337</v>
      </c>
    </row>
    <row r="25" spans="1:9" ht="15.75" x14ac:dyDescent="0.25">
      <c r="A25" s="3" t="s">
        <v>403</v>
      </c>
      <c r="B25" s="3">
        <v>24</v>
      </c>
      <c r="C25" s="2" t="s">
        <v>432</v>
      </c>
      <c r="D25" s="2" t="s">
        <v>428</v>
      </c>
      <c r="E25" t="s">
        <v>441</v>
      </c>
      <c r="F25" t="s">
        <v>447</v>
      </c>
      <c r="G25" t="s">
        <v>447</v>
      </c>
      <c r="H25" s="11">
        <v>0.33333333333333331</v>
      </c>
      <c r="I25" s="11">
        <v>0.70833333333333337</v>
      </c>
    </row>
    <row r="26" spans="1:9" ht="15.75" x14ac:dyDescent="0.25">
      <c r="A26" s="3" t="s">
        <v>134</v>
      </c>
      <c r="B26" s="3">
        <v>25</v>
      </c>
      <c r="C26" s="2" t="s">
        <v>433</v>
      </c>
      <c r="D26" s="2" t="s">
        <v>428</v>
      </c>
      <c r="E26" t="s">
        <v>441</v>
      </c>
      <c r="F26" t="s">
        <v>447</v>
      </c>
      <c r="G26" t="s">
        <v>447</v>
      </c>
      <c r="H26" s="11">
        <v>0.33333333333333331</v>
      </c>
      <c r="I26" s="11">
        <v>0.70833333333333337</v>
      </c>
    </row>
    <row r="27" spans="1:9" ht="15.75" x14ac:dyDescent="0.25">
      <c r="A27" s="3" t="s">
        <v>334</v>
      </c>
      <c r="B27" s="3">
        <v>26</v>
      </c>
      <c r="C27" s="2" t="s">
        <v>434</v>
      </c>
      <c r="D27" s="2" t="s">
        <v>428</v>
      </c>
      <c r="E27" t="s">
        <v>441</v>
      </c>
      <c r="F27" t="s">
        <v>447</v>
      </c>
      <c r="G27" t="s">
        <v>447</v>
      </c>
      <c r="H27" s="11">
        <v>0.33333333333333331</v>
      </c>
      <c r="I27" s="11">
        <v>0.70833333333333337</v>
      </c>
    </row>
    <row r="28" spans="1:9" ht="15.75" x14ac:dyDescent="0.25">
      <c r="A28" s="3" t="s">
        <v>386</v>
      </c>
      <c r="B28" s="3">
        <v>27</v>
      </c>
      <c r="C28" s="2" t="s">
        <v>435</v>
      </c>
      <c r="D28" s="2" t="s">
        <v>428</v>
      </c>
      <c r="E28" t="s">
        <v>441</v>
      </c>
      <c r="F28" t="s">
        <v>447</v>
      </c>
      <c r="G28" t="s">
        <v>447</v>
      </c>
      <c r="H28" s="11">
        <v>0.33333333333333331</v>
      </c>
      <c r="I28" s="11">
        <v>0.70833333333333337</v>
      </c>
    </row>
    <row r="29" spans="1:9" ht="15.75" x14ac:dyDescent="0.25">
      <c r="A29" s="3" t="s">
        <v>389</v>
      </c>
      <c r="B29" s="3">
        <v>28</v>
      </c>
      <c r="C29" s="2" t="s">
        <v>436</v>
      </c>
      <c r="D29" s="2" t="s">
        <v>428</v>
      </c>
      <c r="E29" t="s">
        <v>440</v>
      </c>
      <c r="F29" t="s">
        <v>447</v>
      </c>
      <c r="G29" t="s">
        <v>447</v>
      </c>
      <c r="H29" s="11">
        <v>0.33333333333333331</v>
      </c>
      <c r="I29" s="11">
        <v>0.70833333333333337</v>
      </c>
    </row>
    <row r="30" spans="1:9" ht="15.75" x14ac:dyDescent="0.25">
      <c r="A30" s="3" t="s">
        <v>393</v>
      </c>
      <c r="B30" s="3">
        <v>29</v>
      </c>
      <c r="C30" s="2" t="s">
        <v>437</v>
      </c>
      <c r="D30" s="2" t="s">
        <v>428</v>
      </c>
      <c r="E30" t="s">
        <v>440</v>
      </c>
      <c r="F30" t="s">
        <v>447</v>
      </c>
      <c r="G30" t="s">
        <v>447</v>
      </c>
      <c r="H30" s="11">
        <v>0.33333333333333331</v>
      </c>
      <c r="I30" s="11">
        <v>0.70833333333333337</v>
      </c>
    </row>
    <row r="31" spans="1:9" ht="15.75" x14ac:dyDescent="0.25">
      <c r="A31" s="3" t="s">
        <v>399</v>
      </c>
      <c r="B31" s="3">
        <v>30</v>
      </c>
      <c r="C31" s="2" t="s">
        <v>439</v>
      </c>
      <c r="D31" s="2" t="s">
        <v>428</v>
      </c>
      <c r="E31" t="s">
        <v>441</v>
      </c>
      <c r="F31" t="s">
        <v>447</v>
      </c>
      <c r="G31" t="s">
        <v>447</v>
      </c>
      <c r="H31" s="11">
        <v>0.33333333333333331</v>
      </c>
      <c r="I31" s="11">
        <v>0.70833333333333337</v>
      </c>
    </row>
    <row r="32" spans="1:9" ht="15.75" x14ac:dyDescent="0.25">
      <c r="A32" s="3" t="s">
        <v>68</v>
      </c>
      <c r="B32" s="3">
        <v>31</v>
      </c>
      <c r="C32" s="2" t="s">
        <v>69</v>
      </c>
      <c r="D32" s="2"/>
      <c r="E32" t="s">
        <v>440</v>
      </c>
      <c r="H32" s="11">
        <v>0.33333333333333331</v>
      </c>
      <c r="I32" s="11">
        <v>0.70833333333333337</v>
      </c>
    </row>
    <row r="33" spans="1:9" ht="15.75" x14ac:dyDescent="0.25">
      <c r="A33" s="3" t="s">
        <v>70</v>
      </c>
      <c r="B33" s="3">
        <v>32</v>
      </c>
      <c r="C33" s="2" t="s">
        <v>71</v>
      </c>
      <c r="D33" s="2"/>
      <c r="E33" t="s">
        <v>440</v>
      </c>
      <c r="H33" s="11">
        <v>0.33333333333333331</v>
      </c>
      <c r="I33" s="11">
        <v>0.70833333333333337</v>
      </c>
    </row>
    <row r="34" spans="1:9" ht="15.75" x14ac:dyDescent="0.25">
      <c r="A34" s="3" t="s">
        <v>72</v>
      </c>
      <c r="B34" s="3">
        <v>33</v>
      </c>
      <c r="C34" s="2" t="s">
        <v>73</v>
      </c>
      <c r="D34" s="2"/>
      <c r="E34" t="s">
        <v>440</v>
      </c>
      <c r="H34" s="11">
        <v>0.33333333333333331</v>
      </c>
      <c r="I34" s="11">
        <v>0.70833333333333337</v>
      </c>
    </row>
    <row r="35" spans="1:9" ht="15.75" x14ac:dyDescent="0.25">
      <c r="A35" s="3" t="s">
        <v>74</v>
      </c>
      <c r="B35" s="3">
        <v>34</v>
      </c>
      <c r="C35" s="2" t="s">
        <v>75</v>
      </c>
      <c r="D35" s="2"/>
      <c r="E35" t="s">
        <v>440</v>
      </c>
      <c r="H35" s="11">
        <v>0.33333333333333331</v>
      </c>
      <c r="I35" s="11">
        <v>0.70833333333333337</v>
      </c>
    </row>
    <row r="36" spans="1:9" ht="15.75" x14ac:dyDescent="0.25">
      <c r="A36" s="3" t="s">
        <v>76</v>
      </c>
      <c r="B36" s="3">
        <v>35</v>
      </c>
      <c r="C36" s="2" t="s">
        <v>77</v>
      </c>
      <c r="D36" s="2"/>
      <c r="E36" t="s">
        <v>440</v>
      </c>
      <c r="H36" s="11">
        <v>0.33333333333333331</v>
      </c>
      <c r="I36" s="11">
        <v>0.70833333333333337</v>
      </c>
    </row>
    <row r="37" spans="1:9" ht="15.75" x14ac:dyDescent="0.25">
      <c r="A37" s="3" t="s">
        <v>141</v>
      </c>
      <c r="B37" s="3">
        <v>36</v>
      </c>
      <c r="C37" s="2" t="s">
        <v>142</v>
      </c>
      <c r="D37" s="2"/>
      <c r="E37" t="s">
        <v>440</v>
      </c>
      <c r="H37" s="11">
        <v>0.33333333333333331</v>
      </c>
      <c r="I37" s="11">
        <v>0.70833333333333337</v>
      </c>
    </row>
    <row r="38" spans="1:9" ht="15.75" x14ac:dyDescent="0.25">
      <c r="A38" s="3" t="s">
        <v>149</v>
      </c>
      <c r="B38" s="3">
        <v>37</v>
      </c>
      <c r="C38" s="2" t="s">
        <v>150</v>
      </c>
      <c r="D38" s="2"/>
      <c r="E38" t="s">
        <v>440</v>
      </c>
      <c r="H38" s="11">
        <v>0.33333333333333331</v>
      </c>
      <c r="I38" s="11">
        <v>0.70833333333333337</v>
      </c>
    </row>
    <row r="39" spans="1:9" ht="15.75" x14ac:dyDescent="0.25">
      <c r="A39" s="3" t="s">
        <v>151</v>
      </c>
      <c r="B39" s="3">
        <v>38</v>
      </c>
      <c r="C39" s="2" t="s">
        <v>152</v>
      </c>
      <c r="D39" s="2"/>
      <c r="E39" t="s">
        <v>440</v>
      </c>
      <c r="H39" s="11">
        <v>0.33333333333333331</v>
      </c>
      <c r="I39" s="11">
        <v>0.70833333333333337</v>
      </c>
    </row>
    <row r="40" spans="1:9" ht="15.75" x14ac:dyDescent="0.25">
      <c r="A40" s="3" t="s">
        <v>153</v>
      </c>
      <c r="B40" s="3">
        <v>39</v>
      </c>
      <c r="C40" s="2" t="s">
        <v>154</v>
      </c>
      <c r="D40" s="2"/>
      <c r="E40" t="s">
        <v>440</v>
      </c>
      <c r="H40" s="11">
        <v>0.33333333333333331</v>
      </c>
      <c r="I40" s="11">
        <v>0.70833333333333337</v>
      </c>
    </row>
    <row r="41" spans="1:9" ht="15.75" x14ac:dyDescent="0.25">
      <c r="A41" s="3" t="s">
        <v>155</v>
      </c>
      <c r="B41" s="3">
        <v>40</v>
      </c>
      <c r="C41" s="2" t="s">
        <v>156</v>
      </c>
      <c r="D41" s="2"/>
      <c r="E41" t="s">
        <v>440</v>
      </c>
      <c r="H41" s="11">
        <v>0.33333333333333331</v>
      </c>
      <c r="I41" s="11">
        <v>0.70833333333333337</v>
      </c>
    </row>
    <row r="42" spans="1:9" ht="15.75" x14ac:dyDescent="0.25">
      <c r="A42" s="3" t="s">
        <v>157</v>
      </c>
      <c r="B42" s="3">
        <v>41</v>
      </c>
      <c r="C42" s="2" t="s">
        <v>158</v>
      </c>
      <c r="D42" s="2"/>
      <c r="E42" t="s">
        <v>440</v>
      </c>
      <c r="H42" s="11">
        <v>0.33333333333333331</v>
      </c>
      <c r="I42" s="11">
        <v>0.70833333333333337</v>
      </c>
    </row>
    <row r="43" spans="1:9" ht="15.75" x14ac:dyDescent="0.25">
      <c r="A43" s="3" t="s">
        <v>159</v>
      </c>
      <c r="B43" s="3">
        <v>42</v>
      </c>
      <c r="C43" s="2" t="s">
        <v>160</v>
      </c>
      <c r="D43" s="2"/>
      <c r="E43" t="s">
        <v>440</v>
      </c>
      <c r="H43" s="11">
        <v>0.33333333333333331</v>
      </c>
      <c r="I43" s="11">
        <v>0.70833333333333337</v>
      </c>
    </row>
    <row r="44" spans="1:9" ht="15.75" x14ac:dyDescent="0.25">
      <c r="A44" s="3" t="s">
        <v>161</v>
      </c>
      <c r="B44" s="3">
        <v>43</v>
      </c>
      <c r="C44" s="2" t="s">
        <v>162</v>
      </c>
      <c r="D44" s="2"/>
      <c r="E44" t="s">
        <v>440</v>
      </c>
      <c r="H44" s="11">
        <v>0.33333333333333331</v>
      </c>
      <c r="I44" s="11">
        <v>0.70833333333333337</v>
      </c>
    </row>
    <row r="45" spans="1:9" ht="15.75" x14ac:dyDescent="0.25">
      <c r="A45" s="3" t="s">
        <v>169</v>
      </c>
      <c r="B45" s="3">
        <v>44</v>
      </c>
      <c r="C45" s="2" t="s">
        <v>170</v>
      </c>
      <c r="D45" s="2"/>
      <c r="E45" t="s">
        <v>440</v>
      </c>
      <c r="H45" s="11">
        <v>0.33333333333333331</v>
      </c>
      <c r="I45" s="11">
        <v>0.70833333333333337</v>
      </c>
    </row>
    <row r="46" spans="1:9" ht="15.75" x14ac:dyDescent="0.25">
      <c r="A46" s="3" t="s">
        <v>171</v>
      </c>
      <c r="B46" s="3">
        <v>45</v>
      </c>
      <c r="C46" s="2" t="s">
        <v>172</v>
      </c>
      <c r="D46" s="2"/>
      <c r="E46" t="s">
        <v>440</v>
      </c>
      <c r="H46" s="11">
        <v>0.33333333333333331</v>
      </c>
      <c r="I46" s="11">
        <v>0.70833333333333337</v>
      </c>
    </row>
    <row r="47" spans="1:9" ht="15.75" x14ac:dyDescent="0.25">
      <c r="A47" s="3" t="s">
        <v>173</v>
      </c>
      <c r="B47" s="3">
        <v>46</v>
      </c>
      <c r="C47" s="2" t="s">
        <v>174</v>
      </c>
      <c r="D47" s="2"/>
      <c r="E47" t="s">
        <v>440</v>
      </c>
      <c r="H47" s="11">
        <v>0.33333333333333331</v>
      </c>
      <c r="I47" s="11">
        <v>0.70833333333333337</v>
      </c>
    </row>
    <row r="48" spans="1:9" ht="15.75" x14ac:dyDescent="0.25">
      <c r="A48" s="3" t="s">
        <v>175</v>
      </c>
      <c r="B48" s="3">
        <v>47</v>
      </c>
      <c r="C48" s="2" t="s">
        <v>176</v>
      </c>
      <c r="D48" s="2"/>
      <c r="E48" t="s">
        <v>440</v>
      </c>
      <c r="H48" s="11">
        <v>0.33333333333333331</v>
      </c>
      <c r="I48" s="11">
        <v>0.70833333333333337</v>
      </c>
    </row>
    <row r="49" spans="1:9" ht="15.75" x14ac:dyDescent="0.25">
      <c r="A49" s="3" t="s">
        <v>272</v>
      </c>
      <c r="B49" s="3">
        <v>48</v>
      </c>
      <c r="C49" s="2" t="s">
        <v>156</v>
      </c>
      <c r="D49" s="2"/>
      <c r="E49" t="s">
        <v>440</v>
      </c>
      <c r="H49" s="11">
        <v>0.33333333333333331</v>
      </c>
      <c r="I49" s="11">
        <v>0.70833333333333337</v>
      </c>
    </row>
    <row r="50" spans="1:9" ht="15.75" x14ac:dyDescent="0.25">
      <c r="A50" s="3" t="s">
        <v>273</v>
      </c>
      <c r="B50" s="3">
        <v>49</v>
      </c>
      <c r="C50" s="2" t="s">
        <v>274</v>
      </c>
      <c r="D50" s="2"/>
      <c r="E50" t="s">
        <v>440</v>
      </c>
      <c r="H50" s="11">
        <v>0.33333333333333331</v>
      </c>
      <c r="I50" s="11">
        <v>0.70833333333333337</v>
      </c>
    </row>
    <row r="51" spans="1:9" ht="15.75" x14ac:dyDescent="0.25">
      <c r="A51" s="3" t="s">
        <v>297</v>
      </c>
      <c r="B51" s="3">
        <v>50</v>
      </c>
      <c r="C51" s="2" t="s">
        <v>298</v>
      </c>
      <c r="D51" s="2"/>
      <c r="E51" t="s">
        <v>440</v>
      </c>
      <c r="H51" s="11">
        <v>0.33333333333333331</v>
      </c>
      <c r="I51" s="11">
        <v>0.70833333333333337</v>
      </c>
    </row>
    <row r="52" spans="1:9" ht="15.75" x14ac:dyDescent="0.25">
      <c r="A52" s="3" t="s">
        <v>299</v>
      </c>
      <c r="B52" s="3">
        <v>51</v>
      </c>
      <c r="C52" s="2" t="s">
        <v>300</v>
      </c>
      <c r="D52" s="2"/>
      <c r="E52" t="s">
        <v>440</v>
      </c>
      <c r="H52" s="11">
        <v>0.33333333333333331</v>
      </c>
      <c r="I52" s="11">
        <v>0.70833333333333337</v>
      </c>
    </row>
    <row r="53" spans="1:9" ht="15.75" x14ac:dyDescent="0.25">
      <c r="A53" s="3" t="s">
        <v>301</v>
      </c>
      <c r="B53" s="3">
        <v>52</v>
      </c>
      <c r="C53" s="2" t="s">
        <v>274</v>
      </c>
      <c r="D53" s="2"/>
      <c r="E53" t="s">
        <v>440</v>
      </c>
      <c r="H53" s="11">
        <v>0.33333333333333331</v>
      </c>
      <c r="I53" s="11">
        <v>0.70833333333333337</v>
      </c>
    </row>
    <row r="54" spans="1:9" ht="15.75" x14ac:dyDescent="0.25">
      <c r="A54" s="3" t="s">
        <v>302</v>
      </c>
      <c r="B54" s="3">
        <v>53</v>
      </c>
      <c r="C54" s="2" t="s">
        <v>303</v>
      </c>
      <c r="D54" s="2"/>
      <c r="E54" t="s">
        <v>440</v>
      </c>
      <c r="H54" s="11">
        <v>0.33333333333333331</v>
      </c>
      <c r="I54" s="11">
        <v>0.70833333333333337</v>
      </c>
    </row>
    <row r="55" spans="1:9" ht="15.75" x14ac:dyDescent="0.25">
      <c r="A55" s="3" t="s">
        <v>326</v>
      </c>
      <c r="B55" s="3">
        <v>54</v>
      </c>
      <c r="C55" s="2" t="s">
        <v>327</v>
      </c>
      <c r="D55" s="2"/>
      <c r="E55" t="s">
        <v>440</v>
      </c>
      <c r="H55" s="11">
        <v>0.33333333333333331</v>
      </c>
      <c r="I55" s="11">
        <v>0.70833333333333337</v>
      </c>
    </row>
    <row r="56" spans="1:9" ht="15.75" x14ac:dyDescent="0.25">
      <c r="A56" s="3" t="s">
        <v>328</v>
      </c>
      <c r="B56" s="3">
        <v>55</v>
      </c>
      <c r="C56" s="2" t="s">
        <v>329</v>
      </c>
      <c r="D56" s="2"/>
      <c r="E56" t="s">
        <v>440</v>
      </c>
      <c r="H56" s="11">
        <v>0.33333333333333331</v>
      </c>
      <c r="I56" s="11">
        <v>0.70833333333333337</v>
      </c>
    </row>
    <row r="57" spans="1:9" ht="15.75" x14ac:dyDescent="0.25">
      <c r="A57" s="3" t="s">
        <v>330</v>
      </c>
      <c r="B57" s="3">
        <v>56</v>
      </c>
      <c r="C57" s="2" t="s">
        <v>331</v>
      </c>
      <c r="D57" s="2"/>
      <c r="E57" t="s">
        <v>440</v>
      </c>
      <c r="H57" s="11">
        <v>0.33333333333333331</v>
      </c>
      <c r="I57" s="11">
        <v>0.70833333333333337</v>
      </c>
    </row>
    <row r="58" spans="1:9" ht="15.75" x14ac:dyDescent="0.25">
      <c r="A58" s="3" t="s">
        <v>332</v>
      </c>
      <c r="B58" s="3">
        <v>57</v>
      </c>
      <c r="C58" s="2" t="s">
        <v>333</v>
      </c>
      <c r="D58" s="2"/>
      <c r="E58" t="s">
        <v>440</v>
      </c>
      <c r="H58" s="11">
        <v>0.33333333333333331</v>
      </c>
      <c r="I58" s="11">
        <v>0.70833333333333337</v>
      </c>
    </row>
    <row r="59" spans="1:9" ht="15.75" x14ac:dyDescent="0.25">
      <c r="A59" s="3" t="s">
        <v>360</v>
      </c>
      <c r="B59" s="3">
        <v>58</v>
      </c>
      <c r="C59" s="2" t="s">
        <v>361</v>
      </c>
      <c r="D59" s="2"/>
      <c r="E59" t="s">
        <v>440</v>
      </c>
      <c r="H59" s="11">
        <v>0.33333333333333331</v>
      </c>
      <c r="I59" s="11">
        <v>0.70833333333333337</v>
      </c>
    </row>
    <row r="60" spans="1:9" ht="15.75" x14ac:dyDescent="0.25">
      <c r="A60" s="3" t="s">
        <v>382</v>
      </c>
      <c r="B60" s="3">
        <v>59</v>
      </c>
      <c r="C60" s="2" t="s">
        <v>383</v>
      </c>
      <c r="D60" s="2"/>
      <c r="E60" t="s">
        <v>440</v>
      </c>
      <c r="H60" s="11">
        <v>0.33333333333333331</v>
      </c>
      <c r="I60" s="11">
        <v>0.70833333333333337</v>
      </c>
    </row>
    <row r="61" spans="1:9" ht="15.75" x14ac:dyDescent="0.25">
      <c r="A61" s="3" t="s">
        <v>384</v>
      </c>
      <c r="B61" s="3">
        <v>60</v>
      </c>
      <c r="C61" s="2" t="s">
        <v>385</v>
      </c>
      <c r="D61" s="2"/>
      <c r="E61" t="s">
        <v>440</v>
      </c>
      <c r="H61" s="11">
        <v>0.33333333333333331</v>
      </c>
      <c r="I61" s="11">
        <v>0.70833333333333337</v>
      </c>
    </row>
    <row r="62" spans="1:9" ht="15.75" x14ac:dyDescent="0.25">
      <c r="A62" s="3" t="s">
        <v>387</v>
      </c>
      <c r="B62" s="3">
        <v>61</v>
      </c>
      <c r="C62" s="2" t="s">
        <v>388</v>
      </c>
      <c r="D62" s="2"/>
      <c r="E62" t="s">
        <v>440</v>
      </c>
      <c r="H62" s="11">
        <v>0.33333333333333331</v>
      </c>
      <c r="I62" s="11">
        <v>0.70833333333333337</v>
      </c>
    </row>
    <row r="63" spans="1:9" ht="15.75" x14ac:dyDescent="0.25">
      <c r="A63" s="3" t="s">
        <v>391</v>
      </c>
      <c r="B63" s="3">
        <v>62</v>
      </c>
      <c r="C63" s="2" t="s">
        <v>392</v>
      </c>
      <c r="D63" s="2"/>
      <c r="E63" t="s">
        <v>440</v>
      </c>
      <c r="H63" s="11">
        <v>0.33333333333333331</v>
      </c>
      <c r="I63" s="11">
        <v>0.70833333333333337</v>
      </c>
    </row>
    <row r="64" spans="1:9" ht="15.75" x14ac:dyDescent="0.25">
      <c r="A64" s="3" t="s">
        <v>394</v>
      </c>
      <c r="B64" s="3">
        <v>63</v>
      </c>
      <c r="C64" s="2" t="s">
        <v>395</v>
      </c>
      <c r="D64" s="2"/>
      <c r="E64" t="s">
        <v>440</v>
      </c>
      <c r="H64" s="11">
        <v>0.33333333333333331</v>
      </c>
      <c r="I64" s="11">
        <v>0.70833333333333337</v>
      </c>
    </row>
    <row r="65" spans="1:9" ht="15.75" x14ac:dyDescent="0.25">
      <c r="A65" s="3" t="s">
        <v>400</v>
      </c>
      <c r="B65" s="3">
        <v>64</v>
      </c>
      <c r="C65" s="2" t="s">
        <v>401</v>
      </c>
      <c r="D65" s="2"/>
      <c r="E65" t="s">
        <v>440</v>
      </c>
      <c r="H65" s="11">
        <v>0.33333333333333331</v>
      </c>
      <c r="I65" s="11">
        <v>0.70833333333333337</v>
      </c>
    </row>
    <row r="66" spans="1:9" ht="15.75" x14ac:dyDescent="0.25">
      <c r="A66" s="3" t="s">
        <v>402</v>
      </c>
      <c r="B66" s="3">
        <v>65</v>
      </c>
      <c r="C66" s="2" t="s">
        <v>339</v>
      </c>
      <c r="D66" s="2"/>
      <c r="E66" t="s">
        <v>440</v>
      </c>
      <c r="H66" s="11">
        <v>0.33333333333333331</v>
      </c>
      <c r="I66" s="11">
        <v>0.70833333333333337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7C6C6-6E44-4E46-93EB-0CAA4DA6691E}">
  <dimension ref="A1:C24"/>
  <sheetViews>
    <sheetView workbookViewId="0">
      <selection activeCell="G1" sqref="G1"/>
    </sheetView>
  </sheetViews>
  <sheetFormatPr defaultRowHeight="15" x14ac:dyDescent="0.25"/>
  <cols>
    <col min="1" max="1" width="33.140625" bestFit="1" customWidth="1"/>
    <col min="2" max="2" width="27.42578125" bestFit="1" customWidth="1"/>
  </cols>
  <sheetData>
    <row r="1" spans="1:3" x14ac:dyDescent="0.25">
      <c r="A1" s="22" t="s">
        <v>457</v>
      </c>
      <c r="B1" s="22" t="s">
        <v>458</v>
      </c>
      <c r="C1" s="22" t="s">
        <v>459</v>
      </c>
    </row>
    <row r="2" spans="1:3" x14ac:dyDescent="0.25">
      <c r="A2" t="s">
        <v>428</v>
      </c>
      <c r="B2" s="11">
        <v>0.33333333333333331</v>
      </c>
      <c r="C2" s="11">
        <v>0.70833333333333337</v>
      </c>
    </row>
    <row r="3" spans="1:3" x14ac:dyDescent="0.25">
      <c r="A3" t="s">
        <v>407</v>
      </c>
      <c r="B3" s="11">
        <v>0.33333333333333331</v>
      </c>
      <c r="C3" s="11">
        <v>0.70833333333333337</v>
      </c>
    </row>
    <row r="4" spans="1:3" x14ac:dyDescent="0.25">
      <c r="A4" t="s">
        <v>460</v>
      </c>
      <c r="B4" s="11">
        <v>0.3125</v>
      </c>
      <c r="C4" s="11">
        <v>0.6875</v>
      </c>
    </row>
    <row r="6" spans="1:3" x14ac:dyDescent="0.25">
      <c r="A6" s="26" t="s">
        <v>461</v>
      </c>
      <c r="B6" s="26"/>
      <c r="C6" s="26"/>
    </row>
    <row r="7" spans="1:3" x14ac:dyDescent="0.25">
      <c r="A7" t="s">
        <v>462</v>
      </c>
      <c r="B7" s="23">
        <v>30000</v>
      </c>
      <c r="C7" t="s">
        <v>463</v>
      </c>
    </row>
    <row r="8" spans="1:3" x14ac:dyDescent="0.25">
      <c r="A8" t="s">
        <v>464</v>
      </c>
      <c r="B8" s="23">
        <v>50000</v>
      </c>
      <c r="C8" t="s">
        <v>463</v>
      </c>
    </row>
    <row r="9" spans="1:3" x14ac:dyDescent="0.25">
      <c r="A9" t="s">
        <v>465</v>
      </c>
      <c r="B9" s="24" t="s">
        <v>466</v>
      </c>
    </row>
    <row r="10" spans="1:3" x14ac:dyDescent="0.25">
      <c r="A10" t="s">
        <v>467</v>
      </c>
      <c r="B10" s="25" t="s">
        <v>468</v>
      </c>
    </row>
    <row r="13" spans="1:3" x14ac:dyDescent="0.25">
      <c r="A13" s="26" t="s">
        <v>469</v>
      </c>
      <c r="B13" s="26"/>
      <c r="C13" s="26"/>
    </row>
    <row r="14" spans="1:3" x14ac:dyDescent="0.25">
      <c r="A14" t="s">
        <v>470</v>
      </c>
      <c r="B14" s="23">
        <v>50000</v>
      </c>
      <c r="C14" t="s">
        <v>463</v>
      </c>
    </row>
    <row r="15" spans="1:3" x14ac:dyDescent="0.25">
      <c r="A15" t="s">
        <v>472</v>
      </c>
      <c r="B15" s="24" t="s">
        <v>475</v>
      </c>
    </row>
    <row r="16" spans="1:3" x14ac:dyDescent="0.25">
      <c r="A16" t="s">
        <v>471</v>
      </c>
      <c r="B16" s="24" t="s">
        <v>474</v>
      </c>
    </row>
    <row r="17" spans="1:3" x14ac:dyDescent="0.25">
      <c r="A17" t="s">
        <v>473</v>
      </c>
      <c r="B17" s="25" t="s">
        <v>468</v>
      </c>
    </row>
    <row r="20" spans="1:3" x14ac:dyDescent="0.25">
      <c r="A20" s="26" t="s">
        <v>476</v>
      </c>
      <c r="B20" s="26"/>
      <c r="C20" s="26"/>
    </row>
    <row r="21" spans="1:3" x14ac:dyDescent="0.25">
      <c r="A21" t="s">
        <v>477</v>
      </c>
      <c r="B21" s="23" t="s">
        <v>478</v>
      </c>
    </row>
    <row r="22" spans="1:3" x14ac:dyDescent="0.25">
      <c r="A22" t="s">
        <v>472</v>
      </c>
      <c r="B22" s="24" t="s">
        <v>479</v>
      </c>
    </row>
    <row r="23" spans="1:3" x14ac:dyDescent="0.25">
      <c r="A23" t="s">
        <v>480</v>
      </c>
      <c r="B23" s="24" t="s">
        <v>481</v>
      </c>
    </row>
    <row r="24" spans="1:3" x14ac:dyDescent="0.25">
      <c r="B24" s="25"/>
    </row>
  </sheetData>
  <pageMargins left="0.7" right="0.7" top="0.75" bottom="0.75" header="0.3" footer="0.3"/>
  <pageSetup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PDF" shapeId="3073" r:id="rId4">
          <objectPr defaultSize="0" autoPict="0" r:id="rId5">
            <anchor moveWithCells="1">
              <from>
                <xdr:col>7</xdr:col>
                <xdr:colOff>247650</xdr:colOff>
                <xdr:row>0</xdr:row>
                <xdr:rowOff>0</xdr:rowOff>
              </from>
              <to>
                <xdr:col>15</xdr:col>
                <xdr:colOff>161925</xdr:colOff>
                <xdr:row>35</xdr:row>
                <xdr:rowOff>114300</xdr:rowOff>
              </to>
            </anchor>
          </objectPr>
        </oleObject>
      </mc:Choice>
      <mc:Fallback>
        <oleObject progId="PDF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Data_Cong</vt:lpstr>
      <vt:lpstr>BANG_CHAM_CONG</vt:lpstr>
      <vt:lpstr>Data_NV</vt:lpstr>
      <vt:lpstr>NQ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</dc:title>
  <dc:creator>PC</dc:creator>
  <cp:lastModifiedBy>PC</cp:lastModifiedBy>
  <dcterms:created xsi:type="dcterms:W3CDTF">2025-10-01T07:04:14Z</dcterms:created>
  <dcterms:modified xsi:type="dcterms:W3CDTF">2025-10-01T08:08:00Z</dcterms:modified>
</cp:coreProperties>
</file>