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MAYCHUDELL\PKT - Copy 2\01 KTT\CHAM CONG\"/>
    </mc:Choice>
  </mc:AlternateContent>
  <xr:revisionPtr revIDLastSave="0" documentId="13_ncr:1_{61B5285C-8142-45E3-A355-B50FE4517F31}" xr6:coauthVersionLast="47" xr6:coauthVersionMax="47" xr10:uidLastSave="{00000000-0000-0000-0000-000000000000}"/>
  <bookViews>
    <workbookView xWindow="-120" yWindow="-120" windowWidth="29040" windowHeight="15720" xr2:uid="{7D0D8955-9970-4CC8-A9C3-9E0BDCE4E355}"/>
  </bookViews>
  <sheets>
    <sheet name="Data_Cong" sheetId="1" r:id="rId1"/>
    <sheet name="BANG_CHAM_CONG" sheetId="4" r:id="rId2"/>
    <sheet name="Data_NV" sheetId="2" state="hidden" r:id="rId3"/>
    <sheet name="NQ" sheetId="3" state="hidden" r:id="rId4"/>
  </sheets>
  <definedNames>
    <definedName name="_xlnm._FilterDatabase" localSheetId="0" hidden="1">Data_Cong!$A$2:$S$362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1" l="1"/>
  <c r="R3" i="1" s="1"/>
  <c r="U4" i="1"/>
  <c r="R4" i="1" s="1"/>
  <c r="U5" i="1"/>
  <c r="R5" i="1" s="1"/>
  <c r="U6" i="1"/>
  <c r="R6" i="1" s="1"/>
  <c r="U7" i="1"/>
  <c r="R7" i="1" s="1"/>
  <c r="U8" i="1"/>
  <c r="R8" i="1" s="1"/>
  <c r="U9" i="1"/>
  <c r="R9" i="1" s="1"/>
  <c r="U10" i="1"/>
  <c r="R10" i="1" s="1"/>
  <c r="U11" i="1"/>
  <c r="R11" i="1" s="1"/>
  <c r="U12" i="1"/>
  <c r="R12" i="1" s="1"/>
  <c r="U13" i="1"/>
  <c r="R13" i="1" s="1"/>
  <c r="U14" i="1"/>
  <c r="R14" i="1" s="1"/>
  <c r="U15" i="1"/>
  <c r="R15" i="1" s="1"/>
  <c r="U16" i="1"/>
  <c r="R16" i="1" s="1"/>
  <c r="U17" i="1"/>
  <c r="R17" i="1" s="1"/>
  <c r="U18" i="1"/>
  <c r="R18" i="1" s="1"/>
  <c r="U19" i="1"/>
  <c r="R19" i="1" s="1"/>
  <c r="U20" i="1"/>
  <c r="R20" i="1" s="1"/>
  <c r="U21" i="1"/>
  <c r="R21" i="1" s="1"/>
  <c r="U22" i="1"/>
  <c r="R22" i="1" s="1"/>
  <c r="U23" i="1"/>
  <c r="R23" i="1" s="1"/>
  <c r="U24" i="1"/>
  <c r="R24" i="1" s="1"/>
  <c r="U25" i="1"/>
  <c r="R25" i="1" s="1"/>
  <c r="U26" i="1"/>
  <c r="R26" i="1" s="1"/>
  <c r="U27" i="1"/>
  <c r="R27" i="1" s="1"/>
  <c r="U28" i="1"/>
  <c r="R28" i="1" s="1"/>
  <c r="U29" i="1"/>
  <c r="R29" i="1" s="1"/>
  <c r="U30" i="1"/>
  <c r="R30" i="1" s="1"/>
  <c r="U31" i="1"/>
  <c r="R31" i="1" s="1"/>
  <c r="U32" i="1"/>
  <c r="R32" i="1" s="1"/>
  <c r="U33" i="1"/>
  <c r="R33" i="1" s="1"/>
  <c r="U34" i="1"/>
  <c r="R34" i="1" s="1"/>
  <c r="U35" i="1"/>
  <c r="R35" i="1" s="1"/>
  <c r="U36" i="1"/>
  <c r="R36" i="1" s="1"/>
  <c r="U37" i="1"/>
  <c r="R37" i="1" s="1"/>
  <c r="U38" i="1"/>
  <c r="R38" i="1" s="1"/>
  <c r="U39" i="1"/>
  <c r="R39" i="1" s="1"/>
  <c r="U40" i="1"/>
  <c r="R40" i="1" s="1"/>
  <c r="U41" i="1"/>
  <c r="R41" i="1" s="1"/>
  <c r="U42" i="1"/>
  <c r="R42" i="1" s="1"/>
  <c r="U43" i="1"/>
  <c r="R43" i="1" s="1"/>
  <c r="U44" i="1"/>
  <c r="R44" i="1" s="1"/>
  <c r="U45" i="1"/>
  <c r="R45" i="1" s="1"/>
  <c r="U46" i="1"/>
  <c r="R46" i="1" s="1"/>
  <c r="U47" i="1"/>
  <c r="R47" i="1" s="1"/>
  <c r="U48" i="1"/>
  <c r="R48" i="1" s="1"/>
  <c r="U49" i="1"/>
  <c r="R49" i="1" s="1"/>
  <c r="U50" i="1"/>
  <c r="R50" i="1" s="1"/>
  <c r="U51" i="1"/>
  <c r="R51" i="1" s="1"/>
  <c r="U52" i="1"/>
  <c r="R52" i="1" s="1"/>
  <c r="U53" i="1"/>
  <c r="R53" i="1" s="1"/>
  <c r="U54" i="1"/>
  <c r="R54" i="1" s="1"/>
  <c r="U55" i="1"/>
  <c r="R55" i="1" s="1"/>
  <c r="U56" i="1"/>
  <c r="R56" i="1" s="1"/>
  <c r="U57" i="1"/>
  <c r="R57" i="1" s="1"/>
  <c r="U58" i="1"/>
  <c r="R58" i="1" s="1"/>
  <c r="U59" i="1"/>
  <c r="R59" i="1" s="1"/>
  <c r="U60" i="1"/>
  <c r="R60" i="1" s="1"/>
  <c r="U61" i="1"/>
  <c r="R61" i="1" s="1"/>
  <c r="U62" i="1"/>
  <c r="R62" i="1" s="1"/>
  <c r="U63" i="1"/>
  <c r="R63" i="1" s="1"/>
  <c r="U64" i="1"/>
  <c r="R64" i="1" s="1"/>
  <c r="U65" i="1"/>
  <c r="R65" i="1" s="1"/>
  <c r="U66" i="1"/>
  <c r="R66" i="1" s="1"/>
  <c r="U67" i="1"/>
  <c r="R67" i="1" s="1"/>
  <c r="U68" i="1"/>
  <c r="R68" i="1" s="1"/>
  <c r="U69" i="1"/>
  <c r="R69" i="1" s="1"/>
  <c r="U70" i="1"/>
  <c r="R70" i="1" s="1"/>
  <c r="U71" i="1"/>
  <c r="R71" i="1" s="1"/>
  <c r="U72" i="1"/>
  <c r="R72" i="1" s="1"/>
  <c r="U73" i="1"/>
  <c r="R73" i="1" s="1"/>
  <c r="U74" i="1"/>
  <c r="R74" i="1" s="1"/>
  <c r="U75" i="1"/>
  <c r="R75" i="1" s="1"/>
  <c r="U76" i="1"/>
  <c r="R76" i="1" s="1"/>
  <c r="U77" i="1"/>
  <c r="R77" i="1" s="1"/>
  <c r="U78" i="1"/>
  <c r="R78" i="1" s="1"/>
  <c r="U79" i="1"/>
  <c r="R79" i="1" s="1"/>
  <c r="U80" i="1"/>
  <c r="R80" i="1" s="1"/>
  <c r="U81" i="1"/>
  <c r="R81" i="1" s="1"/>
  <c r="U82" i="1"/>
  <c r="R82" i="1" s="1"/>
  <c r="U83" i="1"/>
  <c r="R83" i="1" s="1"/>
  <c r="U84" i="1"/>
  <c r="R84" i="1" s="1"/>
  <c r="U85" i="1"/>
  <c r="R85" i="1" s="1"/>
  <c r="U86" i="1"/>
  <c r="R86" i="1" s="1"/>
  <c r="U87" i="1"/>
  <c r="R87" i="1" s="1"/>
  <c r="U88" i="1"/>
  <c r="R88" i="1" s="1"/>
  <c r="U89" i="1"/>
  <c r="R89" i="1" s="1"/>
  <c r="U90" i="1"/>
  <c r="R90" i="1" s="1"/>
  <c r="U91" i="1"/>
  <c r="R91" i="1" s="1"/>
  <c r="U92" i="1"/>
  <c r="R92" i="1" s="1"/>
  <c r="U93" i="1"/>
  <c r="R93" i="1" s="1"/>
  <c r="U94" i="1"/>
  <c r="R94" i="1" s="1"/>
  <c r="U95" i="1"/>
  <c r="R95" i="1" s="1"/>
  <c r="U96" i="1"/>
  <c r="R96" i="1" s="1"/>
  <c r="U97" i="1"/>
  <c r="R97" i="1" s="1"/>
  <c r="U98" i="1"/>
  <c r="R98" i="1" s="1"/>
  <c r="U99" i="1"/>
  <c r="R99" i="1" s="1"/>
  <c r="U100" i="1"/>
  <c r="R100" i="1" s="1"/>
  <c r="U101" i="1"/>
  <c r="R101" i="1" s="1"/>
  <c r="U102" i="1"/>
  <c r="R102" i="1" s="1"/>
  <c r="U103" i="1"/>
  <c r="R103" i="1" s="1"/>
  <c r="U104" i="1"/>
  <c r="R104" i="1" s="1"/>
  <c r="U105" i="1"/>
  <c r="R105" i="1" s="1"/>
  <c r="U106" i="1"/>
  <c r="R106" i="1" s="1"/>
  <c r="U107" i="1"/>
  <c r="R107" i="1" s="1"/>
  <c r="U108" i="1"/>
  <c r="R108" i="1" s="1"/>
  <c r="U109" i="1"/>
  <c r="R109" i="1" s="1"/>
  <c r="U110" i="1"/>
  <c r="R110" i="1" s="1"/>
  <c r="U111" i="1"/>
  <c r="R111" i="1" s="1"/>
  <c r="U112" i="1"/>
  <c r="R112" i="1" s="1"/>
  <c r="U113" i="1"/>
  <c r="R113" i="1" s="1"/>
  <c r="U114" i="1"/>
  <c r="R114" i="1" s="1"/>
  <c r="U115" i="1"/>
  <c r="R115" i="1" s="1"/>
  <c r="U116" i="1"/>
  <c r="R116" i="1" s="1"/>
  <c r="U117" i="1"/>
  <c r="R117" i="1" s="1"/>
  <c r="U118" i="1"/>
  <c r="R118" i="1" s="1"/>
  <c r="U119" i="1"/>
  <c r="R119" i="1" s="1"/>
  <c r="U120" i="1"/>
  <c r="R120" i="1" s="1"/>
  <c r="U121" i="1"/>
  <c r="R121" i="1" s="1"/>
  <c r="U122" i="1"/>
  <c r="R122" i="1" s="1"/>
  <c r="U123" i="1"/>
  <c r="R123" i="1" s="1"/>
  <c r="U124" i="1"/>
  <c r="R124" i="1" s="1"/>
  <c r="U125" i="1"/>
  <c r="R125" i="1" s="1"/>
  <c r="U126" i="1"/>
  <c r="R126" i="1" s="1"/>
  <c r="U127" i="1"/>
  <c r="R127" i="1" s="1"/>
  <c r="U128" i="1"/>
  <c r="R128" i="1" s="1"/>
  <c r="U129" i="1"/>
  <c r="R129" i="1" s="1"/>
  <c r="U130" i="1"/>
  <c r="R130" i="1" s="1"/>
  <c r="U131" i="1"/>
  <c r="R131" i="1" s="1"/>
  <c r="U132" i="1"/>
  <c r="R132" i="1" s="1"/>
  <c r="U133" i="1"/>
  <c r="R133" i="1" s="1"/>
  <c r="U134" i="1"/>
  <c r="R134" i="1" s="1"/>
  <c r="U135" i="1"/>
  <c r="R135" i="1" s="1"/>
  <c r="U136" i="1"/>
  <c r="R136" i="1" s="1"/>
  <c r="U137" i="1"/>
  <c r="R137" i="1" s="1"/>
  <c r="U138" i="1"/>
  <c r="R138" i="1" s="1"/>
  <c r="U139" i="1"/>
  <c r="R139" i="1" s="1"/>
  <c r="U140" i="1"/>
  <c r="R140" i="1" s="1"/>
  <c r="U141" i="1"/>
  <c r="R141" i="1" s="1"/>
  <c r="U142" i="1"/>
  <c r="R142" i="1" s="1"/>
  <c r="U143" i="1"/>
  <c r="R143" i="1" s="1"/>
  <c r="U144" i="1"/>
  <c r="R144" i="1" s="1"/>
  <c r="U145" i="1"/>
  <c r="R145" i="1" s="1"/>
  <c r="U146" i="1"/>
  <c r="R146" i="1" s="1"/>
  <c r="U147" i="1"/>
  <c r="R147" i="1" s="1"/>
  <c r="U148" i="1"/>
  <c r="R148" i="1" s="1"/>
  <c r="U149" i="1"/>
  <c r="R149" i="1" s="1"/>
  <c r="U150" i="1"/>
  <c r="R150" i="1" s="1"/>
  <c r="U151" i="1"/>
  <c r="R151" i="1" s="1"/>
  <c r="U152" i="1"/>
  <c r="R152" i="1" s="1"/>
  <c r="U153" i="1"/>
  <c r="R153" i="1" s="1"/>
  <c r="U154" i="1"/>
  <c r="R154" i="1" s="1"/>
  <c r="U155" i="1"/>
  <c r="R155" i="1" s="1"/>
  <c r="U156" i="1"/>
  <c r="R156" i="1" s="1"/>
  <c r="U157" i="1"/>
  <c r="R157" i="1" s="1"/>
  <c r="U158" i="1"/>
  <c r="R158" i="1" s="1"/>
  <c r="U159" i="1"/>
  <c r="R159" i="1" s="1"/>
  <c r="U160" i="1"/>
  <c r="R160" i="1" s="1"/>
  <c r="U161" i="1"/>
  <c r="R161" i="1" s="1"/>
  <c r="U162" i="1"/>
  <c r="R162" i="1" s="1"/>
  <c r="U163" i="1"/>
  <c r="R163" i="1" s="1"/>
  <c r="U164" i="1"/>
  <c r="R164" i="1" s="1"/>
  <c r="U165" i="1"/>
  <c r="R165" i="1" s="1"/>
  <c r="U166" i="1"/>
  <c r="R166" i="1" s="1"/>
  <c r="U167" i="1"/>
  <c r="R167" i="1" s="1"/>
  <c r="U168" i="1"/>
  <c r="R168" i="1" s="1"/>
  <c r="U169" i="1"/>
  <c r="R169" i="1" s="1"/>
  <c r="U170" i="1"/>
  <c r="R170" i="1" s="1"/>
  <c r="U171" i="1"/>
  <c r="R171" i="1" s="1"/>
  <c r="U172" i="1"/>
  <c r="R172" i="1" s="1"/>
  <c r="U173" i="1"/>
  <c r="R173" i="1" s="1"/>
  <c r="U174" i="1"/>
  <c r="R174" i="1" s="1"/>
  <c r="U175" i="1"/>
  <c r="R175" i="1" s="1"/>
  <c r="U176" i="1"/>
  <c r="R176" i="1" s="1"/>
  <c r="U177" i="1"/>
  <c r="R177" i="1" s="1"/>
  <c r="U178" i="1"/>
  <c r="R178" i="1" s="1"/>
  <c r="U179" i="1"/>
  <c r="R179" i="1" s="1"/>
  <c r="U180" i="1"/>
  <c r="R180" i="1" s="1"/>
  <c r="U181" i="1"/>
  <c r="R181" i="1" s="1"/>
  <c r="U182" i="1"/>
  <c r="R182" i="1" s="1"/>
  <c r="U183" i="1"/>
  <c r="R183" i="1" s="1"/>
  <c r="U184" i="1"/>
  <c r="R184" i="1" s="1"/>
  <c r="U185" i="1"/>
  <c r="R185" i="1" s="1"/>
  <c r="U186" i="1"/>
  <c r="R186" i="1" s="1"/>
  <c r="U187" i="1"/>
  <c r="R187" i="1" s="1"/>
  <c r="U188" i="1"/>
  <c r="R188" i="1" s="1"/>
  <c r="U189" i="1"/>
  <c r="R189" i="1" s="1"/>
  <c r="U190" i="1"/>
  <c r="R190" i="1" s="1"/>
  <c r="U191" i="1"/>
  <c r="R191" i="1" s="1"/>
  <c r="U192" i="1"/>
  <c r="R192" i="1" s="1"/>
  <c r="U193" i="1"/>
  <c r="R193" i="1" s="1"/>
  <c r="U194" i="1"/>
  <c r="R194" i="1" s="1"/>
  <c r="U195" i="1"/>
  <c r="R195" i="1" s="1"/>
  <c r="U196" i="1"/>
  <c r="R196" i="1" s="1"/>
  <c r="U197" i="1"/>
  <c r="R197" i="1" s="1"/>
  <c r="U198" i="1"/>
  <c r="R198" i="1" s="1"/>
  <c r="U199" i="1"/>
  <c r="R199" i="1" s="1"/>
  <c r="U200" i="1"/>
  <c r="R200" i="1" s="1"/>
  <c r="U201" i="1"/>
  <c r="R201" i="1" s="1"/>
  <c r="U202" i="1"/>
  <c r="R202" i="1" s="1"/>
  <c r="U203" i="1"/>
  <c r="R203" i="1" s="1"/>
  <c r="U204" i="1"/>
  <c r="R204" i="1" s="1"/>
  <c r="U205" i="1"/>
  <c r="R205" i="1" s="1"/>
  <c r="U206" i="1"/>
  <c r="R206" i="1" s="1"/>
  <c r="U207" i="1"/>
  <c r="R207" i="1" s="1"/>
  <c r="U208" i="1"/>
  <c r="R208" i="1" s="1"/>
  <c r="U209" i="1"/>
  <c r="R209" i="1" s="1"/>
  <c r="U210" i="1"/>
  <c r="R210" i="1" s="1"/>
  <c r="U211" i="1"/>
  <c r="R211" i="1" s="1"/>
  <c r="U212" i="1"/>
  <c r="R212" i="1" s="1"/>
  <c r="U213" i="1"/>
  <c r="R213" i="1" s="1"/>
  <c r="U214" i="1"/>
  <c r="R214" i="1" s="1"/>
  <c r="U215" i="1"/>
  <c r="R215" i="1" s="1"/>
  <c r="U216" i="1"/>
  <c r="R216" i="1" s="1"/>
  <c r="U217" i="1"/>
  <c r="R217" i="1" s="1"/>
  <c r="U218" i="1"/>
  <c r="R218" i="1" s="1"/>
  <c r="U219" i="1"/>
  <c r="R219" i="1" s="1"/>
  <c r="U220" i="1"/>
  <c r="R220" i="1" s="1"/>
  <c r="U221" i="1"/>
  <c r="R221" i="1" s="1"/>
  <c r="U222" i="1"/>
  <c r="R222" i="1" s="1"/>
  <c r="U223" i="1"/>
  <c r="R223" i="1" s="1"/>
  <c r="U224" i="1"/>
  <c r="R224" i="1" s="1"/>
  <c r="U225" i="1"/>
  <c r="R225" i="1" s="1"/>
  <c r="U226" i="1"/>
  <c r="R226" i="1" s="1"/>
  <c r="U227" i="1"/>
  <c r="R227" i="1" s="1"/>
  <c r="U228" i="1"/>
  <c r="R228" i="1" s="1"/>
  <c r="U229" i="1"/>
  <c r="R229" i="1" s="1"/>
  <c r="U230" i="1"/>
  <c r="R230" i="1" s="1"/>
  <c r="U231" i="1"/>
  <c r="R231" i="1" s="1"/>
  <c r="U232" i="1"/>
  <c r="R232" i="1" s="1"/>
  <c r="U233" i="1"/>
  <c r="R233" i="1" s="1"/>
  <c r="U234" i="1"/>
  <c r="R234" i="1" s="1"/>
  <c r="U235" i="1"/>
  <c r="R235" i="1" s="1"/>
  <c r="U236" i="1"/>
  <c r="R236" i="1" s="1"/>
  <c r="U237" i="1"/>
  <c r="R237" i="1" s="1"/>
  <c r="U238" i="1"/>
  <c r="R238" i="1" s="1"/>
  <c r="U239" i="1"/>
  <c r="R239" i="1" s="1"/>
  <c r="U240" i="1"/>
  <c r="R240" i="1" s="1"/>
  <c r="U241" i="1"/>
  <c r="R241" i="1" s="1"/>
  <c r="U242" i="1"/>
  <c r="R242" i="1" s="1"/>
  <c r="U243" i="1"/>
  <c r="R243" i="1" s="1"/>
  <c r="U244" i="1"/>
  <c r="R244" i="1" s="1"/>
  <c r="U245" i="1"/>
  <c r="R245" i="1" s="1"/>
  <c r="U246" i="1"/>
  <c r="R246" i="1" s="1"/>
  <c r="U247" i="1"/>
  <c r="R247" i="1" s="1"/>
  <c r="U248" i="1"/>
  <c r="R248" i="1" s="1"/>
  <c r="U249" i="1"/>
  <c r="R249" i="1" s="1"/>
  <c r="U250" i="1"/>
  <c r="R250" i="1" s="1"/>
  <c r="U251" i="1"/>
  <c r="R251" i="1" s="1"/>
  <c r="U252" i="1"/>
  <c r="R252" i="1" s="1"/>
  <c r="U253" i="1"/>
  <c r="R253" i="1" s="1"/>
  <c r="U254" i="1"/>
  <c r="R254" i="1" s="1"/>
  <c r="U255" i="1"/>
  <c r="R255" i="1" s="1"/>
  <c r="U256" i="1"/>
  <c r="R256" i="1" s="1"/>
  <c r="U257" i="1"/>
  <c r="R257" i="1" s="1"/>
  <c r="U258" i="1"/>
  <c r="R258" i="1" s="1"/>
  <c r="U259" i="1"/>
  <c r="R259" i="1" s="1"/>
  <c r="U260" i="1"/>
  <c r="R260" i="1" s="1"/>
  <c r="U261" i="1"/>
  <c r="R261" i="1" s="1"/>
  <c r="U262" i="1"/>
  <c r="R262" i="1" s="1"/>
  <c r="U263" i="1"/>
  <c r="R263" i="1" s="1"/>
  <c r="U264" i="1"/>
  <c r="R264" i="1" s="1"/>
  <c r="U265" i="1"/>
  <c r="R265" i="1" s="1"/>
  <c r="U266" i="1"/>
  <c r="R266" i="1" s="1"/>
  <c r="U267" i="1"/>
  <c r="R267" i="1" s="1"/>
  <c r="U268" i="1"/>
  <c r="R268" i="1" s="1"/>
  <c r="U269" i="1"/>
  <c r="R269" i="1" s="1"/>
  <c r="U270" i="1"/>
  <c r="R270" i="1" s="1"/>
  <c r="U271" i="1"/>
  <c r="R271" i="1" s="1"/>
  <c r="U272" i="1"/>
  <c r="R272" i="1" s="1"/>
  <c r="U273" i="1"/>
  <c r="R273" i="1" s="1"/>
  <c r="U274" i="1"/>
  <c r="R274" i="1" s="1"/>
  <c r="U275" i="1"/>
  <c r="R275" i="1" s="1"/>
  <c r="U276" i="1"/>
  <c r="R276" i="1" s="1"/>
  <c r="U277" i="1"/>
  <c r="R277" i="1" s="1"/>
  <c r="U278" i="1"/>
  <c r="R278" i="1" s="1"/>
  <c r="U279" i="1"/>
  <c r="R279" i="1" s="1"/>
  <c r="U280" i="1"/>
  <c r="R280" i="1" s="1"/>
  <c r="U281" i="1"/>
  <c r="R281" i="1" s="1"/>
  <c r="U282" i="1"/>
  <c r="R282" i="1" s="1"/>
  <c r="U283" i="1"/>
  <c r="R283" i="1" s="1"/>
  <c r="U284" i="1"/>
  <c r="R284" i="1" s="1"/>
  <c r="U285" i="1"/>
  <c r="R285" i="1" s="1"/>
  <c r="U286" i="1"/>
  <c r="R286" i="1" s="1"/>
  <c r="U287" i="1"/>
  <c r="R287" i="1" s="1"/>
  <c r="U288" i="1"/>
  <c r="R288" i="1" s="1"/>
  <c r="U289" i="1"/>
  <c r="R289" i="1" s="1"/>
  <c r="U290" i="1"/>
  <c r="R290" i="1" s="1"/>
  <c r="U291" i="1"/>
  <c r="R291" i="1" s="1"/>
  <c r="U292" i="1"/>
  <c r="R292" i="1" s="1"/>
  <c r="U293" i="1"/>
  <c r="R293" i="1" s="1"/>
  <c r="U294" i="1"/>
  <c r="R294" i="1" s="1"/>
  <c r="U295" i="1"/>
  <c r="R295" i="1" s="1"/>
  <c r="U296" i="1"/>
  <c r="R296" i="1" s="1"/>
  <c r="U297" i="1"/>
  <c r="R297" i="1" s="1"/>
  <c r="U298" i="1"/>
  <c r="R298" i="1" s="1"/>
  <c r="U299" i="1"/>
  <c r="R299" i="1" s="1"/>
  <c r="U300" i="1"/>
  <c r="R300" i="1" s="1"/>
  <c r="U301" i="1"/>
  <c r="R301" i="1" s="1"/>
  <c r="U302" i="1"/>
  <c r="R302" i="1" s="1"/>
  <c r="U303" i="1"/>
  <c r="R303" i="1" s="1"/>
  <c r="U304" i="1"/>
  <c r="R304" i="1" s="1"/>
  <c r="U305" i="1"/>
  <c r="R305" i="1" s="1"/>
  <c r="U306" i="1"/>
  <c r="R306" i="1" s="1"/>
  <c r="U307" i="1"/>
  <c r="R307" i="1" s="1"/>
  <c r="U308" i="1"/>
  <c r="R308" i="1" s="1"/>
  <c r="U309" i="1"/>
  <c r="R309" i="1" s="1"/>
  <c r="U310" i="1"/>
  <c r="R310" i="1" s="1"/>
  <c r="U311" i="1"/>
  <c r="R311" i="1" s="1"/>
  <c r="U312" i="1"/>
  <c r="R312" i="1" s="1"/>
  <c r="U313" i="1"/>
  <c r="R313" i="1" s="1"/>
  <c r="U314" i="1"/>
  <c r="R314" i="1" s="1"/>
  <c r="U315" i="1"/>
  <c r="R315" i="1" s="1"/>
  <c r="U316" i="1"/>
  <c r="R316" i="1" s="1"/>
  <c r="U317" i="1"/>
  <c r="R317" i="1" s="1"/>
  <c r="U318" i="1"/>
  <c r="R318" i="1" s="1"/>
  <c r="U319" i="1"/>
  <c r="R319" i="1" s="1"/>
  <c r="U320" i="1"/>
  <c r="R320" i="1" s="1"/>
  <c r="U321" i="1"/>
  <c r="R321" i="1" s="1"/>
  <c r="U322" i="1"/>
  <c r="R322" i="1" s="1"/>
  <c r="U323" i="1"/>
  <c r="R323" i="1" s="1"/>
  <c r="U324" i="1"/>
  <c r="R324" i="1" s="1"/>
  <c r="U325" i="1"/>
  <c r="R325" i="1" s="1"/>
  <c r="U326" i="1"/>
  <c r="R326" i="1" s="1"/>
  <c r="U327" i="1"/>
  <c r="R327" i="1" s="1"/>
  <c r="U328" i="1"/>
  <c r="R328" i="1" s="1"/>
  <c r="U329" i="1"/>
  <c r="R329" i="1" s="1"/>
  <c r="U330" i="1"/>
  <c r="R330" i="1" s="1"/>
  <c r="U331" i="1"/>
  <c r="R331" i="1" s="1"/>
  <c r="U332" i="1"/>
  <c r="R332" i="1" s="1"/>
  <c r="U333" i="1"/>
  <c r="R333" i="1" s="1"/>
  <c r="U334" i="1"/>
  <c r="R334" i="1" s="1"/>
  <c r="U335" i="1"/>
  <c r="R335" i="1" s="1"/>
  <c r="U336" i="1"/>
  <c r="R336" i="1" s="1"/>
  <c r="U337" i="1"/>
  <c r="R337" i="1" s="1"/>
  <c r="U338" i="1"/>
  <c r="R338" i="1" s="1"/>
  <c r="U339" i="1"/>
  <c r="R339" i="1" s="1"/>
  <c r="U340" i="1"/>
  <c r="R340" i="1" s="1"/>
  <c r="U341" i="1"/>
  <c r="R341" i="1" s="1"/>
  <c r="U342" i="1"/>
  <c r="R342" i="1" s="1"/>
  <c r="U343" i="1"/>
  <c r="R343" i="1" s="1"/>
  <c r="U344" i="1"/>
  <c r="R344" i="1" s="1"/>
  <c r="U345" i="1"/>
  <c r="R345" i="1" s="1"/>
  <c r="U346" i="1"/>
  <c r="R346" i="1" s="1"/>
  <c r="U347" i="1"/>
  <c r="R347" i="1" s="1"/>
  <c r="U348" i="1"/>
  <c r="R348" i="1" s="1"/>
  <c r="U349" i="1"/>
  <c r="R349" i="1" s="1"/>
  <c r="U350" i="1"/>
  <c r="R350" i="1" s="1"/>
  <c r="U351" i="1"/>
  <c r="R351" i="1" s="1"/>
  <c r="U352" i="1"/>
  <c r="R352" i="1" s="1"/>
  <c r="U353" i="1"/>
  <c r="R353" i="1" s="1"/>
  <c r="U354" i="1"/>
  <c r="R354" i="1" s="1"/>
  <c r="U355" i="1"/>
  <c r="R355" i="1" s="1"/>
  <c r="U356" i="1"/>
  <c r="R356" i="1" s="1"/>
  <c r="U357" i="1"/>
  <c r="R357" i="1" s="1"/>
  <c r="U358" i="1"/>
  <c r="R358" i="1" s="1"/>
  <c r="U359" i="1"/>
  <c r="R359" i="1" s="1"/>
  <c r="U360" i="1"/>
  <c r="R360" i="1" s="1"/>
  <c r="U361" i="1"/>
  <c r="R361" i="1" s="1"/>
  <c r="U362" i="1"/>
  <c r="R362" i="1" s="1"/>
  <c r="AG5" i="4"/>
  <c r="AN1" i="4"/>
  <c r="D3" i="4" s="1"/>
  <c r="AC33" i="1"/>
  <c r="AG33" i="1" s="1"/>
  <c r="AC34" i="1"/>
  <c r="AG34" i="1" s="1"/>
  <c r="AC35" i="1"/>
  <c r="AG35" i="1" s="1"/>
  <c r="AC36" i="1"/>
  <c r="AG36" i="1" s="1"/>
  <c r="AC37" i="1"/>
  <c r="AG37" i="1" s="1"/>
  <c r="AC38" i="1"/>
  <c r="AG38" i="1" s="1"/>
  <c r="AC39" i="1"/>
  <c r="AG39" i="1" s="1"/>
  <c r="AC40" i="1"/>
  <c r="AG40" i="1" s="1"/>
  <c r="AC41" i="1"/>
  <c r="AG41" i="1" s="1"/>
  <c r="AC42" i="1"/>
  <c r="AG42" i="1" s="1"/>
  <c r="AC43" i="1"/>
  <c r="AG43" i="1" s="1"/>
  <c r="AC44" i="1"/>
  <c r="AG44" i="1" s="1"/>
  <c r="AC45" i="1"/>
  <c r="AG45" i="1" s="1"/>
  <c r="AC46" i="1"/>
  <c r="AG46" i="1" s="1"/>
  <c r="AC47" i="1"/>
  <c r="AG47" i="1" s="1"/>
  <c r="AC48" i="1"/>
  <c r="AG48" i="1" s="1"/>
  <c r="AC49" i="1"/>
  <c r="AG49" i="1" s="1"/>
  <c r="AC50" i="1"/>
  <c r="AG50" i="1" s="1"/>
  <c r="AC51" i="1"/>
  <c r="AG51" i="1" s="1"/>
  <c r="AC52" i="1"/>
  <c r="AG52" i="1" s="1"/>
  <c r="AC53" i="1"/>
  <c r="AG53" i="1" s="1"/>
  <c r="AC54" i="1"/>
  <c r="AG54" i="1" s="1"/>
  <c r="AC55" i="1"/>
  <c r="AG55" i="1" s="1"/>
  <c r="AC56" i="1"/>
  <c r="AG56" i="1" s="1"/>
  <c r="AC57" i="1"/>
  <c r="AG57" i="1" s="1"/>
  <c r="AC58" i="1"/>
  <c r="AG58" i="1" s="1"/>
  <c r="AC59" i="1"/>
  <c r="AG59" i="1" s="1"/>
  <c r="AC60" i="1"/>
  <c r="AG60" i="1" s="1"/>
  <c r="AC61" i="1"/>
  <c r="AG61" i="1" s="1"/>
  <c r="AC62" i="1"/>
  <c r="AG62" i="1" s="1"/>
  <c r="AC63" i="1"/>
  <c r="AG63" i="1" s="1"/>
  <c r="AC64" i="1"/>
  <c r="AG64" i="1" s="1"/>
  <c r="AC65" i="1"/>
  <c r="AG65" i="1" s="1"/>
  <c r="AC66" i="1"/>
  <c r="AG66" i="1" s="1"/>
  <c r="AC67" i="1"/>
  <c r="AG67" i="1" s="1"/>
  <c r="AC68" i="1"/>
  <c r="AG68" i="1" s="1"/>
  <c r="AC69" i="1"/>
  <c r="AG69" i="1" s="1"/>
  <c r="AC70" i="1"/>
  <c r="AG70" i="1" s="1"/>
  <c r="AC71" i="1"/>
  <c r="AG71" i="1" s="1"/>
  <c r="AC72" i="1"/>
  <c r="AG72" i="1" s="1"/>
  <c r="AC73" i="1"/>
  <c r="AG73" i="1" s="1"/>
  <c r="AC74" i="1"/>
  <c r="AG74" i="1" s="1"/>
  <c r="AC75" i="1"/>
  <c r="AG75" i="1" s="1"/>
  <c r="AC76" i="1"/>
  <c r="AG76" i="1" s="1"/>
  <c r="AC77" i="1"/>
  <c r="AG77" i="1" s="1"/>
  <c r="AC78" i="1"/>
  <c r="AG78" i="1" s="1"/>
  <c r="AC79" i="1"/>
  <c r="AG79" i="1" s="1"/>
  <c r="AC80" i="1"/>
  <c r="AG80" i="1" s="1"/>
  <c r="AC81" i="1"/>
  <c r="AG81" i="1" s="1"/>
  <c r="AC82" i="1"/>
  <c r="AG82" i="1" s="1"/>
  <c r="AC83" i="1"/>
  <c r="AG83" i="1" s="1"/>
  <c r="AC84" i="1"/>
  <c r="AG84" i="1" s="1"/>
  <c r="AC85" i="1"/>
  <c r="AG85" i="1" s="1"/>
  <c r="AC86" i="1"/>
  <c r="AG86" i="1" s="1"/>
  <c r="AC87" i="1"/>
  <c r="AG87" i="1" s="1"/>
  <c r="AC88" i="1"/>
  <c r="AG88" i="1" s="1"/>
  <c r="AC89" i="1"/>
  <c r="AG89" i="1" s="1"/>
  <c r="AC90" i="1"/>
  <c r="AG90" i="1" s="1"/>
  <c r="AC91" i="1"/>
  <c r="AG91" i="1" s="1"/>
  <c r="AC92" i="1"/>
  <c r="AG92" i="1" s="1"/>
  <c r="AC93" i="1"/>
  <c r="AG93" i="1" s="1"/>
  <c r="AC94" i="1"/>
  <c r="AG94" i="1" s="1"/>
  <c r="AC95" i="1"/>
  <c r="AG95" i="1" s="1"/>
  <c r="AC96" i="1"/>
  <c r="AG96" i="1" s="1"/>
  <c r="AC97" i="1"/>
  <c r="AG97" i="1" s="1"/>
  <c r="AC98" i="1"/>
  <c r="AG98" i="1" s="1"/>
  <c r="AC99" i="1"/>
  <c r="AG99" i="1" s="1"/>
  <c r="AC100" i="1"/>
  <c r="AG100" i="1" s="1"/>
  <c r="AC101" i="1"/>
  <c r="AG101" i="1" s="1"/>
  <c r="AC102" i="1"/>
  <c r="AG102" i="1" s="1"/>
  <c r="AC103" i="1"/>
  <c r="AG103" i="1" s="1"/>
  <c r="AC104" i="1"/>
  <c r="AG104" i="1" s="1"/>
  <c r="AC105" i="1"/>
  <c r="AG105" i="1" s="1"/>
  <c r="AC106" i="1"/>
  <c r="AG106" i="1" s="1"/>
  <c r="AC107" i="1"/>
  <c r="AG107" i="1" s="1"/>
  <c r="AC108" i="1"/>
  <c r="AG108" i="1" s="1"/>
  <c r="AC109" i="1"/>
  <c r="AG109" i="1" s="1"/>
  <c r="AC110" i="1"/>
  <c r="AG110" i="1" s="1"/>
  <c r="AC111" i="1"/>
  <c r="AG111" i="1" s="1"/>
  <c r="AC112" i="1"/>
  <c r="AG112" i="1" s="1"/>
  <c r="AC113" i="1"/>
  <c r="AG113" i="1" s="1"/>
  <c r="AC114" i="1"/>
  <c r="AG114" i="1" s="1"/>
  <c r="AC115" i="1"/>
  <c r="AG115" i="1" s="1"/>
  <c r="AC116" i="1"/>
  <c r="AG116" i="1" s="1"/>
  <c r="AC117" i="1"/>
  <c r="AG117" i="1" s="1"/>
  <c r="AC118" i="1"/>
  <c r="AG118" i="1" s="1"/>
  <c r="AC119" i="1"/>
  <c r="AG119" i="1" s="1"/>
  <c r="AC120" i="1"/>
  <c r="AG120" i="1" s="1"/>
  <c r="AC121" i="1"/>
  <c r="AG121" i="1" s="1"/>
  <c r="AC122" i="1"/>
  <c r="AG122" i="1" s="1"/>
  <c r="AC123" i="1"/>
  <c r="AG123" i="1" s="1"/>
  <c r="AC124" i="1"/>
  <c r="AG124" i="1" s="1"/>
  <c r="AC125" i="1"/>
  <c r="AG125" i="1" s="1"/>
  <c r="AC126" i="1"/>
  <c r="AG126" i="1" s="1"/>
  <c r="AC127" i="1"/>
  <c r="AG127" i="1" s="1"/>
  <c r="AC128" i="1"/>
  <c r="AG128" i="1" s="1"/>
  <c r="AC129" i="1"/>
  <c r="AG129" i="1" s="1"/>
  <c r="AC130" i="1"/>
  <c r="AG130" i="1" s="1"/>
  <c r="AC131" i="1"/>
  <c r="AG131" i="1" s="1"/>
  <c r="AC132" i="1"/>
  <c r="AG132" i="1" s="1"/>
  <c r="AC133" i="1"/>
  <c r="AG133" i="1" s="1"/>
  <c r="AC134" i="1"/>
  <c r="AG134" i="1" s="1"/>
  <c r="AC135" i="1"/>
  <c r="AG135" i="1" s="1"/>
  <c r="AC136" i="1"/>
  <c r="AG136" i="1" s="1"/>
  <c r="AC137" i="1"/>
  <c r="AG137" i="1" s="1"/>
  <c r="AC138" i="1"/>
  <c r="AG138" i="1" s="1"/>
  <c r="AC139" i="1"/>
  <c r="AG139" i="1" s="1"/>
  <c r="AC140" i="1"/>
  <c r="AG140" i="1" s="1"/>
  <c r="AC141" i="1"/>
  <c r="AG141" i="1" s="1"/>
  <c r="AC142" i="1"/>
  <c r="AG142" i="1" s="1"/>
  <c r="AC143" i="1"/>
  <c r="AG143" i="1" s="1"/>
  <c r="AC144" i="1"/>
  <c r="AG144" i="1" s="1"/>
  <c r="AC145" i="1"/>
  <c r="AG145" i="1" s="1"/>
  <c r="AC146" i="1"/>
  <c r="AG146" i="1" s="1"/>
  <c r="AC147" i="1"/>
  <c r="AG147" i="1" s="1"/>
  <c r="AC148" i="1"/>
  <c r="AG148" i="1" s="1"/>
  <c r="AC149" i="1"/>
  <c r="AG149" i="1" s="1"/>
  <c r="AC150" i="1"/>
  <c r="AG150" i="1" s="1"/>
  <c r="AC151" i="1"/>
  <c r="AG151" i="1" s="1"/>
  <c r="AC152" i="1"/>
  <c r="AG152" i="1" s="1"/>
  <c r="AC243" i="1"/>
  <c r="AG243" i="1" s="1"/>
  <c r="AC244" i="1"/>
  <c r="AG244" i="1" s="1"/>
  <c r="AC245" i="1"/>
  <c r="AG245" i="1" s="1"/>
  <c r="AC246" i="1"/>
  <c r="AG246" i="1" s="1"/>
  <c r="AC247" i="1"/>
  <c r="AG247" i="1" s="1"/>
  <c r="AC248" i="1"/>
  <c r="AG248" i="1" s="1"/>
  <c r="AC249" i="1"/>
  <c r="AG249" i="1" s="1"/>
  <c r="AC250" i="1"/>
  <c r="AG250" i="1" s="1"/>
  <c r="AC251" i="1"/>
  <c r="AG251" i="1" s="1"/>
  <c r="AC252" i="1"/>
  <c r="AG252" i="1" s="1"/>
  <c r="AC253" i="1"/>
  <c r="AG253" i="1" s="1"/>
  <c r="AC254" i="1"/>
  <c r="AG254" i="1" s="1"/>
  <c r="AC255" i="1"/>
  <c r="AG255" i="1" s="1"/>
  <c r="AC256" i="1"/>
  <c r="AG256" i="1" s="1"/>
  <c r="AC257" i="1"/>
  <c r="AG257" i="1" s="1"/>
  <c r="AC258" i="1"/>
  <c r="AG258" i="1" s="1"/>
  <c r="AC259" i="1"/>
  <c r="AG259" i="1" s="1"/>
  <c r="AC260" i="1"/>
  <c r="AG260" i="1" s="1"/>
  <c r="AC261" i="1"/>
  <c r="AG261" i="1" s="1"/>
  <c r="AC262" i="1"/>
  <c r="AG262" i="1" s="1"/>
  <c r="AC263" i="1"/>
  <c r="AG263" i="1" s="1"/>
  <c r="AC264" i="1"/>
  <c r="AG264" i="1" s="1"/>
  <c r="AC265" i="1"/>
  <c r="AG265" i="1" s="1"/>
  <c r="AC266" i="1"/>
  <c r="AG266" i="1" s="1"/>
  <c r="AC267" i="1"/>
  <c r="AG267" i="1" s="1"/>
  <c r="AC268" i="1"/>
  <c r="AG268" i="1" s="1"/>
  <c r="AC269" i="1"/>
  <c r="AG269" i="1" s="1"/>
  <c r="AC270" i="1"/>
  <c r="AG270" i="1" s="1"/>
  <c r="AC271" i="1"/>
  <c r="AG271" i="1" s="1"/>
  <c r="AC272" i="1"/>
  <c r="AG272" i="1" s="1"/>
  <c r="AC303" i="1"/>
  <c r="AG303" i="1" s="1"/>
  <c r="AC304" i="1"/>
  <c r="AG304" i="1" s="1"/>
  <c r="AC305" i="1"/>
  <c r="AG305" i="1" s="1"/>
  <c r="AC306" i="1"/>
  <c r="AG306" i="1" s="1"/>
  <c r="AC307" i="1"/>
  <c r="AG307" i="1" s="1"/>
  <c r="AC308" i="1"/>
  <c r="AG308" i="1" s="1"/>
  <c r="AC309" i="1"/>
  <c r="AG309" i="1" s="1"/>
  <c r="AC310" i="1"/>
  <c r="AG310" i="1" s="1"/>
  <c r="AC311" i="1"/>
  <c r="AG311" i="1" s="1"/>
  <c r="AC312" i="1"/>
  <c r="AG312" i="1" s="1"/>
  <c r="AC313" i="1"/>
  <c r="AG313" i="1" s="1"/>
  <c r="AC314" i="1"/>
  <c r="AG314" i="1" s="1"/>
  <c r="AC315" i="1"/>
  <c r="AG315" i="1" s="1"/>
  <c r="AC316" i="1"/>
  <c r="AG316" i="1" s="1"/>
  <c r="AC317" i="1"/>
  <c r="AG317" i="1" s="1"/>
  <c r="AC318" i="1"/>
  <c r="AG318" i="1" s="1"/>
  <c r="AC319" i="1"/>
  <c r="AG319" i="1" s="1"/>
  <c r="AC320" i="1"/>
  <c r="AG320" i="1" s="1"/>
  <c r="AC321" i="1"/>
  <c r="AG321" i="1" s="1"/>
  <c r="AC322" i="1"/>
  <c r="AG322" i="1" s="1"/>
  <c r="AC323" i="1"/>
  <c r="AG323" i="1" s="1"/>
  <c r="AC324" i="1"/>
  <c r="AG324" i="1" s="1"/>
  <c r="AC325" i="1"/>
  <c r="AG325" i="1" s="1"/>
  <c r="AC326" i="1"/>
  <c r="AG326" i="1" s="1"/>
  <c r="AC327" i="1"/>
  <c r="AG327" i="1" s="1"/>
  <c r="AC328" i="1"/>
  <c r="AG328" i="1" s="1"/>
  <c r="AC329" i="1"/>
  <c r="AG329" i="1" s="1"/>
  <c r="AC330" i="1"/>
  <c r="AG330" i="1" s="1"/>
  <c r="AC331" i="1"/>
  <c r="AG331" i="1" s="1"/>
  <c r="AC332" i="1"/>
  <c r="AG332" i="1" s="1"/>
  <c r="AC333" i="1"/>
  <c r="AG333" i="1" s="1"/>
  <c r="AC334" i="1"/>
  <c r="AG334" i="1" s="1"/>
  <c r="AC335" i="1"/>
  <c r="AG335" i="1" s="1"/>
  <c r="AC336" i="1"/>
  <c r="AG336" i="1" s="1"/>
  <c r="AC337" i="1"/>
  <c r="AG337" i="1" s="1"/>
  <c r="AC338" i="1"/>
  <c r="AG338" i="1" s="1"/>
  <c r="AC339" i="1"/>
  <c r="AG339" i="1" s="1"/>
  <c r="AC340" i="1"/>
  <c r="AG340" i="1" s="1"/>
  <c r="AC341" i="1"/>
  <c r="AG341" i="1" s="1"/>
  <c r="AC342" i="1"/>
  <c r="AG342" i="1" s="1"/>
  <c r="AC343" i="1"/>
  <c r="AG343" i="1" s="1"/>
  <c r="AC344" i="1"/>
  <c r="AG344" i="1" s="1"/>
  <c r="AC345" i="1"/>
  <c r="AG345" i="1" s="1"/>
  <c r="AC346" i="1"/>
  <c r="AG346" i="1" s="1"/>
  <c r="AC347" i="1"/>
  <c r="AG347" i="1" s="1"/>
  <c r="AC348" i="1"/>
  <c r="AG348" i="1" s="1"/>
  <c r="AC349" i="1"/>
  <c r="AG349" i="1" s="1"/>
  <c r="AC350" i="1"/>
  <c r="AG350" i="1" s="1"/>
  <c r="AC351" i="1"/>
  <c r="AG351" i="1" s="1"/>
  <c r="AC352" i="1"/>
  <c r="AG352" i="1" s="1"/>
  <c r="AC353" i="1"/>
  <c r="AG353" i="1" s="1"/>
  <c r="AC354" i="1"/>
  <c r="AG354" i="1" s="1"/>
  <c r="AC355" i="1"/>
  <c r="AG355" i="1" s="1"/>
  <c r="AC356" i="1"/>
  <c r="AG356" i="1" s="1"/>
  <c r="AC357" i="1"/>
  <c r="AG357" i="1" s="1"/>
  <c r="AC358" i="1"/>
  <c r="AG358" i="1" s="1"/>
  <c r="AC359" i="1"/>
  <c r="AG359" i="1" s="1"/>
  <c r="AC360" i="1"/>
  <c r="AG360" i="1" s="1"/>
  <c r="AC361" i="1"/>
  <c r="AG361" i="1" s="1"/>
  <c r="AC362" i="1"/>
  <c r="AG362" i="1" s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E3" i="4" l="1"/>
  <c r="Y29" i="4"/>
  <c r="D4" i="4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AA38" i="1" s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AA54" i="1" s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AA70" i="1" s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AA89" i="1" s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AA150" i="1" s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AE33" i="1" s="1"/>
  <c r="X34" i="1"/>
  <c r="AE34" i="1" s="1"/>
  <c r="X35" i="1"/>
  <c r="X36" i="1"/>
  <c r="X37" i="1"/>
  <c r="X38" i="1"/>
  <c r="X39" i="1"/>
  <c r="AE39" i="1" s="1"/>
  <c r="X40" i="1"/>
  <c r="X41" i="1"/>
  <c r="AE41" i="1" s="1"/>
  <c r="X42" i="1"/>
  <c r="X43" i="1"/>
  <c r="AE43" i="1" s="1"/>
  <c r="X44" i="1"/>
  <c r="X45" i="1"/>
  <c r="X46" i="1"/>
  <c r="X47" i="1"/>
  <c r="X48" i="1"/>
  <c r="AE48" i="1" s="1"/>
  <c r="X49" i="1"/>
  <c r="AE49" i="1" s="1"/>
  <c r="X50" i="1"/>
  <c r="X51" i="1"/>
  <c r="X52" i="1"/>
  <c r="X53" i="1"/>
  <c r="X54" i="1"/>
  <c r="X55" i="1"/>
  <c r="X56" i="1"/>
  <c r="X57" i="1"/>
  <c r="X58" i="1"/>
  <c r="X59" i="1"/>
  <c r="AE59" i="1" s="1"/>
  <c r="X60" i="1"/>
  <c r="X61" i="1"/>
  <c r="X62" i="1"/>
  <c r="X63" i="1"/>
  <c r="AE63" i="1" s="1"/>
  <c r="X64" i="1"/>
  <c r="AE64" i="1" s="1"/>
  <c r="X65" i="1"/>
  <c r="AE65" i="1" s="1"/>
  <c r="X66" i="1"/>
  <c r="AE66" i="1" s="1"/>
  <c r="X67" i="1"/>
  <c r="X68" i="1"/>
  <c r="X69" i="1"/>
  <c r="X70" i="1"/>
  <c r="X71" i="1"/>
  <c r="AE71" i="1" s="1"/>
  <c r="X72" i="1"/>
  <c r="AE72" i="1" s="1"/>
  <c r="X73" i="1"/>
  <c r="AE73" i="1" s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AE88" i="1" s="1"/>
  <c r="X89" i="1"/>
  <c r="AE89" i="1" s="1"/>
  <c r="X90" i="1"/>
  <c r="X91" i="1"/>
  <c r="AE91" i="1" s="1"/>
  <c r="X92" i="1"/>
  <c r="X93" i="1"/>
  <c r="X94" i="1"/>
  <c r="AE94" i="1" s="1"/>
  <c r="X95" i="1"/>
  <c r="AE95" i="1" s="1"/>
  <c r="X96" i="1"/>
  <c r="AE96" i="1" s="1"/>
  <c r="X97" i="1"/>
  <c r="X98" i="1"/>
  <c r="X99" i="1"/>
  <c r="X100" i="1"/>
  <c r="X101" i="1"/>
  <c r="X102" i="1"/>
  <c r="X103" i="1"/>
  <c r="X104" i="1"/>
  <c r="X105" i="1"/>
  <c r="AE105" i="1" s="1"/>
  <c r="X106" i="1"/>
  <c r="X107" i="1"/>
  <c r="AE107" i="1" s="1"/>
  <c r="X108" i="1"/>
  <c r="X109" i="1"/>
  <c r="X110" i="1"/>
  <c r="AE110" i="1" s="1"/>
  <c r="X111" i="1"/>
  <c r="X112" i="1"/>
  <c r="X113" i="1"/>
  <c r="X114" i="1"/>
  <c r="X115" i="1"/>
  <c r="X116" i="1"/>
  <c r="X117" i="1"/>
  <c r="X118" i="1"/>
  <c r="X119" i="1"/>
  <c r="AE119" i="1" s="1"/>
  <c r="X120" i="1"/>
  <c r="AE120" i="1" s="1"/>
  <c r="X121" i="1"/>
  <c r="AE121" i="1" s="1"/>
  <c r="X122" i="1"/>
  <c r="X123" i="1"/>
  <c r="X124" i="1"/>
  <c r="X125" i="1"/>
  <c r="X126" i="1"/>
  <c r="X127" i="1"/>
  <c r="X128" i="1"/>
  <c r="X129" i="1"/>
  <c r="AE129" i="1" s="1"/>
  <c r="X130" i="1"/>
  <c r="X131" i="1"/>
  <c r="X132" i="1"/>
  <c r="X133" i="1"/>
  <c r="X134" i="1"/>
  <c r="X135" i="1"/>
  <c r="AE135" i="1" s="1"/>
  <c r="X136" i="1"/>
  <c r="AE136" i="1" s="1"/>
  <c r="X137" i="1"/>
  <c r="AE137" i="1" s="1"/>
  <c r="X138" i="1"/>
  <c r="X139" i="1"/>
  <c r="AE139" i="1" s="1"/>
  <c r="X140" i="1"/>
  <c r="AE140" i="1" s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AE167" i="1" s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AE237" i="1" s="1"/>
  <c r="X238" i="1"/>
  <c r="X239" i="1"/>
  <c r="X240" i="1"/>
  <c r="X241" i="1"/>
  <c r="X242" i="1"/>
  <c r="X243" i="1"/>
  <c r="AE243" i="1" s="1"/>
  <c r="X244" i="1"/>
  <c r="AE244" i="1" s="1"/>
  <c r="X245" i="1"/>
  <c r="X246" i="1"/>
  <c r="AE246" i="1" s="1"/>
  <c r="X247" i="1"/>
  <c r="X248" i="1"/>
  <c r="X249" i="1"/>
  <c r="X250" i="1"/>
  <c r="X251" i="1"/>
  <c r="X252" i="1"/>
  <c r="X253" i="1"/>
  <c r="X254" i="1"/>
  <c r="AE254" i="1" s="1"/>
  <c r="X255" i="1"/>
  <c r="X256" i="1"/>
  <c r="AE256" i="1" s="1"/>
  <c r="X257" i="1"/>
  <c r="AE257" i="1" s="1"/>
  <c r="X258" i="1"/>
  <c r="X259" i="1"/>
  <c r="X260" i="1"/>
  <c r="X261" i="1"/>
  <c r="X262" i="1"/>
  <c r="X263" i="1"/>
  <c r="X264" i="1"/>
  <c r="X265" i="1"/>
  <c r="AE265" i="1" s="1"/>
  <c r="X266" i="1"/>
  <c r="AE266" i="1" s="1"/>
  <c r="X267" i="1"/>
  <c r="X268" i="1"/>
  <c r="X269" i="1"/>
  <c r="AE269" i="1" s="1"/>
  <c r="X270" i="1"/>
  <c r="AE270" i="1" s="1"/>
  <c r="X271" i="1"/>
  <c r="X272" i="1"/>
  <c r="AE272" i="1" s="1"/>
  <c r="X273" i="1"/>
  <c r="X274" i="1"/>
  <c r="X275" i="1"/>
  <c r="X276" i="1"/>
  <c r="X277" i="1"/>
  <c r="X278" i="1"/>
  <c r="X279" i="1"/>
  <c r="X280" i="1"/>
  <c r="X281" i="1"/>
  <c r="X282" i="1"/>
  <c r="X283" i="1"/>
  <c r="AE283" i="1" s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AE299" i="1" s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AE324" i="1" s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AE352" i="1" s="1"/>
  <c r="X353" i="1"/>
  <c r="X354" i="1"/>
  <c r="X355" i="1"/>
  <c r="X356" i="1"/>
  <c r="X357" i="1"/>
  <c r="X358" i="1"/>
  <c r="X359" i="1"/>
  <c r="X360" i="1"/>
  <c r="X361" i="1"/>
  <c r="X36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V3" i="1"/>
  <c r="AA353" i="1" l="1"/>
  <c r="AA316" i="1"/>
  <c r="AA92" i="1"/>
  <c r="AA76" i="1"/>
  <c r="AA60" i="1"/>
  <c r="AA44" i="1"/>
  <c r="AA91" i="1"/>
  <c r="AA71" i="1"/>
  <c r="AA39" i="1"/>
  <c r="AA270" i="1"/>
  <c r="AA152" i="1"/>
  <c r="AA136" i="1"/>
  <c r="AA120" i="1"/>
  <c r="AA88" i="1"/>
  <c r="AA72" i="1"/>
  <c r="AA360" i="1"/>
  <c r="AA82" i="1"/>
  <c r="AA339" i="1"/>
  <c r="AA45" i="1"/>
  <c r="AA330" i="1"/>
  <c r="AA256" i="1"/>
  <c r="AA106" i="1"/>
  <c r="AA90" i="1"/>
  <c r="AA74" i="1"/>
  <c r="AA309" i="1"/>
  <c r="AA85" i="1"/>
  <c r="AA69" i="1"/>
  <c r="AA53" i="1"/>
  <c r="AE298" i="1"/>
  <c r="AA346" i="1"/>
  <c r="AA84" i="1"/>
  <c r="AA68" i="1"/>
  <c r="AA323" i="1"/>
  <c r="AA249" i="1"/>
  <c r="AA99" i="1"/>
  <c r="AA83" i="1"/>
  <c r="AA67" i="1"/>
  <c r="AA343" i="1"/>
  <c r="AA263" i="1"/>
  <c r="AA129" i="1"/>
  <c r="AA113" i="1"/>
  <c r="AA81" i="1"/>
  <c r="AA65" i="1"/>
  <c r="AA143" i="1"/>
  <c r="AA79" i="1"/>
  <c r="AA126" i="1"/>
  <c r="AA78" i="1"/>
  <c r="AA46" i="1"/>
  <c r="AJ6" i="4"/>
  <c r="F3" i="4"/>
  <c r="AE300" i="1"/>
  <c r="AE238" i="1"/>
  <c r="AE190" i="1"/>
  <c r="AB359" i="1"/>
  <c r="AF359" i="1" s="1"/>
  <c r="AA359" i="1" s="1"/>
  <c r="AB343" i="1"/>
  <c r="AF343" i="1" s="1"/>
  <c r="AB327" i="1"/>
  <c r="AF327" i="1" s="1"/>
  <c r="AA327" i="1" s="1"/>
  <c r="AB311" i="1"/>
  <c r="AF311" i="1" s="1"/>
  <c r="AA311" i="1" s="1"/>
  <c r="AB289" i="1"/>
  <c r="AF289" i="1" s="1"/>
  <c r="AC289" i="1"/>
  <c r="AG289" i="1" s="1"/>
  <c r="AB273" i="1"/>
  <c r="AC273" i="1"/>
  <c r="AG273" i="1" s="1"/>
  <c r="AB259" i="1"/>
  <c r="AF259" i="1" s="1"/>
  <c r="AA259" i="1" s="1"/>
  <c r="AB243" i="1"/>
  <c r="AF243" i="1" s="1"/>
  <c r="AB227" i="1"/>
  <c r="AF227" i="1" s="1"/>
  <c r="AC227" i="1"/>
  <c r="AG227" i="1" s="1"/>
  <c r="AB211" i="1"/>
  <c r="AF211" i="1" s="1"/>
  <c r="AC211" i="1"/>
  <c r="AG211" i="1" s="1"/>
  <c r="AB195" i="1"/>
  <c r="AF195" i="1" s="1"/>
  <c r="AC195" i="1"/>
  <c r="AG195" i="1" s="1"/>
  <c r="AB173" i="1"/>
  <c r="AF173" i="1" s="1"/>
  <c r="AC173" i="1"/>
  <c r="AG173" i="1" s="1"/>
  <c r="AA173" i="1" s="1"/>
  <c r="AB157" i="1"/>
  <c r="AF157" i="1" s="1"/>
  <c r="AC157" i="1"/>
  <c r="AG157" i="1" s="1"/>
  <c r="AA157" i="1" s="1"/>
  <c r="AB145" i="1"/>
  <c r="AF145" i="1" s="1"/>
  <c r="AA145" i="1" s="1"/>
  <c r="AB129" i="1"/>
  <c r="AF129" i="1" s="1"/>
  <c r="AB113" i="1"/>
  <c r="AF113" i="1" s="1"/>
  <c r="AB97" i="1"/>
  <c r="AF97" i="1" s="1"/>
  <c r="AA97" i="1" s="1"/>
  <c r="AB81" i="1"/>
  <c r="AF81" i="1" s="1"/>
  <c r="AB65" i="1"/>
  <c r="AF65" i="1" s="1"/>
  <c r="AB49" i="1"/>
  <c r="AF49" i="1" s="1"/>
  <c r="AA49" i="1" s="1"/>
  <c r="AB33" i="1"/>
  <c r="AB17" i="1"/>
  <c r="AF17" i="1" s="1"/>
  <c r="AC17" i="1"/>
  <c r="AG17" i="1" s="1"/>
  <c r="AB358" i="1"/>
  <c r="AF358" i="1" s="1"/>
  <c r="AA358" i="1" s="1"/>
  <c r="AB342" i="1"/>
  <c r="AF342" i="1" s="1"/>
  <c r="AA342" i="1" s="1"/>
  <c r="AB326" i="1"/>
  <c r="AF326" i="1" s="1"/>
  <c r="AA326" i="1" s="1"/>
  <c r="AB310" i="1"/>
  <c r="AF310" i="1" s="1"/>
  <c r="AA310" i="1" s="1"/>
  <c r="AB288" i="1"/>
  <c r="AF288" i="1" s="1"/>
  <c r="AC288" i="1"/>
  <c r="AB258" i="1"/>
  <c r="AF258" i="1" s="1"/>
  <c r="AA258" i="1" s="1"/>
  <c r="AB242" i="1"/>
  <c r="AF242" i="1" s="1"/>
  <c r="AC242" i="1"/>
  <c r="AG242" i="1" s="1"/>
  <c r="AD226" i="1"/>
  <c r="AB226" i="1"/>
  <c r="AF226" i="1" s="1"/>
  <c r="AC226" i="1"/>
  <c r="AG226" i="1" s="1"/>
  <c r="AA226" i="1" s="1"/>
  <c r="AD210" i="1"/>
  <c r="AB210" i="1"/>
  <c r="AF210" i="1" s="1"/>
  <c r="AC210" i="1"/>
  <c r="AG210" i="1" s="1"/>
  <c r="AA210" i="1" s="1"/>
  <c r="AB194" i="1"/>
  <c r="AF194" i="1" s="1"/>
  <c r="AC194" i="1"/>
  <c r="AG194" i="1" s="1"/>
  <c r="AD172" i="1"/>
  <c r="AB172" i="1"/>
  <c r="AF172" i="1" s="1"/>
  <c r="AC172" i="1"/>
  <c r="AG172" i="1" s="1"/>
  <c r="AA172" i="1" s="1"/>
  <c r="AB156" i="1"/>
  <c r="AF156" i="1" s="1"/>
  <c r="AC156" i="1"/>
  <c r="AG156" i="1" s="1"/>
  <c r="AB144" i="1"/>
  <c r="AF144" i="1" s="1"/>
  <c r="AA144" i="1" s="1"/>
  <c r="AB128" i="1"/>
  <c r="AF128" i="1" s="1"/>
  <c r="AA128" i="1" s="1"/>
  <c r="AB112" i="1"/>
  <c r="AF112" i="1" s="1"/>
  <c r="AA112" i="1" s="1"/>
  <c r="AB96" i="1"/>
  <c r="AF96" i="1" s="1"/>
  <c r="AA96" i="1" s="1"/>
  <c r="AB80" i="1"/>
  <c r="AF80" i="1" s="1"/>
  <c r="AA80" i="1" s="1"/>
  <c r="AB64" i="1"/>
  <c r="AF64" i="1" s="1"/>
  <c r="AB48" i="1"/>
  <c r="AF48" i="1" s="1"/>
  <c r="AA48" i="1" s="1"/>
  <c r="AB32" i="1"/>
  <c r="AF32" i="1" s="1"/>
  <c r="AC32" i="1"/>
  <c r="AG32" i="1" s="1"/>
  <c r="AB16" i="1"/>
  <c r="AF16" i="1" s="1"/>
  <c r="AC16" i="1"/>
  <c r="AG16" i="1" s="1"/>
  <c r="AA16" i="1" s="1"/>
  <c r="AB357" i="1"/>
  <c r="AF357" i="1" s="1"/>
  <c r="AA357" i="1" s="1"/>
  <c r="AB341" i="1"/>
  <c r="AF341" i="1" s="1"/>
  <c r="AA341" i="1" s="1"/>
  <c r="AB325" i="1"/>
  <c r="AF325" i="1" s="1"/>
  <c r="AA325" i="1" s="1"/>
  <c r="AB309" i="1"/>
  <c r="AF309" i="1" s="1"/>
  <c r="AB287" i="1"/>
  <c r="AF287" i="1" s="1"/>
  <c r="AC287" i="1"/>
  <c r="AG287" i="1" s="1"/>
  <c r="AB257" i="1"/>
  <c r="AF257" i="1" s="1"/>
  <c r="AA257" i="1" s="1"/>
  <c r="AB241" i="1"/>
  <c r="AF241" i="1" s="1"/>
  <c r="AC241" i="1"/>
  <c r="AG241" i="1" s="1"/>
  <c r="AB225" i="1"/>
  <c r="AF225" i="1" s="1"/>
  <c r="AC225" i="1"/>
  <c r="AG225" i="1" s="1"/>
  <c r="AB209" i="1"/>
  <c r="AF209" i="1" s="1"/>
  <c r="AC209" i="1"/>
  <c r="AG209" i="1" s="1"/>
  <c r="AB193" i="1"/>
  <c r="AF193" i="1" s="1"/>
  <c r="AC193" i="1"/>
  <c r="AG193" i="1" s="1"/>
  <c r="AC171" i="1"/>
  <c r="AG171" i="1" s="1"/>
  <c r="AA171" i="1" s="1"/>
  <c r="AB171" i="1"/>
  <c r="AF171" i="1" s="1"/>
  <c r="AB155" i="1"/>
  <c r="AF155" i="1" s="1"/>
  <c r="AC155" i="1"/>
  <c r="AG155" i="1" s="1"/>
  <c r="AB143" i="1"/>
  <c r="AF143" i="1" s="1"/>
  <c r="AB127" i="1"/>
  <c r="AF127" i="1" s="1"/>
  <c r="AA127" i="1" s="1"/>
  <c r="AB111" i="1"/>
  <c r="AF111" i="1" s="1"/>
  <c r="AA111" i="1" s="1"/>
  <c r="AB95" i="1"/>
  <c r="AF95" i="1" s="1"/>
  <c r="AA95" i="1" s="1"/>
  <c r="AB79" i="1"/>
  <c r="AF79" i="1" s="1"/>
  <c r="AB63" i="1"/>
  <c r="AB47" i="1"/>
  <c r="AF47" i="1" s="1"/>
  <c r="AA47" i="1" s="1"/>
  <c r="AC31" i="1"/>
  <c r="AG31" i="1" s="1"/>
  <c r="AB31" i="1"/>
  <c r="AF31" i="1" s="1"/>
  <c r="AB15" i="1"/>
  <c r="AF15" i="1" s="1"/>
  <c r="AC15" i="1"/>
  <c r="AG15" i="1" s="1"/>
  <c r="AB356" i="1"/>
  <c r="AF356" i="1" s="1"/>
  <c r="AA356" i="1" s="1"/>
  <c r="AB340" i="1"/>
  <c r="AF340" i="1" s="1"/>
  <c r="AA340" i="1" s="1"/>
  <c r="AB324" i="1"/>
  <c r="AF324" i="1" s="1"/>
  <c r="AA324" i="1" s="1"/>
  <c r="AB308" i="1"/>
  <c r="AF308" i="1" s="1"/>
  <c r="AA308" i="1" s="1"/>
  <c r="AB302" i="1"/>
  <c r="AF302" i="1" s="1"/>
  <c r="AC302" i="1"/>
  <c r="AG302" i="1" s="1"/>
  <c r="AB286" i="1"/>
  <c r="AF286" i="1" s="1"/>
  <c r="AC286" i="1"/>
  <c r="AG286" i="1" s="1"/>
  <c r="AA286" i="1" s="1"/>
  <c r="AB272" i="1"/>
  <c r="AF272" i="1" s="1"/>
  <c r="AA272" i="1" s="1"/>
  <c r="AB256" i="1"/>
  <c r="AF256" i="1" s="1"/>
  <c r="AB240" i="1"/>
  <c r="AF240" i="1" s="1"/>
  <c r="AC240" i="1"/>
  <c r="AG240" i="1" s="1"/>
  <c r="AA240" i="1" s="1"/>
  <c r="AB224" i="1"/>
  <c r="AF224" i="1" s="1"/>
  <c r="AC224" i="1"/>
  <c r="AG224" i="1" s="1"/>
  <c r="AB208" i="1"/>
  <c r="AF208" i="1" s="1"/>
  <c r="AC208" i="1"/>
  <c r="AG208" i="1" s="1"/>
  <c r="AB192" i="1"/>
  <c r="AF192" i="1" s="1"/>
  <c r="AC192" i="1"/>
  <c r="AG192" i="1" s="1"/>
  <c r="AB170" i="1"/>
  <c r="AF170" i="1" s="1"/>
  <c r="AC170" i="1"/>
  <c r="AG170" i="1" s="1"/>
  <c r="AA170" i="1" s="1"/>
  <c r="AB154" i="1"/>
  <c r="AF154" i="1" s="1"/>
  <c r="AC154" i="1"/>
  <c r="AG154" i="1" s="1"/>
  <c r="AB142" i="1"/>
  <c r="AF142" i="1" s="1"/>
  <c r="AA142" i="1" s="1"/>
  <c r="AB126" i="1"/>
  <c r="AF126" i="1" s="1"/>
  <c r="AB110" i="1"/>
  <c r="AF110" i="1" s="1"/>
  <c r="AA110" i="1" s="1"/>
  <c r="AB94" i="1"/>
  <c r="AF94" i="1" s="1"/>
  <c r="AB78" i="1"/>
  <c r="AF78" i="1" s="1"/>
  <c r="AB62" i="1"/>
  <c r="AF62" i="1" s="1"/>
  <c r="AA62" i="1" s="1"/>
  <c r="AB46" i="1"/>
  <c r="AF46" i="1" s="1"/>
  <c r="AC30" i="1"/>
  <c r="AG30" i="1" s="1"/>
  <c r="AA30" i="1" s="1"/>
  <c r="AB30" i="1"/>
  <c r="AF30" i="1" s="1"/>
  <c r="AB14" i="1"/>
  <c r="AF14" i="1" s="1"/>
  <c r="AC14" i="1"/>
  <c r="AB355" i="1"/>
  <c r="AF355" i="1" s="1"/>
  <c r="AA355" i="1" s="1"/>
  <c r="AB339" i="1"/>
  <c r="AF339" i="1" s="1"/>
  <c r="AB323" i="1"/>
  <c r="AF323" i="1" s="1"/>
  <c r="AB307" i="1"/>
  <c r="AF307" i="1" s="1"/>
  <c r="AA307" i="1" s="1"/>
  <c r="AB301" i="1"/>
  <c r="AF301" i="1" s="1"/>
  <c r="AC301" i="1"/>
  <c r="AG301" i="1" s="1"/>
  <c r="AB285" i="1"/>
  <c r="AF285" i="1" s="1"/>
  <c r="AC285" i="1"/>
  <c r="AB271" i="1"/>
  <c r="AF271" i="1" s="1"/>
  <c r="AA271" i="1" s="1"/>
  <c r="AB255" i="1"/>
  <c r="AF255" i="1" s="1"/>
  <c r="AA255" i="1" s="1"/>
  <c r="AB239" i="1"/>
  <c r="AF239" i="1" s="1"/>
  <c r="AC239" i="1"/>
  <c r="AG239" i="1" s="1"/>
  <c r="AB223" i="1"/>
  <c r="AF223" i="1" s="1"/>
  <c r="AC223" i="1"/>
  <c r="AG223" i="1" s="1"/>
  <c r="AB207" i="1"/>
  <c r="AF207" i="1" s="1"/>
  <c r="AC207" i="1"/>
  <c r="AG207" i="1" s="1"/>
  <c r="AB191" i="1"/>
  <c r="AF191" i="1" s="1"/>
  <c r="AC191" i="1"/>
  <c r="AG191" i="1" s="1"/>
  <c r="AB169" i="1"/>
  <c r="AF169" i="1" s="1"/>
  <c r="AC169" i="1"/>
  <c r="AG169" i="1" s="1"/>
  <c r="AA169" i="1" s="1"/>
  <c r="AB153" i="1"/>
  <c r="AC153" i="1"/>
  <c r="AG153" i="1" s="1"/>
  <c r="AB141" i="1"/>
  <c r="AF141" i="1" s="1"/>
  <c r="AA141" i="1" s="1"/>
  <c r="AB125" i="1"/>
  <c r="AF125" i="1" s="1"/>
  <c r="AA125" i="1" s="1"/>
  <c r="AB109" i="1"/>
  <c r="AF109" i="1" s="1"/>
  <c r="AA109" i="1" s="1"/>
  <c r="AB93" i="1"/>
  <c r="AB77" i="1"/>
  <c r="AF77" i="1" s="1"/>
  <c r="AA77" i="1" s="1"/>
  <c r="AB61" i="1"/>
  <c r="AF61" i="1" s="1"/>
  <c r="AA61" i="1" s="1"/>
  <c r="AB45" i="1"/>
  <c r="AF45" i="1" s="1"/>
  <c r="AB29" i="1"/>
  <c r="AF29" i="1" s="1"/>
  <c r="AC29" i="1"/>
  <c r="AG29" i="1" s="1"/>
  <c r="AC13" i="1"/>
  <c r="AG13" i="1" s="1"/>
  <c r="AB13" i="1"/>
  <c r="AF13" i="1" s="1"/>
  <c r="AB354" i="1"/>
  <c r="AF354" i="1" s="1"/>
  <c r="AA354" i="1" s="1"/>
  <c r="AB338" i="1"/>
  <c r="AF338" i="1" s="1"/>
  <c r="AA338" i="1" s="1"/>
  <c r="AB322" i="1"/>
  <c r="AF322" i="1" s="1"/>
  <c r="AA322" i="1" s="1"/>
  <c r="AB306" i="1"/>
  <c r="AF306" i="1" s="1"/>
  <c r="AA306" i="1" s="1"/>
  <c r="AB300" i="1"/>
  <c r="AF300" i="1" s="1"/>
  <c r="AC300" i="1"/>
  <c r="AG300" i="1" s="1"/>
  <c r="AA300" i="1" s="1"/>
  <c r="AB284" i="1"/>
  <c r="AF284" i="1" s="1"/>
  <c r="AC284" i="1"/>
  <c r="AB270" i="1"/>
  <c r="AF270" i="1" s="1"/>
  <c r="AB254" i="1"/>
  <c r="AF254" i="1" s="1"/>
  <c r="AA254" i="1" s="1"/>
  <c r="AB238" i="1"/>
  <c r="AF238" i="1" s="1"/>
  <c r="AC238" i="1"/>
  <c r="AG238" i="1" s="1"/>
  <c r="AB222" i="1"/>
  <c r="AF222" i="1" s="1"/>
  <c r="AC222" i="1"/>
  <c r="AG222" i="1" s="1"/>
  <c r="AB206" i="1"/>
  <c r="AF206" i="1" s="1"/>
  <c r="AC206" i="1"/>
  <c r="AG206" i="1" s="1"/>
  <c r="AB190" i="1"/>
  <c r="AF190" i="1" s="1"/>
  <c r="AC190" i="1"/>
  <c r="AG190" i="1" s="1"/>
  <c r="AC168" i="1"/>
  <c r="AG168" i="1" s="1"/>
  <c r="AA168" i="1" s="1"/>
  <c r="AB168" i="1"/>
  <c r="AF168" i="1" s="1"/>
  <c r="AB140" i="1"/>
  <c r="AF140" i="1" s="1"/>
  <c r="AA140" i="1" s="1"/>
  <c r="AB124" i="1"/>
  <c r="AF124" i="1" s="1"/>
  <c r="AB108" i="1"/>
  <c r="AF108" i="1" s="1"/>
  <c r="AA108" i="1" s="1"/>
  <c r="AB92" i="1"/>
  <c r="AF92" i="1" s="1"/>
  <c r="AB76" i="1"/>
  <c r="AF76" i="1" s="1"/>
  <c r="AB60" i="1"/>
  <c r="AF60" i="1" s="1"/>
  <c r="AB44" i="1"/>
  <c r="AF44" i="1" s="1"/>
  <c r="AB28" i="1"/>
  <c r="AF28" i="1" s="1"/>
  <c r="AC28" i="1"/>
  <c r="AB12" i="1"/>
  <c r="AF12" i="1" s="1"/>
  <c r="AC12" i="1"/>
  <c r="AB353" i="1"/>
  <c r="AF353" i="1" s="1"/>
  <c r="AB337" i="1"/>
  <c r="AF337" i="1" s="1"/>
  <c r="AA337" i="1" s="1"/>
  <c r="AB321" i="1"/>
  <c r="AF321" i="1" s="1"/>
  <c r="AA321" i="1" s="1"/>
  <c r="AB305" i="1"/>
  <c r="AF305" i="1" s="1"/>
  <c r="AA305" i="1" s="1"/>
  <c r="AB299" i="1"/>
  <c r="AF299" i="1" s="1"/>
  <c r="AC299" i="1"/>
  <c r="AB283" i="1"/>
  <c r="AF283" i="1" s="1"/>
  <c r="AC283" i="1"/>
  <c r="AG283" i="1" s="1"/>
  <c r="AB269" i="1"/>
  <c r="AF269" i="1" s="1"/>
  <c r="AA269" i="1" s="1"/>
  <c r="AB253" i="1"/>
  <c r="AF253" i="1" s="1"/>
  <c r="AA253" i="1" s="1"/>
  <c r="AB237" i="1"/>
  <c r="AF237" i="1" s="1"/>
  <c r="AC237" i="1"/>
  <c r="AG237" i="1" s="1"/>
  <c r="AB221" i="1"/>
  <c r="AF221" i="1" s="1"/>
  <c r="AC221" i="1"/>
  <c r="AG221" i="1" s="1"/>
  <c r="AC205" i="1"/>
  <c r="AG205" i="1" s="1"/>
  <c r="AB205" i="1"/>
  <c r="AF205" i="1" s="1"/>
  <c r="AD189" i="1"/>
  <c r="AB189" i="1"/>
  <c r="AF189" i="1" s="1"/>
  <c r="AC189" i="1"/>
  <c r="AG189" i="1" s="1"/>
  <c r="AA189" i="1" s="1"/>
  <c r="AB167" i="1"/>
  <c r="AF167" i="1" s="1"/>
  <c r="AC167" i="1"/>
  <c r="AG167" i="1" s="1"/>
  <c r="AB139" i="1"/>
  <c r="AF139" i="1" s="1"/>
  <c r="AA139" i="1" s="1"/>
  <c r="AB123" i="1"/>
  <c r="AB107" i="1"/>
  <c r="AF107" i="1" s="1"/>
  <c r="AA107" i="1" s="1"/>
  <c r="AB91" i="1"/>
  <c r="AF91" i="1" s="1"/>
  <c r="AB75" i="1"/>
  <c r="AF75" i="1" s="1"/>
  <c r="AA75" i="1" s="1"/>
  <c r="AB59" i="1"/>
  <c r="AF59" i="1" s="1"/>
  <c r="AA59" i="1" s="1"/>
  <c r="AB43" i="1"/>
  <c r="AF43" i="1" s="1"/>
  <c r="AA43" i="1" s="1"/>
  <c r="AB27" i="1"/>
  <c r="AF27" i="1" s="1"/>
  <c r="AC27" i="1"/>
  <c r="AB11" i="1"/>
  <c r="AF11" i="1" s="1"/>
  <c r="AC11" i="1"/>
  <c r="AG11" i="1" s="1"/>
  <c r="AB352" i="1"/>
  <c r="AF352" i="1" s="1"/>
  <c r="AA352" i="1" s="1"/>
  <c r="AB336" i="1"/>
  <c r="AF336" i="1" s="1"/>
  <c r="AA336" i="1" s="1"/>
  <c r="AB320" i="1"/>
  <c r="AF320" i="1" s="1"/>
  <c r="AA320" i="1" s="1"/>
  <c r="AB304" i="1"/>
  <c r="AF304" i="1" s="1"/>
  <c r="AB298" i="1"/>
  <c r="AF298" i="1" s="1"/>
  <c r="AC298" i="1"/>
  <c r="AG298" i="1" s="1"/>
  <c r="AB282" i="1"/>
  <c r="AF282" i="1" s="1"/>
  <c r="AC282" i="1"/>
  <c r="AG282" i="1" s="1"/>
  <c r="AB268" i="1"/>
  <c r="AF268" i="1" s="1"/>
  <c r="AA268" i="1" s="1"/>
  <c r="AB252" i="1"/>
  <c r="AF252" i="1" s="1"/>
  <c r="AA252" i="1" s="1"/>
  <c r="AB236" i="1"/>
  <c r="AF236" i="1" s="1"/>
  <c r="AC236" i="1"/>
  <c r="AG236" i="1" s="1"/>
  <c r="AC220" i="1"/>
  <c r="AG220" i="1" s="1"/>
  <c r="AB220" i="1"/>
  <c r="AF220" i="1" s="1"/>
  <c r="AC204" i="1"/>
  <c r="AG204" i="1" s="1"/>
  <c r="AB204" i="1"/>
  <c r="AF204" i="1" s="1"/>
  <c r="AB188" i="1"/>
  <c r="AF188" i="1" s="1"/>
  <c r="AC188" i="1"/>
  <c r="AG188" i="1" s="1"/>
  <c r="AB182" i="1"/>
  <c r="AF182" i="1" s="1"/>
  <c r="AC182" i="1"/>
  <c r="AG182" i="1" s="1"/>
  <c r="AD166" i="1"/>
  <c r="AB166" i="1"/>
  <c r="AF166" i="1" s="1"/>
  <c r="AC166" i="1"/>
  <c r="AG166" i="1" s="1"/>
  <c r="AA166" i="1" s="1"/>
  <c r="AB138" i="1"/>
  <c r="AF138" i="1" s="1"/>
  <c r="AA138" i="1" s="1"/>
  <c r="AB122" i="1"/>
  <c r="AF122" i="1" s="1"/>
  <c r="AA122" i="1" s="1"/>
  <c r="AB106" i="1"/>
  <c r="AF106" i="1" s="1"/>
  <c r="AB90" i="1"/>
  <c r="AF90" i="1" s="1"/>
  <c r="AB74" i="1"/>
  <c r="AF74" i="1" s="1"/>
  <c r="AB58" i="1"/>
  <c r="AF58" i="1" s="1"/>
  <c r="AA58" i="1" s="1"/>
  <c r="AB42" i="1"/>
  <c r="AF42" i="1" s="1"/>
  <c r="AA42" i="1" s="1"/>
  <c r="AB26" i="1"/>
  <c r="AF26" i="1" s="1"/>
  <c r="AC26" i="1"/>
  <c r="AG26" i="1" s="1"/>
  <c r="AB10" i="1"/>
  <c r="AF10" i="1" s="1"/>
  <c r="AC10" i="1"/>
  <c r="AB351" i="1"/>
  <c r="AF351" i="1" s="1"/>
  <c r="AA351" i="1" s="1"/>
  <c r="AB335" i="1"/>
  <c r="AF335" i="1" s="1"/>
  <c r="AA335" i="1" s="1"/>
  <c r="AB319" i="1"/>
  <c r="AF319" i="1" s="1"/>
  <c r="AA319" i="1" s="1"/>
  <c r="AB303" i="1"/>
  <c r="AB297" i="1"/>
  <c r="AF297" i="1" s="1"/>
  <c r="AC297" i="1"/>
  <c r="AG297" i="1" s="1"/>
  <c r="AA297" i="1" s="1"/>
  <c r="AB281" i="1"/>
  <c r="AF281" i="1" s="1"/>
  <c r="AC281" i="1"/>
  <c r="AB267" i="1"/>
  <c r="AF267" i="1" s="1"/>
  <c r="AA267" i="1" s="1"/>
  <c r="AB251" i="1"/>
  <c r="AF251" i="1" s="1"/>
  <c r="AA251" i="1" s="1"/>
  <c r="AB235" i="1"/>
  <c r="AF235" i="1" s="1"/>
  <c r="AC235" i="1"/>
  <c r="AG235" i="1" s="1"/>
  <c r="AD219" i="1"/>
  <c r="AC219" i="1"/>
  <c r="AG219" i="1" s="1"/>
  <c r="AA219" i="1" s="1"/>
  <c r="AB219" i="1"/>
  <c r="AF219" i="1" s="1"/>
  <c r="AD203" i="1"/>
  <c r="AC203" i="1"/>
  <c r="AG203" i="1" s="1"/>
  <c r="AA203" i="1" s="1"/>
  <c r="AB203" i="1"/>
  <c r="AF203" i="1" s="1"/>
  <c r="AB187" i="1"/>
  <c r="AF187" i="1" s="1"/>
  <c r="AC187" i="1"/>
  <c r="AG187" i="1" s="1"/>
  <c r="AB181" i="1"/>
  <c r="AF181" i="1" s="1"/>
  <c r="AC181" i="1"/>
  <c r="AG181" i="1" s="1"/>
  <c r="AC165" i="1"/>
  <c r="AG165" i="1" s="1"/>
  <c r="AB165" i="1"/>
  <c r="AF165" i="1" s="1"/>
  <c r="AB137" i="1"/>
  <c r="AF137" i="1" s="1"/>
  <c r="AA137" i="1" s="1"/>
  <c r="AB121" i="1"/>
  <c r="AF121" i="1" s="1"/>
  <c r="AA121" i="1" s="1"/>
  <c r="AB105" i="1"/>
  <c r="AF105" i="1" s="1"/>
  <c r="AA105" i="1" s="1"/>
  <c r="AB89" i="1"/>
  <c r="AF89" i="1" s="1"/>
  <c r="AB73" i="1"/>
  <c r="AF73" i="1" s="1"/>
  <c r="AA73" i="1" s="1"/>
  <c r="AB57" i="1"/>
  <c r="AF57" i="1" s="1"/>
  <c r="AA57" i="1" s="1"/>
  <c r="AB41" i="1"/>
  <c r="AF41" i="1" s="1"/>
  <c r="AA41" i="1" s="1"/>
  <c r="AB25" i="1"/>
  <c r="AF25" i="1" s="1"/>
  <c r="AC25" i="1"/>
  <c r="AG25" i="1" s="1"/>
  <c r="AD9" i="1"/>
  <c r="AB9" i="1"/>
  <c r="AF9" i="1" s="1"/>
  <c r="AC9" i="1"/>
  <c r="AG9" i="1" s="1"/>
  <c r="AA9" i="1" s="1"/>
  <c r="AB350" i="1"/>
  <c r="AF350" i="1" s="1"/>
  <c r="AA350" i="1" s="1"/>
  <c r="AB334" i="1"/>
  <c r="AF334" i="1" s="1"/>
  <c r="AB318" i="1"/>
  <c r="AB296" i="1"/>
  <c r="AF296" i="1" s="1"/>
  <c r="AC296" i="1"/>
  <c r="AG296" i="1" s="1"/>
  <c r="AB280" i="1"/>
  <c r="AF280" i="1" s="1"/>
  <c r="AC280" i="1"/>
  <c r="AG280" i="1" s="1"/>
  <c r="AB266" i="1"/>
  <c r="AF266" i="1" s="1"/>
  <c r="AA266" i="1" s="1"/>
  <c r="AB250" i="1"/>
  <c r="AF250" i="1" s="1"/>
  <c r="AA250" i="1" s="1"/>
  <c r="AB234" i="1"/>
  <c r="AF234" i="1" s="1"/>
  <c r="AC234" i="1"/>
  <c r="AG234" i="1" s="1"/>
  <c r="AB218" i="1"/>
  <c r="AF218" i="1" s="1"/>
  <c r="AC218" i="1"/>
  <c r="AG218" i="1" s="1"/>
  <c r="AB202" i="1"/>
  <c r="AF202" i="1" s="1"/>
  <c r="AC202" i="1"/>
  <c r="AG202" i="1" s="1"/>
  <c r="AB186" i="1"/>
  <c r="AF186" i="1" s="1"/>
  <c r="AC186" i="1"/>
  <c r="AG186" i="1" s="1"/>
  <c r="AB180" i="1"/>
  <c r="AF180" i="1" s="1"/>
  <c r="AC180" i="1"/>
  <c r="AG180" i="1" s="1"/>
  <c r="AA180" i="1" s="1"/>
  <c r="AB164" i="1"/>
  <c r="AF164" i="1" s="1"/>
  <c r="AC164" i="1"/>
  <c r="AG164" i="1" s="1"/>
  <c r="AB152" i="1"/>
  <c r="AF152" i="1" s="1"/>
  <c r="AB136" i="1"/>
  <c r="AF136" i="1" s="1"/>
  <c r="AB120" i="1"/>
  <c r="AF120" i="1" s="1"/>
  <c r="AB104" i="1"/>
  <c r="AF104" i="1" s="1"/>
  <c r="AA104" i="1" s="1"/>
  <c r="AB88" i="1"/>
  <c r="AF88" i="1" s="1"/>
  <c r="AB72" i="1"/>
  <c r="AF72" i="1" s="1"/>
  <c r="AB56" i="1"/>
  <c r="AF56" i="1" s="1"/>
  <c r="AA56" i="1" s="1"/>
  <c r="AB40" i="1"/>
  <c r="AF40" i="1" s="1"/>
  <c r="AA40" i="1" s="1"/>
  <c r="AB24" i="1"/>
  <c r="AF24" i="1" s="1"/>
  <c r="AC24" i="1"/>
  <c r="AG24" i="1" s="1"/>
  <c r="AB8" i="1"/>
  <c r="AF8" i="1" s="1"/>
  <c r="AC8" i="1"/>
  <c r="AG8" i="1" s="1"/>
  <c r="AB349" i="1"/>
  <c r="AF349" i="1" s="1"/>
  <c r="AA349" i="1" s="1"/>
  <c r="AB333" i="1"/>
  <c r="AB317" i="1"/>
  <c r="AF317" i="1" s="1"/>
  <c r="AA317" i="1" s="1"/>
  <c r="AB295" i="1"/>
  <c r="AF295" i="1" s="1"/>
  <c r="AC295" i="1"/>
  <c r="AG295" i="1" s="1"/>
  <c r="AB279" i="1"/>
  <c r="AF279" i="1" s="1"/>
  <c r="AC279" i="1"/>
  <c r="AG279" i="1" s="1"/>
  <c r="AA279" i="1" s="1"/>
  <c r="AB265" i="1"/>
  <c r="AF265" i="1" s="1"/>
  <c r="AA265" i="1" s="1"/>
  <c r="AB249" i="1"/>
  <c r="AF249" i="1" s="1"/>
  <c r="AB233" i="1"/>
  <c r="AF233" i="1" s="1"/>
  <c r="AC233" i="1"/>
  <c r="AG233" i="1" s="1"/>
  <c r="AA233" i="1" s="1"/>
  <c r="AB217" i="1"/>
  <c r="AF217" i="1" s="1"/>
  <c r="AC217" i="1"/>
  <c r="AG217" i="1" s="1"/>
  <c r="AB201" i="1"/>
  <c r="AF201" i="1" s="1"/>
  <c r="AC201" i="1"/>
  <c r="AG201" i="1" s="1"/>
  <c r="AB185" i="1"/>
  <c r="AF185" i="1" s="1"/>
  <c r="AC185" i="1"/>
  <c r="AG185" i="1" s="1"/>
  <c r="AB179" i="1"/>
  <c r="AF179" i="1" s="1"/>
  <c r="AC179" i="1"/>
  <c r="AG179" i="1" s="1"/>
  <c r="AB163" i="1"/>
  <c r="AF163" i="1" s="1"/>
  <c r="AC163" i="1"/>
  <c r="AG163" i="1" s="1"/>
  <c r="AB151" i="1"/>
  <c r="AF151" i="1" s="1"/>
  <c r="AA151" i="1" s="1"/>
  <c r="AB135" i="1"/>
  <c r="AF135" i="1" s="1"/>
  <c r="AA135" i="1" s="1"/>
  <c r="AB119" i="1"/>
  <c r="AF119" i="1" s="1"/>
  <c r="AA119" i="1" s="1"/>
  <c r="AB103" i="1"/>
  <c r="AF103" i="1" s="1"/>
  <c r="AA103" i="1" s="1"/>
  <c r="AB87" i="1"/>
  <c r="AF87" i="1" s="1"/>
  <c r="AA87" i="1" s="1"/>
  <c r="AB71" i="1"/>
  <c r="AF71" i="1" s="1"/>
  <c r="AB55" i="1"/>
  <c r="AF55" i="1" s="1"/>
  <c r="AA55" i="1" s="1"/>
  <c r="AB39" i="1"/>
  <c r="AF39" i="1" s="1"/>
  <c r="AB23" i="1"/>
  <c r="AF23" i="1" s="1"/>
  <c r="AC23" i="1"/>
  <c r="AG23" i="1" s="1"/>
  <c r="AA23" i="1" s="1"/>
  <c r="AB7" i="1"/>
  <c r="AF7" i="1" s="1"/>
  <c r="AC7" i="1"/>
  <c r="AG7" i="1" s="1"/>
  <c r="AB348" i="1"/>
  <c r="AF348" i="1" s="1"/>
  <c r="AA348" i="1" s="1"/>
  <c r="AB332" i="1"/>
  <c r="AF332" i="1" s="1"/>
  <c r="AA332" i="1" s="1"/>
  <c r="AB316" i="1"/>
  <c r="AF316" i="1" s="1"/>
  <c r="AB294" i="1"/>
  <c r="AF294" i="1" s="1"/>
  <c r="AC294" i="1"/>
  <c r="AG294" i="1" s="1"/>
  <c r="AA294" i="1" s="1"/>
  <c r="AB278" i="1"/>
  <c r="AF278" i="1" s="1"/>
  <c r="AC278" i="1"/>
  <c r="AG278" i="1" s="1"/>
  <c r="AB264" i="1"/>
  <c r="AF264" i="1" s="1"/>
  <c r="AA264" i="1" s="1"/>
  <c r="AB248" i="1"/>
  <c r="AF248" i="1" s="1"/>
  <c r="AA248" i="1" s="1"/>
  <c r="AB232" i="1"/>
  <c r="AF232" i="1" s="1"/>
  <c r="AC232" i="1"/>
  <c r="AG232" i="1" s="1"/>
  <c r="AB216" i="1"/>
  <c r="AF216" i="1" s="1"/>
  <c r="AC216" i="1"/>
  <c r="AG216" i="1" s="1"/>
  <c r="AB200" i="1"/>
  <c r="AF200" i="1" s="1"/>
  <c r="AC200" i="1"/>
  <c r="AG200" i="1" s="1"/>
  <c r="AB184" i="1"/>
  <c r="AF184" i="1" s="1"/>
  <c r="AC184" i="1"/>
  <c r="AG184" i="1" s="1"/>
  <c r="AB178" i="1"/>
  <c r="AF178" i="1" s="1"/>
  <c r="AC178" i="1"/>
  <c r="AG178" i="1" s="1"/>
  <c r="AB162" i="1"/>
  <c r="AF162" i="1" s="1"/>
  <c r="AC162" i="1"/>
  <c r="AG162" i="1" s="1"/>
  <c r="AB150" i="1"/>
  <c r="AF150" i="1" s="1"/>
  <c r="AB134" i="1"/>
  <c r="AF134" i="1" s="1"/>
  <c r="AA134" i="1" s="1"/>
  <c r="AB118" i="1"/>
  <c r="AF118" i="1" s="1"/>
  <c r="AA118" i="1" s="1"/>
  <c r="AB102" i="1"/>
  <c r="AF102" i="1" s="1"/>
  <c r="AA102" i="1" s="1"/>
  <c r="AB86" i="1"/>
  <c r="AF86" i="1" s="1"/>
  <c r="AA86" i="1" s="1"/>
  <c r="AB70" i="1"/>
  <c r="AF70" i="1" s="1"/>
  <c r="AB54" i="1"/>
  <c r="AF54" i="1" s="1"/>
  <c r="AB38" i="1"/>
  <c r="AF38" i="1" s="1"/>
  <c r="AB22" i="1"/>
  <c r="AF22" i="1" s="1"/>
  <c r="AC22" i="1"/>
  <c r="AG22" i="1" s="1"/>
  <c r="AB6" i="1"/>
  <c r="AF6" i="1" s="1"/>
  <c r="AC6" i="1"/>
  <c r="AB347" i="1"/>
  <c r="AF347" i="1" s="1"/>
  <c r="AA347" i="1" s="1"/>
  <c r="AB331" i="1"/>
  <c r="AF331" i="1" s="1"/>
  <c r="AA331" i="1" s="1"/>
  <c r="AB315" i="1"/>
  <c r="AF315" i="1" s="1"/>
  <c r="AA315" i="1" s="1"/>
  <c r="AB293" i="1"/>
  <c r="AF293" i="1" s="1"/>
  <c r="AC293" i="1"/>
  <c r="AG293" i="1" s="1"/>
  <c r="AA293" i="1" s="1"/>
  <c r="AB277" i="1"/>
  <c r="AF277" i="1" s="1"/>
  <c r="AC277" i="1"/>
  <c r="AG277" i="1" s="1"/>
  <c r="AB263" i="1"/>
  <c r="AF263" i="1" s="1"/>
  <c r="AB247" i="1"/>
  <c r="AF247" i="1" s="1"/>
  <c r="AA247" i="1" s="1"/>
  <c r="AB231" i="1"/>
  <c r="AF231" i="1" s="1"/>
  <c r="AC231" i="1"/>
  <c r="AG231" i="1" s="1"/>
  <c r="AB215" i="1"/>
  <c r="AF215" i="1" s="1"/>
  <c r="AC215" i="1"/>
  <c r="AG215" i="1" s="1"/>
  <c r="AB199" i="1"/>
  <c r="AF199" i="1" s="1"/>
  <c r="AC199" i="1"/>
  <c r="AG199" i="1" s="1"/>
  <c r="AB183" i="1"/>
  <c r="AF183" i="1" s="1"/>
  <c r="AC183" i="1"/>
  <c r="AG183" i="1" s="1"/>
  <c r="AB177" i="1"/>
  <c r="AF177" i="1" s="1"/>
  <c r="AC177" i="1"/>
  <c r="AG177" i="1" s="1"/>
  <c r="AB161" i="1"/>
  <c r="AF161" i="1" s="1"/>
  <c r="AC161" i="1"/>
  <c r="AG161" i="1" s="1"/>
  <c r="AB149" i="1"/>
  <c r="AF149" i="1" s="1"/>
  <c r="AA149" i="1" s="1"/>
  <c r="AB133" i="1"/>
  <c r="AF133" i="1" s="1"/>
  <c r="AA133" i="1" s="1"/>
  <c r="AB117" i="1"/>
  <c r="AF117" i="1" s="1"/>
  <c r="AA117" i="1" s="1"/>
  <c r="AB101" i="1"/>
  <c r="AF101" i="1" s="1"/>
  <c r="AA101" i="1" s="1"/>
  <c r="AB85" i="1"/>
  <c r="AF85" i="1" s="1"/>
  <c r="AB69" i="1"/>
  <c r="AF69" i="1" s="1"/>
  <c r="AB53" i="1"/>
  <c r="AF53" i="1" s="1"/>
  <c r="AB37" i="1"/>
  <c r="AF37" i="1" s="1"/>
  <c r="AA37" i="1" s="1"/>
  <c r="AB21" i="1"/>
  <c r="AF21" i="1" s="1"/>
  <c r="AC21" i="1"/>
  <c r="AG21" i="1" s="1"/>
  <c r="AC5" i="1"/>
  <c r="AG5" i="1" s="1"/>
  <c r="AB5" i="1"/>
  <c r="AF5" i="1" s="1"/>
  <c r="AB362" i="1"/>
  <c r="AF362" i="1" s="1"/>
  <c r="AA362" i="1" s="1"/>
  <c r="AB346" i="1"/>
  <c r="AF346" i="1" s="1"/>
  <c r="AB330" i="1"/>
  <c r="AF330" i="1" s="1"/>
  <c r="AB314" i="1"/>
  <c r="AF314" i="1" s="1"/>
  <c r="AA314" i="1" s="1"/>
  <c r="AB292" i="1"/>
  <c r="AF292" i="1" s="1"/>
  <c r="AC292" i="1"/>
  <c r="AG292" i="1" s="1"/>
  <c r="AC276" i="1"/>
  <c r="AG276" i="1" s="1"/>
  <c r="AB276" i="1"/>
  <c r="AF276" i="1" s="1"/>
  <c r="AB262" i="1"/>
  <c r="AF262" i="1" s="1"/>
  <c r="AA262" i="1" s="1"/>
  <c r="AB246" i="1"/>
  <c r="AF246" i="1" s="1"/>
  <c r="AA246" i="1" s="1"/>
  <c r="AB230" i="1"/>
  <c r="AF230" i="1" s="1"/>
  <c r="AC230" i="1"/>
  <c r="AG230" i="1" s="1"/>
  <c r="AA230" i="1" s="1"/>
  <c r="AB214" i="1"/>
  <c r="AF214" i="1" s="1"/>
  <c r="AC214" i="1"/>
  <c r="AG214" i="1" s="1"/>
  <c r="AB198" i="1"/>
  <c r="AF198" i="1" s="1"/>
  <c r="AC198" i="1"/>
  <c r="AG198" i="1" s="1"/>
  <c r="AB176" i="1"/>
  <c r="AF176" i="1" s="1"/>
  <c r="AC176" i="1"/>
  <c r="AG176" i="1" s="1"/>
  <c r="AB160" i="1"/>
  <c r="AF160" i="1" s="1"/>
  <c r="AC160" i="1"/>
  <c r="AG160" i="1" s="1"/>
  <c r="AB148" i="1"/>
  <c r="AF148" i="1" s="1"/>
  <c r="AA148" i="1" s="1"/>
  <c r="AB132" i="1"/>
  <c r="AF132" i="1" s="1"/>
  <c r="AA132" i="1" s="1"/>
  <c r="AB116" i="1"/>
  <c r="AF116" i="1" s="1"/>
  <c r="AA116" i="1" s="1"/>
  <c r="AB100" i="1"/>
  <c r="AF100" i="1" s="1"/>
  <c r="AA100" i="1" s="1"/>
  <c r="AB84" i="1"/>
  <c r="AF84" i="1" s="1"/>
  <c r="AB68" i="1"/>
  <c r="AF68" i="1" s="1"/>
  <c r="AB52" i="1"/>
  <c r="AF52" i="1" s="1"/>
  <c r="AA52" i="1" s="1"/>
  <c r="AB36" i="1"/>
  <c r="AF36" i="1" s="1"/>
  <c r="AA36" i="1" s="1"/>
  <c r="AB20" i="1"/>
  <c r="AF20" i="1" s="1"/>
  <c r="AC20" i="1"/>
  <c r="AG20" i="1" s="1"/>
  <c r="AB4" i="1"/>
  <c r="AF4" i="1" s="1"/>
  <c r="AC4" i="1"/>
  <c r="AG4" i="1" s="1"/>
  <c r="AB361" i="1"/>
  <c r="AF361" i="1" s="1"/>
  <c r="AA361" i="1" s="1"/>
  <c r="AB345" i="1"/>
  <c r="AF345" i="1" s="1"/>
  <c r="AA345" i="1" s="1"/>
  <c r="AB329" i="1"/>
  <c r="AF329" i="1" s="1"/>
  <c r="AA329" i="1" s="1"/>
  <c r="AB313" i="1"/>
  <c r="AF313" i="1" s="1"/>
  <c r="AA313" i="1" s="1"/>
  <c r="AB291" i="1"/>
  <c r="AF291" i="1" s="1"/>
  <c r="AC291" i="1"/>
  <c r="AB275" i="1"/>
  <c r="AF275" i="1" s="1"/>
  <c r="AC275" i="1"/>
  <c r="AG275" i="1" s="1"/>
  <c r="AB261" i="1"/>
  <c r="AF261" i="1" s="1"/>
  <c r="AA261" i="1" s="1"/>
  <c r="AB245" i="1"/>
  <c r="AF245" i="1" s="1"/>
  <c r="AA245" i="1" s="1"/>
  <c r="AB229" i="1"/>
  <c r="AF229" i="1" s="1"/>
  <c r="AC229" i="1"/>
  <c r="AG229" i="1" s="1"/>
  <c r="AB213" i="1"/>
  <c r="AC213" i="1"/>
  <c r="AG213" i="1" s="1"/>
  <c r="AB197" i="1"/>
  <c r="AF197" i="1" s="1"/>
  <c r="AC197" i="1"/>
  <c r="AG197" i="1" s="1"/>
  <c r="AB175" i="1"/>
  <c r="AF175" i="1" s="1"/>
  <c r="AC175" i="1"/>
  <c r="AG175" i="1" s="1"/>
  <c r="AB159" i="1"/>
  <c r="AF159" i="1" s="1"/>
  <c r="AC159" i="1"/>
  <c r="AG159" i="1" s="1"/>
  <c r="AA159" i="1" s="1"/>
  <c r="AB147" i="1"/>
  <c r="AF147" i="1" s="1"/>
  <c r="AA147" i="1" s="1"/>
  <c r="AB131" i="1"/>
  <c r="AF131" i="1" s="1"/>
  <c r="AA131" i="1" s="1"/>
  <c r="AB115" i="1"/>
  <c r="AF115" i="1" s="1"/>
  <c r="AA115" i="1" s="1"/>
  <c r="AB99" i="1"/>
  <c r="AF99" i="1" s="1"/>
  <c r="AB83" i="1"/>
  <c r="AF83" i="1" s="1"/>
  <c r="AB67" i="1"/>
  <c r="AF67" i="1" s="1"/>
  <c r="AB51" i="1"/>
  <c r="AF51" i="1" s="1"/>
  <c r="AA51" i="1" s="1"/>
  <c r="AB35" i="1"/>
  <c r="AF35" i="1" s="1"/>
  <c r="AA35" i="1" s="1"/>
  <c r="AC19" i="1"/>
  <c r="AG19" i="1" s="1"/>
  <c r="AB19" i="1"/>
  <c r="AF19" i="1" s="1"/>
  <c r="AB3" i="1"/>
  <c r="AC3" i="1"/>
  <c r="AB360" i="1"/>
  <c r="AF360" i="1" s="1"/>
  <c r="AB344" i="1"/>
  <c r="AF344" i="1" s="1"/>
  <c r="AA344" i="1" s="1"/>
  <c r="AB328" i="1"/>
  <c r="AF328" i="1" s="1"/>
  <c r="AA328" i="1" s="1"/>
  <c r="AB312" i="1"/>
  <c r="AF312" i="1" s="1"/>
  <c r="AA312" i="1" s="1"/>
  <c r="AB290" i="1"/>
  <c r="AF290" i="1" s="1"/>
  <c r="AC290" i="1"/>
  <c r="AG290" i="1" s="1"/>
  <c r="AB274" i="1"/>
  <c r="AF274" i="1" s="1"/>
  <c r="AC274" i="1"/>
  <c r="AG274" i="1" s="1"/>
  <c r="AB260" i="1"/>
  <c r="AF260" i="1" s="1"/>
  <c r="AA260" i="1" s="1"/>
  <c r="AB244" i="1"/>
  <c r="AF244" i="1" s="1"/>
  <c r="AB228" i="1"/>
  <c r="AF228" i="1" s="1"/>
  <c r="AC228" i="1"/>
  <c r="AG228" i="1" s="1"/>
  <c r="AB212" i="1"/>
  <c r="AF212" i="1" s="1"/>
  <c r="AC212" i="1"/>
  <c r="AG212" i="1" s="1"/>
  <c r="AA212" i="1" s="1"/>
  <c r="AB196" i="1"/>
  <c r="AF196" i="1" s="1"/>
  <c r="AC196" i="1"/>
  <c r="AG196" i="1" s="1"/>
  <c r="AA196" i="1" s="1"/>
  <c r="AB174" i="1"/>
  <c r="AF174" i="1" s="1"/>
  <c r="AC174" i="1"/>
  <c r="AG174" i="1" s="1"/>
  <c r="AB158" i="1"/>
  <c r="AF158" i="1" s="1"/>
  <c r="AC158" i="1"/>
  <c r="AG158" i="1" s="1"/>
  <c r="AB146" i="1"/>
  <c r="AF146" i="1" s="1"/>
  <c r="AA146" i="1" s="1"/>
  <c r="AB130" i="1"/>
  <c r="AF130" i="1" s="1"/>
  <c r="AA130" i="1" s="1"/>
  <c r="AB114" i="1"/>
  <c r="AF114" i="1" s="1"/>
  <c r="AA114" i="1" s="1"/>
  <c r="AB98" i="1"/>
  <c r="AF98" i="1" s="1"/>
  <c r="AA98" i="1" s="1"/>
  <c r="AB82" i="1"/>
  <c r="AF82" i="1" s="1"/>
  <c r="AB66" i="1"/>
  <c r="AF66" i="1" s="1"/>
  <c r="AA66" i="1" s="1"/>
  <c r="AB50" i="1"/>
  <c r="AF50" i="1" s="1"/>
  <c r="AA50" i="1" s="1"/>
  <c r="AB34" i="1"/>
  <c r="AF34" i="1" s="1"/>
  <c r="AB18" i="1"/>
  <c r="AF18" i="1" s="1"/>
  <c r="AC18" i="1"/>
  <c r="AD300" i="1"/>
  <c r="AD168" i="1"/>
  <c r="AD171" i="1"/>
  <c r="AE287" i="1"/>
  <c r="AD274" i="1"/>
  <c r="AD273" i="1"/>
  <c r="AE211" i="1"/>
  <c r="AE195" i="1"/>
  <c r="AE173" i="1"/>
  <c r="AE157" i="1"/>
  <c r="AD173" i="1"/>
  <c r="AD16" i="1"/>
  <c r="AD196" i="1"/>
  <c r="AD214" i="1"/>
  <c r="AD213" i="1"/>
  <c r="AD159" i="1"/>
  <c r="AD3" i="1"/>
  <c r="AD169" i="1"/>
  <c r="AD153" i="1"/>
  <c r="AD298" i="1"/>
  <c r="AD282" i="1"/>
  <c r="AD236" i="1"/>
  <c r="AD220" i="1"/>
  <c r="AD204" i="1"/>
  <c r="AD188" i="1"/>
  <c r="AD182" i="1"/>
  <c r="AD26" i="1"/>
  <c r="AD10" i="1"/>
  <c r="AD4" i="1"/>
  <c r="AD286" i="1"/>
  <c r="AD240" i="1"/>
  <c r="AD170" i="1"/>
  <c r="AD154" i="1"/>
  <c r="AD30" i="1"/>
  <c r="AD293" i="1"/>
  <c r="AD183" i="1"/>
  <c r="AD289" i="1"/>
  <c r="AD297" i="1"/>
  <c r="AD281" i="1"/>
  <c r="AD235" i="1"/>
  <c r="AD187" i="1"/>
  <c r="AD181" i="1"/>
  <c r="AD165" i="1"/>
  <c r="AD25" i="1"/>
  <c r="AD296" i="1"/>
  <c r="AD280" i="1"/>
  <c r="AD234" i="1"/>
  <c r="AD218" i="1"/>
  <c r="AD202" i="1"/>
  <c r="AD186" i="1"/>
  <c r="AD180" i="1"/>
  <c r="AD164" i="1"/>
  <c r="AD24" i="1"/>
  <c r="AD8" i="1"/>
  <c r="AD295" i="1"/>
  <c r="AD279" i="1"/>
  <c r="AD233" i="1"/>
  <c r="AD217" i="1"/>
  <c r="AD201" i="1"/>
  <c r="AD185" i="1"/>
  <c r="AD179" i="1"/>
  <c r="AD163" i="1"/>
  <c r="AD23" i="1"/>
  <c r="AD7" i="1"/>
  <c r="AD294" i="1"/>
  <c r="AD278" i="1"/>
  <c r="AD232" i="1"/>
  <c r="AD216" i="1"/>
  <c r="AD200" i="1"/>
  <c r="AD184" i="1"/>
  <c r="AD178" i="1"/>
  <c r="AD162" i="1"/>
  <c r="AD22" i="1"/>
  <c r="AD6" i="1"/>
  <c r="AD277" i="1"/>
  <c r="AD231" i="1"/>
  <c r="AD215" i="1"/>
  <c r="AD199" i="1"/>
  <c r="AD177" i="1"/>
  <c r="AD161" i="1"/>
  <c r="AD21" i="1"/>
  <c r="AD5" i="1"/>
  <c r="AD292" i="1"/>
  <c r="AD276" i="1"/>
  <c r="AD230" i="1"/>
  <c r="AD198" i="1"/>
  <c r="AD176" i="1"/>
  <c r="AD160" i="1"/>
  <c r="AD20" i="1"/>
  <c r="AD291" i="1"/>
  <c r="AD275" i="1"/>
  <c r="AD229" i="1"/>
  <c r="AD197" i="1"/>
  <c r="AD175" i="1"/>
  <c r="AD19" i="1"/>
  <c r="AD290" i="1"/>
  <c r="AD228" i="1"/>
  <c r="AD212" i="1"/>
  <c r="AD174" i="1"/>
  <c r="AD158" i="1"/>
  <c r="AD18" i="1"/>
  <c r="AD227" i="1"/>
  <c r="AD211" i="1"/>
  <c r="AD195" i="1"/>
  <c r="AD157" i="1"/>
  <c r="AD17" i="1"/>
  <c r="AD288" i="1"/>
  <c r="AD242" i="1"/>
  <c r="AD194" i="1"/>
  <c r="AD156" i="1"/>
  <c r="AD32" i="1"/>
  <c r="AD287" i="1"/>
  <c r="AD241" i="1"/>
  <c r="AD225" i="1"/>
  <c r="AD209" i="1"/>
  <c r="AD193" i="1"/>
  <c r="AD155" i="1"/>
  <c r="AD31" i="1"/>
  <c r="AD15" i="1"/>
  <c r="AD302" i="1"/>
  <c r="AD224" i="1"/>
  <c r="AD208" i="1"/>
  <c r="AD192" i="1"/>
  <c r="AD14" i="1"/>
  <c r="AD301" i="1"/>
  <c r="AD285" i="1"/>
  <c r="AD239" i="1"/>
  <c r="AD223" i="1"/>
  <c r="AD207" i="1"/>
  <c r="AD191" i="1"/>
  <c r="AD29" i="1"/>
  <c r="AD13" i="1"/>
  <c r="AD284" i="1"/>
  <c r="AD238" i="1"/>
  <c r="AD222" i="1"/>
  <c r="AD206" i="1"/>
  <c r="AD190" i="1"/>
  <c r="AD28" i="1"/>
  <c r="AD12" i="1"/>
  <c r="AD299" i="1"/>
  <c r="AD283" i="1"/>
  <c r="AD237" i="1"/>
  <c r="AD221" i="1"/>
  <c r="AD205" i="1"/>
  <c r="AD167" i="1"/>
  <c r="AD27" i="1"/>
  <c r="AD11" i="1"/>
  <c r="AE280" i="1"/>
  <c r="AE185" i="1"/>
  <c r="AE108" i="1"/>
  <c r="AE282" i="1"/>
  <c r="AE234" i="1"/>
  <c r="AE186" i="1"/>
  <c r="AE180" i="1"/>
  <c r="AE312" i="1"/>
  <c r="AE290" i="1"/>
  <c r="AE274" i="1"/>
  <c r="AE359" i="1"/>
  <c r="AE343" i="1"/>
  <c r="AE327" i="1"/>
  <c r="AE311" i="1"/>
  <c r="AE289" i="1"/>
  <c r="AE273" i="1"/>
  <c r="AE313" i="1"/>
  <c r="AE344" i="1"/>
  <c r="AE328" i="1"/>
  <c r="AE358" i="1"/>
  <c r="AE342" i="1"/>
  <c r="AE326" i="1"/>
  <c r="AE310" i="1"/>
  <c r="AE245" i="1"/>
  <c r="AE357" i="1"/>
  <c r="AE341" i="1"/>
  <c r="AE325" i="1"/>
  <c r="AE309" i="1"/>
  <c r="AE360" i="1"/>
  <c r="AE356" i="1"/>
  <c r="AE340" i="1"/>
  <c r="AE308" i="1"/>
  <c r="AE355" i="1"/>
  <c r="AE339" i="1"/>
  <c r="AE323" i="1"/>
  <c r="AE307" i="1"/>
  <c r="AE271" i="1"/>
  <c r="AE255" i="1"/>
  <c r="AE141" i="1"/>
  <c r="AE125" i="1"/>
  <c r="AE109" i="1"/>
  <c r="AE93" i="1"/>
  <c r="AE77" i="1"/>
  <c r="AE61" i="1"/>
  <c r="AE45" i="1"/>
  <c r="AE329" i="1"/>
  <c r="AE354" i="1"/>
  <c r="AE338" i="1"/>
  <c r="AE322" i="1"/>
  <c r="AE306" i="1"/>
  <c r="AE345" i="1"/>
  <c r="AE353" i="1"/>
  <c r="AE337" i="1"/>
  <c r="AE321" i="1"/>
  <c r="AE305" i="1"/>
  <c r="AE336" i="1"/>
  <c r="AE320" i="1"/>
  <c r="AE304" i="1"/>
  <c r="AE261" i="1"/>
  <c r="AE351" i="1"/>
  <c r="AE335" i="1"/>
  <c r="AE319" i="1"/>
  <c r="AE303" i="1"/>
  <c r="AE350" i="1"/>
  <c r="AE334" i="1"/>
  <c r="AE318" i="1"/>
  <c r="AE361" i="1"/>
  <c r="AE349" i="1"/>
  <c r="AE333" i="1"/>
  <c r="AE317" i="1"/>
  <c r="AE348" i="1"/>
  <c r="AE332" i="1"/>
  <c r="AE316" i="1"/>
  <c r="AE294" i="1"/>
  <c r="AE278" i="1"/>
  <c r="AE264" i="1"/>
  <c r="AE248" i="1"/>
  <c r="AE232" i="1"/>
  <c r="AE216" i="1"/>
  <c r="AE200" i="1"/>
  <c r="AE184" i="1"/>
  <c r="AE178" i="1"/>
  <c r="AE162" i="1"/>
  <c r="AE150" i="1"/>
  <c r="AE134" i="1"/>
  <c r="AE118" i="1"/>
  <c r="AE102" i="1"/>
  <c r="AE86" i="1"/>
  <c r="AE70" i="1"/>
  <c r="AE54" i="1"/>
  <c r="AE38" i="1"/>
  <c r="AE347" i="1"/>
  <c r="AE331" i="1"/>
  <c r="AE315" i="1"/>
  <c r="AE362" i="1"/>
  <c r="AE346" i="1"/>
  <c r="AE330" i="1"/>
  <c r="AE314" i="1"/>
  <c r="AE262" i="1"/>
  <c r="AE148" i="1"/>
  <c r="AE132" i="1"/>
  <c r="AE116" i="1"/>
  <c r="AE100" i="1"/>
  <c r="AE84" i="1"/>
  <c r="AE68" i="1"/>
  <c r="AE52" i="1"/>
  <c r="AE36" i="1"/>
  <c r="AE263" i="1"/>
  <c r="AE247" i="1"/>
  <c r="AE149" i="1"/>
  <c r="AE133" i="1"/>
  <c r="AE117" i="1"/>
  <c r="AE101" i="1"/>
  <c r="AE85" i="1"/>
  <c r="AE69" i="1"/>
  <c r="AE53" i="1"/>
  <c r="AE37" i="1"/>
  <c r="AE147" i="1"/>
  <c r="AE131" i="1"/>
  <c r="AE115" i="1"/>
  <c r="AE99" i="1"/>
  <c r="AE83" i="1"/>
  <c r="AE67" i="1"/>
  <c r="AE51" i="1"/>
  <c r="AE35" i="1"/>
  <c r="AE260" i="1"/>
  <c r="AE228" i="1"/>
  <c r="AE212" i="1"/>
  <c r="AE196" i="1"/>
  <c r="AE174" i="1"/>
  <c r="AE158" i="1"/>
  <c r="AE146" i="1"/>
  <c r="AE130" i="1"/>
  <c r="AE114" i="1"/>
  <c r="AE98" i="1"/>
  <c r="AE82" i="1"/>
  <c r="AE50" i="1"/>
  <c r="AE259" i="1"/>
  <c r="AE227" i="1"/>
  <c r="AE145" i="1"/>
  <c r="AE113" i="1"/>
  <c r="AE97" i="1"/>
  <c r="AE81" i="1"/>
  <c r="AE258" i="1"/>
  <c r="AE144" i="1"/>
  <c r="AE128" i="1"/>
  <c r="AE112" i="1"/>
  <c r="AE80" i="1"/>
  <c r="AE241" i="1"/>
  <c r="AE225" i="1"/>
  <c r="AE209" i="1"/>
  <c r="AE193" i="1"/>
  <c r="AE171" i="1"/>
  <c r="AE155" i="1"/>
  <c r="AE143" i="1"/>
  <c r="AE127" i="1"/>
  <c r="AE111" i="1"/>
  <c r="AE79" i="1"/>
  <c r="AE47" i="1"/>
  <c r="AE142" i="1"/>
  <c r="AE126" i="1"/>
  <c r="AE78" i="1"/>
  <c r="AE62" i="1"/>
  <c r="AE46" i="1"/>
  <c r="AE284" i="1"/>
  <c r="AE222" i="1"/>
  <c r="AE206" i="1"/>
  <c r="AE168" i="1"/>
  <c r="AE124" i="1"/>
  <c r="AE92" i="1"/>
  <c r="AE76" i="1"/>
  <c r="AE60" i="1"/>
  <c r="AE44" i="1"/>
  <c r="AE253" i="1"/>
  <c r="AE221" i="1"/>
  <c r="AE205" i="1"/>
  <c r="AE189" i="1"/>
  <c r="AE123" i="1"/>
  <c r="AE75" i="1"/>
  <c r="AE268" i="1"/>
  <c r="AE252" i="1"/>
  <c r="AE236" i="1"/>
  <c r="AE220" i="1"/>
  <c r="AE204" i="1"/>
  <c r="AE188" i="1"/>
  <c r="AE182" i="1"/>
  <c r="AE166" i="1"/>
  <c r="AE138" i="1"/>
  <c r="AE122" i="1"/>
  <c r="AE106" i="1"/>
  <c r="AE90" i="1"/>
  <c r="AE74" i="1"/>
  <c r="AE58" i="1"/>
  <c r="AE42" i="1"/>
  <c r="AE297" i="1"/>
  <c r="AE281" i="1"/>
  <c r="AE267" i="1"/>
  <c r="AE251" i="1"/>
  <c r="AE235" i="1"/>
  <c r="AE219" i="1"/>
  <c r="AE203" i="1"/>
  <c r="AE187" i="1"/>
  <c r="AE181" i="1"/>
  <c r="AE165" i="1"/>
  <c r="AE57" i="1"/>
  <c r="AE296" i="1"/>
  <c r="AE250" i="1"/>
  <c r="AE218" i="1"/>
  <c r="AE202" i="1"/>
  <c r="AE164" i="1"/>
  <c r="AE152" i="1"/>
  <c r="AE104" i="1"/>
  <c r="AE56" i="1"/>
  <c r="AE40" i="1"/>
  <c r="AE295" i="1"/>
  <c r="AE279" i="1"/>
  <c r="AE249" i="1"/>
  <c r="AE233" i="1"/>
  <c r="AE217" i="1"/>
  <c r="AE201" i="1"/>
  <c r="AE179" i="1"/>
  <c r="AE163" i="1"/>
  <c r="AE151" i="1"/>
  <c r="AE103" i="1"/>
  <c r="AE87" i="1"/>
  <c r="AE55" i="1"/>
  <c r="AE293" i="1"/>
  <c r="AE277" i="1"/>
  <c r="AE231" i="1"/>
  <c r="AE215" i="1"/>
  <c r="AE199" i="1"/>
  <c r="AE183" i="1"/>
  <c r="AE177" i="1"/>
  <c r="AE161" i="1"/>
  <c r="AE292" i="1"/>
  <c r="AE276" i="1"/>
  <c r="AE230" i="1"/>
  <c r="AE214" i="1"/>
  <c r="AE198" i="1"/>
  <c r="AE176" i="1"/>
  <c r="AE160" i="1"/>
  <c r="AE291" i="1"/>
  <c r="AE275" i="1"/>
  <c r="AE229" i="1"/>
  <c r="AE213" i="1"/>
  <c r="AE197" i="1"/>
  <c r="AE175" i="1"/>
  <c r="AE159" i="1"/>
  <c r="AE288" i="1"/>
  <c r="AE242" i="1"/>
  <c r="AE226" i="1"/>
  <c r="AE210" i="1"/>
  <c r="AE194" i="1"/>
  <c r="AE172" i="1"/>
  <c r="AE156" i="1"/>
  <c r="AE302" i="1"/>
  <c r="AE286" i="1"/>
  <c r="AE240" i="1"/>
  <c r="AE224" i="1"/>
  <c r="AE208" i="1"/>
  <c r="AE192" i="1"/>
  <c r="AE170" i="1"/>
  <c r="AE154" i="1"/>
  <c r="AE301" i="1"/>
  <c r="AE285" i="1"/>
  <c r="AE239" i="1"/>
  <c r="AE223" i="1"/>
  <c r="AE207" i="1"/>
  <c r="AE191" i="1"/>
  <c r="AE169" i="1"/>
  <c r="AE153" i="1"/>
  <c r="AA197" i="1" l="1"/>
  <c r="AA190" i="1"/>
  <c r="AA176" i="1"/>
  <c r="AA177" i="1"/>
  <c r="AA178" i="1"/>
  <c r="AA7" i="1"/>
  <c r="AA179" i="1"/>
  <c r="AA32" i="1"/>
  <c r="AA163" i="1"/>
  <c r="AA8" i="1"/>
  <c r="AA280" i="1"/>
  <c r="AA20" i="1"/>
  <c r="AA191" i="1"/>
  <c r="AA218" i="1"/>
  <c r="AA298" i="1"/>
  <c r="AA238" i="1"/>
  <c r="AA224" i="1"/>
  <c r="AA225" i="1"/>
  <c r="AA164" i="1"/>
  <c r="AA188" i="1"/>
  <c r="AA211" i="1"/>
  <c r="AA158" i="1"/>
  <c r="AA242" i="1"/>
  <c r="AA227" i="1"/>
  <c r="AA17" i="1"/>
  <c r="AA289" i="1"/>
  <c r="AA202" i="1"/>
  <c r="AA26" i="1"/>
  <c r="AA282" i="1"/>
  <c r="AA167" i="1"/>
  <c r="AA237" i="1"/>
  <c r="AA222" i="1"/>
  <c r="AA208" i="1"/>
  <c r="AA209" i="1"/>
  <c r="AA296" i="1"/>
  <c r="AA25" i="1"/>
  <c r="AA220" i="1"/>
  <c r="AA236" i="1"/>
  <c r="AA31" i="1"/>
  <c r="AA186" i="1"/>
  <c r="AA198" i="1"/>
  <c r="AA275" i="1"/>
  <c r="F14" i="4" s="1"/>
  <c r="AA234" i="1"/>
  <c r="AA283" i="1"/>
  <c r="AA223" i="1"/>
  <c r="AA155" i="1"/>
  <c r="F17" i="4" s="1"/>
  <c r="AA241" i="1"/>
  <c r="AA156" i="1"/>
  <c r="AA195" i="1"/>
  <c r="AA290" i="1"/>
  <c r="AA215" i="1"/>
  <c r="AA216" i="1"/>
  <c r="AA239" i="1"/>
  <c r="AA201" i="1"/>
  <c r="AA207" i="1"/>
  <c r="AA175" i="1"/>
  <c r="AA174" i="1"/>
  <c r="AA199" i="1"/>
  <c r="AA200" i="1"/>
  <c r="AA217" i="1"/>
  <c r="AA11" i="1"/>
  <c r="AA165" i="1"/>
  <c r="AA160" i="1"/>
  <c r="AA161" i="1"/>
  <c r="AA231" i="1"/>
  <c r="AA162" i="1"/>
  <c r="AA232" i="1"/>
  <c r="AA181" i="1"/>
  <c r="AA235" i="1"/>
  <c r="AA15" i="1"/>
  <c r="AA287" i="1"/>
  <c r="AA276" i="1"/>
  <c r="AA5" i="1"/>
  <c r="F6" i="4" s="1"/>
  <c r="AA24" i="1"/>
  <c r="AA13" i="1"/>
  <c r="AA302" i="1"/>
  <c r="AA19" i="1"/>
  <c r="AA204" i="1"/>
  <c r="AA292" i="1"/>
  <c r="AA21" i="1"/>
  <c r="AA277" i="1"/>
  <c r="AA22" i="1"/>
  <c r="AA278" i="1"/>
  <c r="AA295" i="1"/>
  <c r="AA29" i="1"/>
  <c r="AA301" i="1"/>
  <c r="AA205" i="1"/>
  <c r="AA229" i="1"/>
  <c r="AA182" i="1"/>
  <c r="AA221" i="1"/>
  <c r="AA206" i="1"/>
  <c r="AA192" i="1"/>
  <c r="AA193" i="1"/>
  <c r="AA228" i="1"/>
  <c r="AA185" i="1"/>
  <c r="F13" i="4" s="1"/>
  <c r="AA187" i="1"/>
  <c r="AA194" i="1"/>
  <c r="AJ11" i="4"/>
  <c r="AF318" i="1"/>
  <c r="AA318" i="1" s="1"/>
  <c r="AP9" i="4"/>
  <c r="AF153" i="1"/>
  <c r="AP17" i="4" s="1"/>
  <c r="AK17" i="4"/>
  <c r="AJ10" i="4"/>
  <c r="AK15" i="4"/>
  <c r="AF303" i="1"/>
  <c r="AP15" i="4" s="1"/>
  <c r="AJ17" i="4"/>
  <c r="AF123" i="1"/>
  <c r="AP8" i="4" s="1"/>
  <c r="AK8" i="4"/>
  <c r="AF63" i="1"/>
  <c r="AP10" i="4" s="1"/>
  <c r="AK10" i="4"/>
  <c r="AF213" i="1"/>
  <c r="AP12" i="4" s="1"/>
  <c r="AK12" i="4"/>
  <c r="AF273" i="1"/>
  <c r="AK14" i="4"/>
  <c r="AF93" i="1"/>
  <c r="AP7" i="4" s="1"/>
  <c r="AK7" i="4"/>
  <c r="AF33" i="1"/>
  <c r="AP11" i="4" s="1"/>
  <c r="AK11" i="4"/>
  <c r="AP13" i="4"/>
  <c r="AJ9" i="4"/>
  <c r="AK13" i="4"/>
  <c r="AK9" i="4"/>
  <c r="AF3" i="1"/>
  <c r="AK6" i="4"/>
  <c r="AF333" i="1"/>
  <c r="AP16" i="4" s="1"/>
  <c r="AK16" i="4"/>
  <c r="AJ12" i="4"/>
  <c r="AJ16" i="4"/>
  <c r="AJ14" i="4"/>
  <c r="AJ8" i="4"/>
  <c r="AJ15" i="4"/>
  <c r="AJ13" i="4"/>
  <c r="AJ7" i="4"/>
  <c r="G3" i="4"/>
  <c r="AG3" i="1"/>
  <c r="AG12" i="1"/>
  <c r="AA12" i="1" s="1"/>
  <c r="AG10" i="1"/>
  <c r="AA10" i="1" s="1"/>
  <c r="AG18" i="1"/>
  <c r="AA18" i="1" s="1"/>
  <c r="E14" i="4"/>
  <c r="D11" i="4"/>
  <c r="D12" i="4"/>
  <c r="E13" i="4"/>
  <c r="E16" i="4"/>
  <c r="D9" i="4"/>
  <c r="F9" i="4"/>
  <c r="E11" i="4"/>
  <c r="D16" i="4"/>
  <c r="E9" i="4"/>
  <c r="F11" i="4"/>
  <c r="D15" i="4"/>
  <c r="E6" i="4"/>
  <c r="F16" i="4"/>
  <c r="E7" i="4"/>
  <c r="F10" i="4"/>
  <c r="F8" i="4"/>
  <c r="D7" i="4"/>
  <c r="D8" i="4"/>
  <c r="E17" i="4"/>
  <c r="D17" i="4"/>
  <c r="E12" i="4"/>
  <c r="D10" i="4"/>
  <c r="E8" i="4"/>
  <c r="F7" i="4"/>
  <c r="D14" i="4"/>
  <c r="D13" i="4"/>
  <c r="E10" i="4"/>
  <c r="F12" i="4"/>
  <c r="E15" i="4"/>
  <c r="F15" i="4"/>
  <c r="G14" i="4" l="1"/>
  <c r="G15" i="4"/>
  <c r="G7" i="4"/>
  <c r="G11" i="4"/>
  <c r="G12" i="4"/>
  <c r="G16" i="4"/>
  <c r="G13" i="4"/>
  <c r="G8" i="4"/>
  <c r="G9" i="4"/>
  <c r="G17" i="4"/>
  <c r="G10" i="4"/>
  <c r="H3" i="4"/>
  <c r="D6" i="4"/>
  <c r="H15" i="4" l="1"/>
  <c r="H16" i="4"/>
  <c r="H8" i="4"/>
  <c r="H12" i="4"/>
  <c r="H13" i="4"/>
  <c r="H6" i="4"/>
  <c r="H9" i="4"/>
  <c r="H17" i="4"/>
  <c r="H11" i="4"/>
  <c r="H10" i="4"/>
  <c r="H7" i="4"/>
  <c r="H14" i="4"/>
  <c r="I3" i="4"/>
  <c r="T4" i="1"/>
  <c r="V4" i="1"/>
  <c r="T5" i="1"/>
  <c r="V5" i="1"/>
  <c r="T6" i="1"/>
  <c r="V6" i="1"/>
  <c r="T7" i="1"/>
  <c r="V7" i="1"/>
  <c r="T8" i="1"/>
  <c r="V8" i="1"/>
  <c r="T9" i="1"/>
  <c r="V9" i="1"/>
  <c r="T10" i="1"/>
  <c r="V10" i="1"/>
  <c r="T11" i="1"/>
  <c r="V11" i="1"/>
  <c r="T12" i="1"/>
  <c r="V12" i="1"/>
  <c r="T13" i="1"/>
  <c r="V13" i="1"/>
  <c r="T14" i="1"/>
  <c r="V14" i="1"/>
  <c r="T15" i="1"/>
  <c r="V15" i="1"/>
  <c r="T16" i="1"/>
  <c r="V16" i="1"/>
  <c r="T17" i="1"/>
  <c r="V17" i="1"/>
  <c r="T18" i="1"/>
  <c r="V18" i="1"/>
  <c r="T19" i="1"/>
  <c r="V19" i="1"/>
  <c r="T20" i="1"/>
  <c r="V20" i="1"/>
  <c r="T21" i="1"/>
  <c r="V21" i="1"/>
  <c r="T22" i="1"/>
  <c r="V22" i="1"/>
  <c r="T23" i="1"/>
  <c r="V23" i="1"/>
  <c r="T24" i="1"/>
  <c r="V24" i="1"/>
  <c r="T25" i="1"/>
  <c r="V25" i="1"/>
  <c r="T26" i="1"/>
  <c r="V26" i="1"/>
  <c r="T27" i="1"/>
  <c r="V27" i="1"/>
  <c r="T28" i="1"/>
  <c r="V28" i="1"/>
  <c r="T29" i="1"/>
  <c r="V29" i="1"/>
  <c r="T30" i="1"/>
  <c r="V30" i="1"/>
  <c r="T31" i="1"/>
  <c r="V31" i="1"/>
  <c r="T32" i="1"/>
  <c r="V32" i="1"/>
  <c r="T33" i="1"/>
  <c r="V33" i="1"/>
  <c r="T34" i="1"/>
  <c r="V34" i="1"/>
  <c r="T35" i="1"/>
  <c r="V35" i="1"/>
  <c r="T36" i="1"/>
  <c r="V36" i="1"/>
  <c r="T37" i="1"/>
  <c r="V37" i="1"/>
  <c r="T38" i="1"/>
  <c r="V38" i="1"/>
  <c r="T39" i="1"/>
  <c r="V39" i="1"/>
  <c r="T40" i="1"/>
  <c r="V40" i="1"/>
  <c r="T41" i="1"/>
  <c r="V41" i="1"/>
  <c r="T42" i="1"/>
  <c r="V42" i="1"/>
  <c r="T43" i="1"/>
  <c r="V43" i="1"/>
  <c r="T44" i="1"/>
  <c r="V44" i="1"/>
  <c r="T45" i="1"/>
  <c r="V45" i="1"/>
  <c r="T46" i="1"/>
  <c r="V46" i="1"/>
  <c r="T47" i="1"/>
  <c r="V47" i="1"/>
  <c r="T48" i="1"/>
  <c r="V48" i="1"/>
  <c r="T49" i="1"/>
  <c r="V49" i="1"/>
  <c r="T50" i="1"/>
  <c r="V50" i="1"/>
  <c r="T51" i="1"/>
  <c r="V51" i="1"/>
  <c r="T52" i="1"/>
  <c r="V52" i="1"/>
  <c r="T53" i="1"/>
  <c r="V53" i="1"/>
  <c r="T54" i="1"/>
  <c r="V54" i="1"/>
  <c r="T55" i="1"/>
  <c r="V55" i="1"/>
  <c r="T56" i="1"/>
  <c r="V56" i="1"/>
  <c r="T57" i="1"/>
  <c r="V57" i="1"/>
  <c r="T58" i="1"/>
  <c r="V58" i="1"/>
  <c r="T59" i="1"/>
  <c r="V59" i="1"/>
  <c r="T60" i="1"/>
  <c r="V60" i="1"/>
  <c r="T61" i="1"/>
  <c r="V61" i="1"/>
  <c r="T62" i="1"/>
  <c r="V62" i="1"/>
  <c r="T63" i="1"/>
  <c r="V63" i="1"/>
  <c r="T64" i="1"/>
  <c r="V64" i="1"/>
  <c r="T65" i="1"/>
  <c r="V65" i="1"/>
  <c r="T66" i="1"/>
  <c r="V66" i="1"/>
  <c r="T67" i="1"/>
  <c r="V67" i="1"/>
  <c r="T68" i="1"/>
  <c r="V68" i="1"/>
  <c r="T69" i="1"/>
  <c r="V69" i="1"/>
  <c r="T70" i="1"/>
  <c r="V70" i="1"/>
  <c r="T71" i="1"/>
  <c r="V71" i="1"/>
  <c r="T72" i="1"/>
  <c r="V72" i="1"/>
  <c r="T73" i="1"/>
  <c r="V73" i="1"/>
  <c r="T74" i="1"/>
  <c r="V74" i="1"/>
  <c r="T75" i="1"/>
  <c r="V75" i="1"/>
  <c r="T76" i="1"/>
  <c r="V76" i="1"/>
  <c r="T77" i="1"/>
  <c r="V77" i="1"/>
  <c r="T78" i="1"/>
  <c r="V78" i="1"/>
  <c r="T79" i="1"/>
  <c r="V79" i="1"/>
  <c r="T80" i="1"/>
  <c r="V80" i="1"/>
  <c r="T81" i="1"/>
  <c r="V81" i="1"/>
  <c r="T82" i="1"/>
  <c r="V82" i="1"/>
  <c r="T83" i="1"/>
  <c r="V83" i="1"/>
  <c r="T84" i="1"/>
  <c r="V84" i="1"/>
  <c r="T85" i="1"/>
  <c r="V85" i="1"/>
  <c r="T86" i="1"/>
  <c r="V86" i="1"/>
  <c r="T87" i="1"/>
  <c r="V87" i="1"/>
  <c r="T88" i="1"/>
  <c r="V88" i="1"/>
  <c r="T89" i="1"/>
  <c r="V89" i="1"/>
  <c r="T90" i="1"/>
  <c r="V90" i="1"/>
  <c r="T91" i="1"/>
  <c r="V91" i="1"/>
  <c r="T92" i="1"/>
  <c r="V92" i="1"/>
  <c r="T93" i="1"/>
  <c r="V93" i="1"/>
  <c r="T94" i="1"/>
  <c r="V94" i="1"/>
  <c r="T95" i="1"/>
  <c r="V95" i="1"/>
  <c r="T96" i="1"/>
  <c r="V96" i="1"/>
  <c r="T97" i="1"/>
  <c r="V97" i="1"/>
  <c r="T98" i="1"/>
  <c r="V98" i="1"/>
  <c r="T99" i="1"/>
  <c r="V99" i="1"/>
  <c r="T100" i="1"/>
  <c r="V100" i="1"/>
  <c r="T101" i="1"/>
  <c r="V101" i="1"/>
  <c r="T102" i="1"/>
  <c r="V102" i="1"/>
  <c r="T103" i="1"/>
  <c r="V103" i="1"/>
  <c r="T104" i="1"/>
  <c r="V104" i="1"/>
  <c r="T105" i="1"/>
  <c r="V105" i="1"/>
  <c r="T106" i="1"/>
  <c r="V106" i="1"/>
  <c r="T107" i="1"/>
  <c r="V107" i="1"/>
  <c r="T108" i="1"/>
  <c r="V108" i="1"/>
  <c r="T109" i="1"/>
  <c r="V109" i="1"/>
  <c r="T110" i="1"/>
  <c r="V110" i="1"/>
  <c r="T111" i="1"/>
  <c r="V111" i="1"/>
  <c r="T112" i="1"/>
  <c r="V112" i="1"/>
  <c r="T113" i="1"/>
  <c r="V113" i="1"/>
  <c r="T114" i="1"/>
  <c r="V114" i="1"/>
  <c r="T115" i="1"/>
  <c r="V115" i="1"/>
  <c r="T116" i="1"/>
  <c r="V116" i="1"/>
  <c r="T117" i="1"/>
  <c r="V117" i="1"/>
  <c r="T118" i="1"/>
  <c r="V118" i="1"/>
  <c r="T119" i="1"/>
  <c r="V119" i="1"/>
  <c r="T120" i="1"/>
  <c r="V120" i="1"/>
  <c r="T121" i="1"/>
  <c r="V121" i="1"/>
  <c r="T122" i="1"/>
  <c r="V122" i="1"/>
  <c r="T123" i="1"/>
  <c r="V123" i="1"/>
  <c r="T124" i="1"/>
  <c r="V124" i="1"/>
  <c r="T125" i="1"/>
  <c r="V125" i="1"/>
  <c r="T126" i="1"/>
  <c r="V126" i="1"/>
  <c r="T127" i="1"/>
  <c r="V127" i="1"/>
  <c r="T128" i="1"/>
  <c r="V128" i="1"/>
  <c r="T129" i="1"/>
  <c r="V129" i="1"/>
  <c r="T130" i="1"/>
  <c r="V130" i="1"/>
  <c r="T131" i="1"/>
  <c r="V131" i="1"/>
  <c r="T132" i="1"/>
  <c r="V132" i="1"/>
  <c r="T133" i="1"/>
  <c r="V133" i="1"/>
  <c r="T134" i="1"/>
  <c r="V134" i="1"/>
  <c r="T135" i="1"/>
  <c r="V135" i="1"/>
  <c r="T136" i="1"/>
  <c r="V136" i="1"/>
  <c r="T137" i="1"/>
  <c r="V137" i="1"/>
  <c r="T138" i="1"/>
  <c r="V138" i="1"/>
  <c r="T139" i="1"/>
  <c r="V139" i="1"/>
  <c r="T140" i="1"/>
  <c r="V140" i="1"/>
  <c r="T141" i="1"/>
  <c r="V141" i="1"/>
  <c r="T142" i="1"/>
  <c r="V142" i="1"/>
  <c r="T143" i="1"/>
  <c r="V143" i="1"/>
  <c r="T144" i="1"/>
  <c r="V144" i="1"/>
  <c r="T145" i="1"/>
  <c r="V145" i="1"/>
  <c r="T146" i="1"/>
  <c r="V146" i="1"/>
  <c r="T147" i="1"/>
  <c r="V147" i="1"/>
  <c r="T148" i="1"/>
  <c r="V148" i="1"/>
  <c r="T149" i="1"/>
  <c r="V149" i="1"/>
  <c r="T150" i="1"/>
  <c r="V150" i="1"/>
  <c r="T151" i="1"/>
  <c r="V151" i="1"/>
  <c r="T152" i="1"/>
  <c r="V152" i="1"/>
  <c r="T153" i="1"/>
  <c r="V153" i="1"/>
  <c r="T154" i="1"/>
  <c r="V154" i="1"/>
  <c r="T155" i="1"/>
  <c r="V155" i="1"/>
  <c r="T156" i="1"/>
  <c r="V156" i="1"/>
  <c r="T157" i="1"/>
  <c r="V157" i="1"/>
  <c r="T158" i="1"/>
  <c r="V158" i="1"/>
  <c r="T159" i="1"/>
  <c r="V159" i="1"/>
  <c r="T160" i="1"/>
  <c r="V160" i="1"/>
  <c r="T161" i="1"/>
  <c r="V161" i="1"/>
  <c r="T162" i="1"/>
  <c r="V162" i="1"/>
  <c r="T163" i="1"/>
  <c r="V163" i="1"/>
  <c r="T164" i="1"/>
  <c r="V164" i="1"/>
  <c r="T165" i="1"/>
  <c r="V165" i="1"/>
  <c r="T166" i="1"/>
  <c r="V166" i="1"/>
  <c r="T167" i="1"/>
  <c r="V167" i="1"/>
  <c r="T168" i="1"/>
  <c r="V168" i="1"/>
  <c r="T169" i="1"/>
  <c r="V169" i="1"/>
  <c r="T170" i="1"/>
  <c r="V170" i="1"/>
  <c r="T171" i="1"/>
  <c r="V171" i="1"/>
  <c r="T172" i="1"/>
  <c r="V172" i="1"/>
  <c r="T173" i="1"/>
  <c r="V173" i="1"/>
  <c r="T174" i="1"/>
  <c r="V174" i="1"/>
  <c r="T175" i="1"/>
  <c r="V175" i="1"/>
  <c r="T176" i="1"/>
  <c r="V176" i="1"/>
  <c r="T177" i="1"/>
  <c r="V177" i="1"/>
  <c r="T178" i="1"/>
  <c r="V178" i="1"/>
  <c r="T179" i="1"/>
  <c r="V179" i="1"/>
  <c r="T180" i="1"/>
  <c r="V180" i="1"/>
  <c r="T181" i="1"/>
  <c r="V181" i="1"/>
  <c r="T182" i="1"/>
  <c r="V182" i="1"/>
  <c r="T183" i="1"/>
  <c r="V183" i="1"/>
  <c r="T184" i="1"/>
  <c r="V184" i="1"/>
  <c r="T185" i="1"/>
  <c r="V185" i="1"/>
  <c r="T186" i="1"/>
  <c r="V186" i="1"/>
  <c r="T187" i="1"/>
  <c r="V187" i="1"/>
  <c r="T188" i="1"/>
  <c r="V188" i="1"/>
  <c r="T189" i="1"/>
  <c r="V189" i="1"/>
  <c r="T190" i="1"/>
  <c r="V190" i="1"/>
  <c r="T191" i="1"/>
  <c r="V191" i="1"/>
  <c r="T192" i="1"/>
  <c r="V192" i="1"/>
  <c r="T193" i="1"/>
  <c r="V193" i="1"/>
  <c r="T194" i="1"/>
  <c r="V194" i="1"/>
  <c r="T195" i="1"/>
  <c r="V195" i="1"/>
  <c r="T196" i="1"/>
  <c r="V196" i="1"/>
  <c r="T197" i="1"/>
  <c r="V197" i="1"/>
  <c r="T198" i="1"/>
  <c r="V198" i="1"/>
  <c r="T199" i="1"/>
  <c r="V199" i="1"/>
  <c r="T200" i="1"/>
  <c r="V200" i="1"/>
  <c r="T201" i="1"/>
  <c r="V201" i="1"/>
  <c r="T202" i="1"/>
  <c r="V202" i="1"/>
  <c r="T203" i="1"/>
  <c r="V203" i="1"/>
  <c r="T204" i="1"/>
  <c r="V204" i="1"/>
  <c r="T205" i="1"/>
  <c r="V205" i="1"/>
  <c r="T206" i="1"/>
  <c r="V206" i="1"/>
  <c r="T207" i="1"/>
  <c r="V207" i="1"/>
  <c r="T208" i="1"/>
  <c r="V208" i="1"/>
  <c r="T209" i="1"/>
  <c r="V209" i="1"/>
  <c r="T210" i="1"/>
  <c r="V210" i="1"/>
  <c r="T211" i="1"/>
  <c r="V211" i="1"/>
  <c r="T212" i="1"/>
  <c r="V212" i="1"/>
  <c r="T213" i="1"/>
  <c r="V213" i="1"/>
  <c r="T214" i="1"/>
  <c r="V214" i="1"/>
  <c r="T215" i="1"/>
  <c r="V215" i="1"/>
  <c r="T216" i="1"/>
  <c r="V216" i="1"/>
  <c r="T217" i="1"/>
  <c r="V217" i="1"/>
  <c r="T218" i="1"/>
  <c r="V218" i="1"/>
  <c r="T219" i="1"/>
  <c r="V219" i="1"/>
  <c r="T220" i="1"/>
  <c r="V220" i="1"/>
  <c r="T221" i="1"/>
  <c r="V221" i="1"/>
  <c r="T222" i="1"/>
  <c r="V222" i="1"/>
  <c r="T223" i="1"/>
  <c r="V223" i="1"/>
  <c r="T224" i="1"/>
  <c r="V224" i="1"/>
  <c r="T225" i="1"/>
  <c r="V225" i="1"/>
  <c r="T226" i="1"/>
  <c r="V226" i="1"/>
  <c r="T227" i="1"/>
  <c r="V227" i="1"/>
  <c r="T228" i="1"/>
  <c r="V228" i="1"/>
  <c r="T229" i="1"/>
  <c r="V229" i="1"/>
  <c r="T230" i="1"/>
  <c r="V230" i="1"/>
  <c r="T231" i="1"/>
  <c r="V231" i="1"/>
  <c r="T232" i="1"/>
  <c r="V232" i="1"/>
  <c r="T233" i="1"/>
  <c r="V233" i="1"/>
  <c r="T234" i="1"/>
  <c r="V234" i="1"/>
  <c r="T235" i="1"/>
  <c r="V235" i="1"/>
  <c r="T236" i="1"/>
  <c r="V236" i="1"/>
  <c r="T237" i="1"/>
  <c r="V237" i="1"/>
  <c r="T238" i="1"/>
  <c r="V238" i="1"/>
  <c r="T239" i="1"/>
  <c r="V239" i="1"/>
  <c r="T240" i="1"/>
  <c r="V240" i="1"/>
  <c r="T241" i="1"/>
  <c r="V241" i="1"/>
  <c r="T242" i="1"/>
  <c r="V242" i="1"/>
  <c r="T243" i="1"/>
  <c r="V243" i="1"/>
  <c r="T244" i="1"/>
  <c r="V244" i="1"/>
  <c r="T245" i="1"/>
  <c r="V245" i="1"/>
  <c r="T246" i="1"/>
  <c r="V246" i="1"/>
  <c r="T247" i="1"/>
  <c r="V247" i="1"/>
  <c r="T248" i="1"/>
  <c r="V248" i="1"/>
  <c r="T249" i="1"/>
  <c r="V249" i="1"/>
  <c r="T250" i="1"/>
  <c r="V250" i="1"/>
  <c r="T251" i="1"/>
  <c r="V251" i="1"/>
  <c r="T252" i="1"/>
  <c r="V252" i="1"/>
  <c r="T253" i="1"/>
  <c r="V253" i="1"/>
  <c r="T254" i="1"/>
  <c r="V254" i="1"/>
  <c r="T255" i="1"/>
  <c r="V255" i="1"/>
  <c r="T256" i="1"/>
  <c r="V256" i="1"/>
  <c r="T257" i="1"/>
  <c r="V257" i="1"/>
  <c r="T258" i="1"/>
  <c r="V258" i="1"/>
  <c r="T259" i="1"/>
  <c r="V259" i="1"/>
  <c r="T260" i="1"/>
  <c r="V260" i="1"/>
  <c r="T261" i="1"/>
  <c r="V261" i="1"/>
  <c r="T262" i="1"/>
  <c r="V262" i="1"/>
  <c r="T263" i="1"/>
  <c r="V263" i="1"/>
  <c r="T264" i="1"/>
  <c r="V264" i="1"/>
  <c r="T265" i="1"/>
  <c r="V265" i="1"/>
  <c r="T266" i="1"/>
  <c r="V266" i="1"/>
  <c r="T267" i="1"/>
  <c r="V267" i="1"/>
  <c r="T268" i="1"/>
  <c r="V268" i="1"/>
  <c r="T269" i="1"/>
  <c r="V269" i="1"/>
  <c r="T270" i="1"/>
  <c r="V270" i="1"/>
  <c r="T271" i="1"/>
  <c r="V271" i="1"/>
  <c r="T272" i="1"/>
  <c r="V272" i="1"/>
  <c r="T273" i="1"/>
  <c r="V273" i="1"/>
  <c r="T274" i="1"/>
  <c r="V274" i="1"/>
  <c r="T275" i="1"/>
  <c r="V275" i="1"/>
  <c r="T276" i="1"/>
  <c r="V276" i="1"/>
  <c r="T277" i="1"/>
  <c r="V277" i="1"/>
  <c r="T278" i="1"/>
  <c r="V278" i="1"/>
  <c r="T279" i="1"/>
  <c r="V279" i="1"/>
  <c r="T280" i="1"/>
  <c r="V280" i="1"/>
  <c r="T281" i="1"/>
  <c r="V281" i="1"/>
  <c r="T282" i="1"/>
  <c r="V282" i="1"/>
  <c r="T283" i="1"/>
  <c r="V283" i="1"/>
  <c r="T284" i="1"/>
  <c r="V284" i="1"/>
  <c r="T285" i="1"/>
  <c r="V285" i="1"/>
  <c r="T286" i="1"/>
  <c r="V286" i="1"/>
  <c r="T287" i="1"/>
  <c r="V287" i="1"/>
  <c r="T288" i="1"/>
  <c r="V288" i="1"/>
  <c r="T289" i="1"/>
  <c r="V289" i="1"/>
  <c r="T290" i="1"/>
  <c r="V290" i="1"/>
  <c r="T291" i="1"/>
  <c r="V291" i="1"/>
  <c r="T292" i="1"/>
  <c r="V292" i="1"/>
  <c r="T293" i="1"/>
  <c r="V293" i="1"/>
  <c r="T294" i="1"/>
  <c r="V294" i="1"/>
  <c r="T295" i="1"/>
  <c r="V295" i="1"/>
  <c r="T296" i="1"/>
  <c r="V296" i="1"/>
  <c r="T297" i="1"/>
  <c r="V297" i="1"/>
  <c r="T298" i="1"/>
  <c r="V298" i="1"/>
  <c r="T299" i="1"/>
  <c r="V299" i="1"/>
  <c r="T300" i="1"/>
  <c r="V300" i="1"/>
  <c r="T301" i="1"/>
  <c r="V301" i="1"/>
  <c r="T302" i="1"/>
  <c r="V302" i="1"/>
  <c r="T303" i="1"/>
  <c r="V303" i="1"/>
  <c r="T304" i="1"/>
  <c r="V304" i="1"/>
  <c r="T305" i="1"/>
  <c r="V305" i="1"/>
  <c r="T306" i="1"/>
  <c r="V306" i="1"/>
  <c r="T307" i="1"/>
  <c r="V307" i="1"/>
  <c r="T308" i="1"/>
  <c r="V308" i="1"/>
  <c r="T309" i="1"/>
  <c r="V309" i="1"/>
  <c r="T310" i="1"/>
  <c r="V310" i="1"/>
  <c r="T311" i="1"/>
  <c r="V311" i="1"/>
  <c r="T312" i="1"/>
  <c r="V312" i="1"/>
  <c r="T313" i="1"/>
  <c r="V313" i="1"/>
  <c r="T314" i="1"/>
  <c r="V314" i="1"/>
  <c r="T315" i="1"/>
  <c r="V315" i="1"/>
  <c r="T316" i="1"/>
  <c r="V316" i="1"/>
  <c r="T317" i="1"/>
  <c r="V317" i="1"/>
  <c r="T318" i="1"/>
  <c r="V318" i="1"/>
  <c r="T319" i="1"/>
  <c r="V319" i="1"/>
  <c r="T320" i="1"/>
  <c r="V320" i="1"/>
  <c r="T321" i="1"/>
  <c r="V321" i="1"/>
  <c r="T322" i="1"/>
  <c r="V322" i="1"/>
  <c r="T323" i="1"/>
  <c r="V323" i="1"/>
  <c r="T324" i="1"/>
  <c r="V324" i="1"/>
  <c r="T325" i="1"/>
  <c r="V325" i="1"/>
  <c r="T326" i="1"/>
  <c r="V326" i="1"/>
  <c r="T327" i="1"/>
  <c r="V327" i="1"/>
  <c r="T328" i="1"/>
  <c r="V328" i="1"/>
  <c r="T329" i="1"/>
  <c r="V329" i="1"/>
  <c r="T330" i="1"/>
  <c r="V330" i="1"/>
  <c r="T331" i="1"/>
  <c r="V331" i="1"/>
  <c r="T332" i="1"/>
  <c r="V332" i="1"/>
  <c r="T333" i="1"/>
  <c r="V333" i="1"/>
  <c r="T334" i="1"/>
  <c r="V334" i="1"/>
  <c r="T335" i="1"/>
  <c r="V335" i="1"/>
  <c r="T336" i="1"/>
  <c r="V336" i="1"/>
  <c r="T337" i="1"/>
  <c r="V337" i="1"/>
  <c r="T338" i="1"/>
  <c r="V338" i="1"/>
  <c r="T339" i="1"/>
  <c r="V339" i="1"/>
  <c r="T340" i="1"/>
  <c r="V340" i="1"/>
  <c r="T341" i="1"/>
  <c r="V341" i="1"/>
  <c r="T342" i="1"/>
  <c r="V342" i="1"/>
  <c r="T343" i="1"/>
  <c r="V343" i="1"/>
  <c r="T344" i="1"/>
  <c r="V344" i="1"/>
  <c r="T345" i="1"/>
  <c r="V345" i="1"/>
  <c r="T346" i="1"/>
  <c r="V346" i="1"/>
  <c r="T347" i="1"/>
  <c r="V347" i="1"/>
  <c r="T348" i="1"/>
  <c r="V348" i="1"/>
  <c r="T349" i="1"/>
  <c r="V349" i="1"/>
  <c r="T350" i="1"/>
  <c r="V350" i="1"/>
  <c r="T351" i="1"/>
  <c r="V351" i="1"/>
  <c r="T352" i="1"/>
  <c r="V352" i="1"/>
  <c r="T353" i="1"/>
  <c r="V353" i="1"/>
  <c r="T354" i="1"/>
  <c r="V354" i="1"/>
  <c r="T355" i="1"/>
  <c r="V355" i="1"/>
  <c r="T356" i="1"/>
  <c r="V356" i="1"/>
  <c r="T357" i="1"/>
  <c r="V357" i="1"/>
  <c r="T358" i="1"/>
  <c r="V358" i="1"/>
  <c r="T359" i="1"/>
  <c r="V359" i="1"/>
  <c r="T360" i="1"/>
  <c r="V360" i="1"/>
  <c r="T361" i="1"/>
  <c r="V361" i="1"/>
  <c r="T362" i="1"/>
  <c r="V362" i="1"/>
  <c r="T3" i="1"/>
  <c r="S3" i="1"/>
  <c r="AH3" i="1" s="1"/>
  <c r="S4" i="1"/>
  <c r="AH4" i="1" s="1"/>
  <c r="S5" i="1"/>
  <c r="AH5" i="1" s="1"/>
  <c r="S6" i="1"/>
  <c r="AH6" i="1" s="1"/>
  <c r="S7" i="1"/>
  <c r="AH7" i="1" s="1"/>
  <c r="S8" i="1"/>
  <c r="AH8" i="1" s="1"/>
  <c r="S9" i="1"/>
  <c r="AH9" i="1" s="1"/>
  <c r="S10" i="1"/>
  <c r="AH10" i="1" s="1"/>
  <c r="S11" i="1"/>
  <c r="AH11" i="1" s="1"/>
  <c r="S12" i="1"/>
  <c r="AH12" i="1" s="1"/>
  <c r="S13" i="1"/>
  <c r="AH13" i="1" s="1"/>
  <c r="S14" i="1"/>
  <c r="AH14" i="1" s="1"/>
  <c r="S15" i="1"/>
  <c r="AH15" i="1" s="1"/>
  <c r="S16" i="1"/>
  <c r="AH16" i="1" s="1"/>
  <c r="S17" i="1"/>
  <c r="AH17" i="1" s="1"/>
  <c r="S18" i="1"/>
  <c r="AH18" i="1" s="1"/>
  <c r="S19" i="1"/>
  <c r="AH19" i="1" s="1"/>
  <c r="S20" i="1"/>
  <c r="AH20" i="1" s="1"/>
  <c r="S21" i="1"/>
  <c r="AH21" i="1" s="1"/>
  <c r="S22" i="1"/>
  <c r="AH22" i="1" s="1"/>
  <c r="S23" i="1"/>
  <c r="AH23" i="1" s="1"/>
  <c r="S24" i="1"/>
  <c r="AH24" i="1" s="1"/>
  <c r="S25" i="1"/>
  <c r="AH25" i="1" s="1"/>
  <c r="S26" i="1"/>
  <c r="AH26" i="1" s="1"/>
  <c r="S27" i="1"/>
  <c r="AH27" i="1" s="1"/>
  <c r="S28" i="1"/>
  <c r="AH28" i="1" s="1"/>
  <c r="S29" i="1"/>
  <c r="AH29" i="1" s="1"/>
  <c r="S30" i="1"/>
  <c r="AH30" i="1" s="1"/>
  <c r="S31" i="1"/>
  <c r="AH31" i="1" s="1"/>
  <c r="S32" i="1"/>
  <c r="AH32" i="1" s="1"/>
  <c r="S33" i="1"/>
  <c r="AH33" i="1" s="1"/>
  <c r="S34" i="1"/>
  <c r="AH34" i="1" s="1"/>
  <c r="S35" i="1"/>
  <c r="AH35" i="1" s="1"/>
  <c r="S36" i="1"/>
  <c r="AH36" i="1" s="1"/>
  <c r="S37" i="1"/>
  <c r="AH37" i="1" s="1"/>
  <c r="S38" i="1"/>
  <c r="AH38" i="1" s="1"/>
  <c r="S39" i="1"/>
  <c r="AH39" i="1" s="1"/>
  <c r="S40" i="1"/>
  <c r="AH40" i="1" s="1"/>
  <c r="S41" i="1"/>
  <c r="AH41" i="1" s="1"/>
  <c r="S42" i="1"/>
  <c r="AH42" i="1" s="1"/>
  <c r="S43" i="1"/>
  <c r="AH43" i="1" s="1"/>
  <c r="S44" i="1"/>
  <c r="AH44" i="1" s="1"/>
  <c r="S45" i="1"/>
  <c r="AH45" i="1" s="1"/>
  <c r="S46" i="1"/>
  <c r="AH46" i="1" s="1"/>
  <c r="S47" i="1"/>
  <c r="AH47" i="1" s="1"/>
  <c r="S48" i="1"/>
  <c r="AH48" i="1" s="1"/>
  <c r="S49" i="1"/>
  <c r="AH49" i="1" s="1"/>
  <c r="S50" i="1"/>
  <c r="AH50" i="1" s="1"/>
  <c r="S51" i="1"/>
  <c r="AH51" i="1" s="1"/>
  <c r="S52" i="1"/>
  <c r="AH52" i="1" s="1"/>
  <c r="S53" i="1"/>
  <c r="AH53" i="1" s="1"/>
  <c r="S54" i="1"/>
  <c r="AH54" i="1" s="1"/>
  <c r="S55" i="1"/>
  <c r="AH55" i="1" s="1"/>
  <c r="S56" i="1"/>
  <c r="AH56" i="1" s="1"/>
  <c r="S57" i="1"/>
  <c r="AH57" i="1" s="1"/>
  <c r="S58" i="1"/>
  <c r="AH58" i="1" s="1"/>
  <c r="S59" i="1"/>
  <c r="AH59" i="1" s="1"/>
  <c r="S60" i="1"/>
  <c r="AH60" i="1" s="1"/>
  <c r="S61" i="1"/>
  <c r="AH61" i="1" s="1"/>
  <c r="S62" i="1"/>
  <c r="AH62" i="1" s="1"/>
  <c r="S63" i="1"/>
  <c r="AH63" i="1" s="1"/>
  <c r="S64" i="1"/>
  <c r="AH64" i="1" s="1"/>
  <c r="S65" i="1"/>
  <c r="AH65" i="1" s="1"/>
  <c r="S66" i="1"/>
  <c r="AH66" i="1" s="1"/>
  <c r="S67" i="1"/>
  <c r="AH67" i="1" s="1"/>
  <c r="S68" i="1"/>
  <c r="AH68" i="1" s="1"/>
  <c r="S69" i="1"/>
  <c r="AH69" i="1" s="1"/>
  <c r="S70" i="1"/>
  <c r="AH70" i="1" s="1"/>
  <c r="S71" i="1"/>
  <c r="AH71" i="1" s="1"/>
  <c r="S72" i="1"/>
  <c r="AH72" i="1" s="1"/>
  <c r="S73" i="1"/>
  <c r="AH73" i="1" s="1"/>
  <c r="S74" i="1"/>
  <c r="AH74" i="1" s="1"/>
  <c r="S75" i="1"/>
  <c r="AH75" i="1" s="1"/>
  <c r="S76" i="1"/>
  <c r="AH76" i="1" s="1"/>
  <c r="S77" i="1"/>
  <c r="AH77" i="1" s="1"/>
  <c r="S78" i="1"/>
  <c r="AH78" i="1" s="1"/>
  <c r="S79" i="1"/>
  <c r="AH79" i="1" s="1"/>
  <c r="S80" i="1"/>
  <c r="AH80" i="1" s="1"/>
  <c r="S81" i="1"/>
  <c r="AH81" i="1" s="1"/>
  <c r="S82" i="1"/>
  <c r="AH82" i="1" s="1"/>
  <c r="S83" i="1"/>
  <c r="AH83" i="1" s="1"/>
  <c r="S84" i="1"/>
  <c r="AH84" i="1" s="1"/>
  <c r="S85" i="1"/>
  <c r="AH85" i="1" s="1"/>
  <c r="S86" i="1"/>
  <c r="AH86" i="1" s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AH102" i="1" s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AH118" i="1" s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AH134" i="1" s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AH150" i="1" s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I16" i="4" l="1"/>
  <c r="I17" i="4"/>
  <c r="I9" i="4"/>
  <c r="I13" i="4"/>
  <c r="I14" i="4"/>
  <c r="I8" i="4"/>
  <c r="I10" i="4"/>
  <c r="I6" i="4"/>
  <c r="I7" i="4"/>
  <c r="I11" i="4"/>
  <c r="I15" i="4"/>
  <c r="I12" i="4"/>
  <c r="AH216" i="1"/>
  <c r="AH184" i="1"/>
  <c r="AH248" i="1"/>
  <c r="AH232" i="1"/>
  <c r="AH264" i="1"/>
  <c r="AH200" i="1"/>
  <c r="J3" i="4"/>
  <c r="AH294" i="1"/>
  <c r="AH278" i="1"/>
  <c r="AH246" i="1"/>
  <c r="AH178" i="1"/>
  <c r="AH162" i="1"/>
  <c r="AH332" i="1"/>
  <c r="AH348" i="1"/>
  <c r="AH316" i="1"/>
  <c r="AH177" i="1"/>
  <c r="AH117" i="1"/>
  <c r="AH330" i="1"/>
  <c r="AH292" i="1"/>
  <c r="AH230" i="1"/>
  <c r="AH293" i="1"/>
  <c r="AH362" i="1"/>
  <c r="AH314" i="1"/>
  <c r="AH262" i="1"/>
  <c r="AH183" i="1"/>
  <c r="AH346" i="1"/>
  <c r="AH276" i="1"/>
  <c r="AH214" i="1"/>
  <c r="AH161" i="1"/>
  <c r="AH149" i="1"/>
  <c r="AH288" i="1"/>
  <c r="AH258" i="1"/>
  <c r="AH242" i="1"/>
  <c r="AH226" i="1"/>
  <c r="AH210" i="1"/>
  <c r="AH194" i="1"/>
  <c r="AH172" i="1"/>
  <c r="AH156" i="1"/>
  <c r="AH144" i="1"/>
  <c r="AH128" i="1"/>
  <c r="AH112" i="1"/>
  <c r="AH96" i="1"/>
  <c r="AH263" i="1"/>
  <c r="AH310" i="1"/>
  <c r="AH257" i="1"/>
  <c r="AH241" i="1"/>
  <c r="AH225" i="1"/>
  <c r="AH209" i="1"/>
  <c r="AH193" i="1"/>
  <c r="AH171" i="1"/>
  <c r="AH155" i="1"/>
  <c r="AH143" i="1"/>
  <c r="AH127" i="1"/>
  <c r="AH111" i="1"/>
  <c r="AH95" i="1"/>
  <c r="AH315" i="1"/>
  <c r="AH356" i="1"/>
  <c r="AH302" i="1"/>
  <c r="AH286" i="1"/>
  <c r="AH331" i="1"/>
  <c r="AH341" i="1"/>
  <c r="AH355" i="1"/>
  <c r="AH307" i="1"/>
  <c r="AH271" i="1"/>
  <c r="AH255" i="1"/>
  <c r="AH239" i="1"/>
  <c r="AH223" i="1"/>
  <c r="AH133" i="1"/>
  <c r="AH342" i="1"/>
  <c r="AH357" i="1"/>
  <c r="AH325" i="1"/>
  <c r="AH287" i="1"/>
  <c r="AH340" i="1"/>
  <c r="AH306" i="1"/>
  <c r="AH347" i="1"/>
  <c r="AH215" i="1"/>
  <c r="AH199" i="1"/>
  <c r="AH326" i="1"/>
  <c r="AH324" i="1"/>
  <c r="AH339" i="1"/>
  <c r="AH285" i="1"/>
  <c r="AH354" i="1"/>
  <c r="AH322" i="1"/>
  <c r="AH247" i="1"/>
  <c r="AH358" i="1"/>
  <c r="AH323" i="1"/>
  <c r="AH101" i="1"/>
  <c r="AH309" i="1"/>
  <c r="AH308" i="1"/>
  <c r="AH338" i="1"/>
  <c r="AH277" i="1"/>
  <c r="AH231" i="1"/>
  <c r="AH301" i="1"/>
  <c r="AH198" i="1"/>
  <c r="AH160" i="1"/>
  <c r="AH148" i="1"/>
  <c r="AH116" i="1"/>
  <c r="AH245" i="1"/>
  <c r="AH159" i="1"/>
  <c r="AH131" i="1"/>
  <c r="AH100" i="1"/>
  <c r="AH345" i="1"/>
  <c r="AH313" i="1"/>
  <c r="AH275" i="1"/>
  <c r="AH261" i="1"/>
  <c r="AH213" i="1"/>
  <c r="AH175" i="1"/>
  <c r="AH115" i="1"/>
  <c r="AH344" i="1"/>
  <c r="AH328" i="1"/>
  <c r="AH312" i="1"/>
  <c r="AH176" i="1"/>
  <c r="AH132" i="1"/>
  <c r="AH361" i="1"/>
  <c r="AH329" i="1"/>
  <c r="AH291" i="1"/>
  <c r="AH229" i="1"/>
  <c r="AH197" i="1"/>
  <c r="AH147" i="1"/>
  <c r="AH99" i="1"/>
  <c r="AH360" i="1"/>
  <c r="AH359" i="1"/>
  <c r="AH343" i="1"/>
  <c r="AH272" i="1"/>
  <c r="AH256" i="1"/>
  <c r="AH240" i="1"/>
  <c r="AH224" i="1"/>
  <c r="AH208" i="1"/>
  <c r="AH192" i="1"/>
  <c r="AH170" i="1"/>
  <c r="AH154" i="1"/>
  <c r="AH142" i="1"/>
  <c r="AH126" i="1"/>
  <c r="AH110" i="1"/>
  <c r="AH94" i="1"/>
  <c r="AH207" i="1"/>
  <c r="AH191" i="1"/>
  <c r="AH169" i="1"/>
  <c r="AH153" i="1"/>
  <c r="AH141" i="1"/>
  <c r="AH125" i="1"/>
  <c r="AH109" i="1"/>
  <c r="AH93" i="1"/>
  <c r="AH300" i="1"/>
  <c r="AH284" i="1"/>
  <c r="AH270" i="1"/>
  <c r="AH254" i="1"/>
  <c r="AH238" i="1"/>
  <c r="AH222" i="1"/>
  <c r="AH206" i="1"/>
  <c r="AH190" i="1"/>
  <c r="AH168" i="1"/>
  <c r="AH140" i="1"/>
  <c r="AH124" i="1"/>
  <c r="AH108" i="1"/>
  <c r="AH92" i="1"/>
  <c r="AH321" i="1"/>
  <c r="AH283" i="1"/>
  <c r="AH253" i="1"/>
  <c r="AH221" i="1"/>
  <c r="AH189" i="1"/>
  <c r="AH167" i="1"/>
  <c r="AH123" i="1"/>
  <c r="AH91" i="1"/>
  <c r="AH353" i="1"/>
  <c r="AH337" i="1"/>
  <c r="AH305" i="1"/>
  <c r="AH299" i="1"/>
  <c r="AH269" i="1"/>
  <c r="AH237" i="1"/>
  <c r="AH205" i="1"/>
  <c r="AH139" i="1"/>
  <c r="AH107" i="1"/>
  <c r="AH352" i="1"/>
  <c r="AH336" i="1"/>
  <c r="AH319" i="1"/>
  <c r="AH303" i="1"/>
  <c r="AH297" i="1"/>
  <c r="AH281" i="1"/>
  <c r="AH267" i="1"/>
  <c r="AH251" i="1"/>
  <c r="AH235" i="1"/>
  <c r="AH219" i="1"/>
  <c r="AH203" i="1"/>
  <c r="AH187" i="1"/>
  <c r="AH181" i="1"/>
  <c r="AH165" i="1"/>
  <c r="AH137" i="1"/>
  <c r="AH121" i="1"/>
  <c r="AH105" i="1"/>
  <c r="AH89" i="1"/>
  <c r="AH335" i="1"/>
  <c r="AH334" i="1"/>
  <c r="AH296" i="1"/>
  <c r="AH266" i="1"/>
  <c r="AH234" i="1"/>
  <c r="AH202" i="1"/>
  <c r="AH180" i="1"/>
  <c r="AH136" i="1"/>
  <c r="AH104" i="1"/>
  <c r="AH351" i="1"/>
  <c r="AH350" i="1"/>
  <c r="AH318" i="1"/>
  <c r="AH280" i="1"/>
  <c r="AH250" i="1"/>
  <c r="AH218" i="1"/>
  <c r="AH186" i="1"/>
  <c r="AH164" i="1"/>
  <c r="AH152" i="1"/>
  <c r="AH120" i="1"/>
  <c r="AH88" i="1"/>
  <c r="AH349" i="1"/>
  <c r="AH333" i="1"/>
  <c r="AH317" i="1"/>
  <c r="AH290" i="1"/>
  <c r="AH274" i="1"/>
  <c r="AH260" i="1"/>
  <c r="AH244" i="1"/>
  <c r="AH228" i="1"/>
  <c r="AH212" i="1"/>
  <c r="AH196" i="1"/>
  <c r="AH174" i="1"/>
  <c r="AH158" i="1"/>
  <c r="AH146" i="1"/>
  <c r="AH130" i="1"/>
  <c r="AH114" i="1"/>
  <c r="AH98" i="1"/>
  <c r="AH327" i="1"/>
  <c r="AH311" i="1"/>
  <c r="AH289" i="1"/>
  <c r="AH273" i="1"/>
  <c r="AH259" i="1"/>
  <c r="AH243" i="1"/>
  <c r="AH227" i="1"/>
  <c r="AH211" i="1"/>
  <c r="AH195" i="1"/>
  <c r="AH173" i="1"/>
  <c r="AH157" i="1"/>
  <c r="AH145" i="1"/>
  <c r="AH129" i="1"/>
  <c r="AH113" i="1"/>
  <c r="AH97" i="1"/>
  <c r="AH320" i="1"/>
  <c r="AH304" i="1"/>
  <c r="AH298" i="1"/>
  <c r="AH282" i="1"/>
  <c r="AH268" i="1"/>
  <c r="AH252" i="1"/>
  <c r="AH236" i="1"/>
  <c r="AH220" i="1"/>
  <c r="AH204" i="1"/>
  <c r="AH188" i="1"/>
  <c r="AH182" i="1"/>
  <c r="AH166" i="1"/>
  <c r="AH138" i="1"/>
  <c r="AH122" i="1"/>
  <c r="AH106" i="1"/>
  <c r="AH90" i="1"/>
  <c r="AH295" i="1"/>
  <c r="AH279" i="1"/>
  <c r="AH265" i="1"/>
  <c r="AH249" i="1"/>
  <c r="AH233" i="1"/>
  <c r="AH217" i="1"/>
  <c r="AH201" i="1"/>
  <c r="AH185" i="1"/>
  <c r="AH179" i="1"/>
  <c r="AH163" i="1"/>
  <c r="AH151" i="1"/>
  <c r="AH135" i="1"/>
  <c r="AH119" i="1"/>
  <c r="AH103" i="1"/>
  <c r="AH87" i="1"/>
  <c r="AG6" i="1"/>
  <c r="AA6" i="1" s="1"/>
  <c r="AG291" i="1"/>
  <c r="AA291" i="1" s="1"/>
  <c r="AG288" i="1"/>
  <c r="AA288" i="1" s="1"/>
  <c r="AG14" i="1"/>
  <c r="AA14" i="1" s="1"/>
  <c r="AG285" i="1"/>
  <c r="AA285" i="1" s="1"/>
  <c r="AG284" i="1"/>
  <c r="AA284" i="1" s="1"/>
  <c r="AG28" i="1"/>
  <c r="AA28" i="1" s="1"/>
  <c r="AG299" i="1"/>
  <c r="AA299" i="1" s="1"/>
  <c r="AG27" i="1"/>
  <c r="AA27" i="1" s="1"/>
  <c r="AG281" i="1"/>
  <c r="AA281" i="1" s="1"/>
  <c r="AP14" i="4" l="1"/>
  <c r="G6" i="4"/>
  <c r="AP6" i="4"/>
  <c r="J17" i="4"/>
  <c r="J10" i="4"/>
  <c r="J14" i="4"/>
  <c r="J15" i="4"/>
  <c r="J16" i="4"/>
  <c r="J8" i="4"/>
  <c r="J13" i="4"/>
  <c r="J11" i="4"/>
  <c r="J6" i="4"/>
  <c r="J7" i="4"/>
  <c r="J9" i="4"/>
  <c r="J12" i="4"/>
  <c r="K3" i="4"/>
  <c r="K11" i="4" l="1"/>
  <c r="K15" i="4"/>
  <c r="K16" i="4"/>
  <c r="K13" i="4"/>
  <c r="K10" i="4"/>
  <c r="K17" i="4"/>
  <c r="K14" i="4"/>
  <c r="K6" i="4"/>
  <c r="K8" i="4"/>
  <c r="K7" i="4"/>
  <c r="K12" i="4"/>
  <c r="K9" i="4"/>
  <c r="L3" i="4"/>
  <c r="L12" i="4" l="1"/>
  <c r="L16" i="4"/>
  <c r="L17" i="4"/>
  <c r="L10" i="4"/>
  <c r="L14" i="4"/>
  <c r="L11" i="4"/>
  <c r="L8" i="4"/>
  <c r="L13" i="4"/>
  <c r="L7" i="4"/>
  <c r="L15" i="4"/>
  <c r="L9" i="4"/>
  <c r="L6" i="4"/>
  <c r="M3" i="4"/>
  <c r="M13" i="4" l="1"/>
  <c r="M17" i="4"/>
  <c r="M6" i="4"/>
  <c r="M8" i="4"/>
  <c r="M16" i="4"/>
  <c r="M10" i="4"/>
  <c r="M14" i="4"/>
  <c r="M11" i="4"/>
  <c r="M15" i="4"/>
  <c r="M12" i="4"/>
  <c r="M7" i="4"/>
  <c r="M9" i="4"/>
  <c r="N3" i="4"/>
  <c r="N14" i="4" l="1"/>
  <c r="N6" i="4"/>
  <c r="N16" i="4"/>
  <c r="N13" i="4"/>
  <c r="N10" i="4"/>
  <c r="N7" i="4"/>
  <c r="N11" i="4"/>
  <c r="N17" i="4"/>
  <c r="N8" i="4"/>
  <c r="N15" i="4"/>
  <c r="N12" i="4"/>
  <c r="N9" i="4"/>
  <c r="O3" i="4"/>
  <c r="O6" i="4" l="1"/>
  <c r="O15" i="4"/>
  <c r="O12" i="4"/>
  <c r="O7" i="4"/>
  <c r="O8" i="4"/>
  <c r="O16" i="4"/>
  <c r="O13" i="4"/>
  <c r="O10" i="4"/>
  <c r="O11" i="4"/>
  <c r="O17" i="4"/>
  <c r="O14" i="4"/>
  <c r="O9" i="4"/>
  <c r="P3" i="4"/>
  <c r="P7" i="4" l="1"/>
  <c r="P16" i="4"/>
  <c r="P12" i="4"/>
  <c r="P15" i="4"/>
  <c r="P8" i="4"/>
  <c r="P11" i="4"/>
  <c r="P17" i="4"/>
  <c r="P14" i="4"/>
  <c r="P9" i="4"/>
  <c r="P6" i="4"/>
  <c r="P13" i="4"/>
  <c r="P10" i="4"/>
  <c r="Q3" i="4"/>
  <c r="Q8" i="4" l="1"/>
  <c r="Q17" i="4"/>
  <c r="Q6" i="4"/>
  <c r="Q12" i="4"/>
  <c r="Q15" i="4"/>
  <c r="Q7" i="4"/>
  <c r="Q9" i="4"/>
  <c r="Q13" i="4"/>
  <c r="Q10" i="4"/>
  <c r="Q14" i="4"/>
  <c r="Q11" i="4"/>
  <c r="Q16" i="4"/>
  <c r="R3" i="4"/>
  <c r="R9" i="4" l="1"/>
  <c r="R6" i="4"/>
  <c r="R7" i="4"/>
  <c r="R15" i="4"/>
  <c r="R13" i="4"/>
  <c r="R10" i="4"/>
  <c r="R16" i="4"/>
  <c r="R12" i="4"/>
  <c r="R14" i="4"/>
  <c r="R17" i="4"/>
  <c r="R8" i="4"/>
  <c r="R11" i="4"/>
  <c r="S3" i="4"/>
  <c r="S10" i="4" l="1"/>
  <c r="S11" i="4"/>
  <c r="S7" i="4"/>
  <c r="S8" i="4"/>
  <c r="S9" i="4"/>
  <c r="S16" i="4"/>
  <c r="S12" i="4"/>
  <c r="S15" i="4"/>
  <c r="S13" i="4"/>
  <c r="S14" i="4"/>
  <c r="S6" i="4"/>
  <c r="S17" i="4"/>
  <c r="T3" i="4"/>
  <c r="T11" i="4" l="1"/>
  <c r="T12" i="4"/>
  <c r="T8" i="4"/>
  <c r="T9" i="4"/>
  <c r="T7" i="4"/>
  <c r="T15" i="4"/>
  <c r="T14" i="4"/>
  <c r="T17" i="4"/>
  <c r="T10" i="4"/>
  <c r="T6" i="4"/>
  <c r="T13" i="4"/>
  <c r="T16" i="4"/>
  <c r="U3" i="4"/>
  <c r="U12" i="4" l="1"/>
  <c r="U13" i="4"/>
  <c r="U9" i="4"/>
  <c r="U10" i="4"/>
  <c r="U14" i="4"/>
  <c r="U15" i="4"/>
  <c r="U7" i="4"/>
  <c r="U17" i="4"/>
  <c r="U11" i="4"/>
  <c r="U8" i="4"/>
  <c r="U6" i="4"/>
  <c r="U16" i="4"/>
  <c r="V3" i="4"/>
  <c r="V13" i="4" l="1"/>
  <c r="V14" i="4"/>
  <c r="V6" i="4"/>
  <c r="V10" i="4"/>
  <c r="V11" i="4"/>
  <c r="V9" i="4"/>
  <c r="V17" i="4"/>
  <c r="V12" i="4"/>
  <c r="V7" i="4"/>
  <c r="V8" i="4"/>
  <c r="V15" i="4"/>
  <c r="V16" i="4"/>
  <c r="W3" i="4"/>
  <c r="W14" i="4" l="1"/>
  <c r="W15" i="4"/>
  <c r="W7" i="4"/>
  <c r="W11" i="4"/>
  <c r="W12" i="4"/>
  <c r="W17" i="4"/>
  <c r="W9" i="4"/>
  <c r="W8" i="4"/>
  <c r="W6" i="4"/>
  <c r="W16" i="4"/>
  <c r="W13" i="4"/>
  <c r="W10" i="4"/>
  <c r="X3" i="4"/>
  <c r="X15" i="4" l="1"/>
  <c r="X16" i="4"/>
  <c r="X8" i="4"/>
  <c r="X12" i="4"/>
  <c r="X13" i="4"/>
  <c r="X17" i="4"/>
  <c r="X14" i="4"/>
  <c r="X11" i="4"/>
  <c r="X7" i="4"/>
  <c r="X9" i="4"/>
  <c r="X6" i="4"/>
  <c r="X10" i="4"/>
  <c r="Y3" i="4"/>
  <c r="Y16" i="4" l="1"/>
  <c r="Y17" i="4"/>
  <c r="Y9" i="4"/>
  <c r="Y13" i="4"/>
  <c r="Y14" i="4"/>
  <c r="Y11" i="4"/>
  <c r="Y15" i="4"/>
  <c r="Y12" i="4"/>
  <c r="Y6" i="4"/>
  <c r="Y10" i="4"/>
  <c r="Y7" i="4"/>
  <c r="Y8" i="4"/>
  <c r="Z3" i="4"/>
  <c r="Z17" i="4" l="1"/>
  <c r="Z10" i="4"/>
  <c r="Z14" i="4"/>
  <c r="Z15" i="4"/>
  <c r="Z11" i="4"/>
  <c r="Z6" i="4"/>
  <c r="Z12" i="4"/>
  <c r="Z7" i="4"/>
  <c r="Z9" i="4"/>
  <c r="Z8" i="4"/>
  <c r="Z16" i="4"/>
  <c r="Z13" i="4"/>
  <c r="AA3" i="4"/>
  <c r="AA11" i="4" l="1"/>
  <c r="AA15" i="4"/>
  <c r="AA16" i="4"/>
  <c r="AA14" i="4"/>
  <c r="AA6" i="4"/>
  <c r="AA12" i="4"/>
  <c r="AA7" i="4"/>
  <c r="AA17" i="4"/>
  <c r="AA8" i="4"/>
  <c r="AA9" i="4"/>
  <c r="AA13" i="4"/>
  <c r="AA10" i="4"/>
  <c r="AB3" i="4"/>
  <c r="AB12" i="4" l="1"/>
  <c r="AB16" i="4"/>
  <c r="AB17" i="4"/>
  <c r="AB6" i="4"/>
  <c r="AB8" i="4"/>
  <c r="AB15" i="4"/>
  <c r="AB9" i="4"/>
  <c r="AB14" i="4"/>
  <c r="AB11" i="4"/>
  <c r="AB13" i="4"/>
  <c r="AB10" i="4"/>
  <c r="AB7" i="4"/>
  <c r="AC3" i="4"/>
  <c r="AC13" i="4" l="1"/>
  <c r="AC17" i="4"/>
  <c r="AC8" i="4"/>
  <c r="AC9" i="4"/>
  <c r="AC14" i="4"/>
  <c r="AC11" i="4"/>
  <c r="AC6" i="4"/>
  <c r="AC15" i="4"/>
  <c r="AC12" i="4"/>
  <c r="AC10" i="4"/>
  <c r="AC16" i="4"/>
  <c r="AC7" i="4"/>
  <c r="AD3" i="4"/>
  <c r="AD14" i="4" l="1"/>
  <c r="AD8" i="4"/>
  <c r="AD10" i="4"/>
  <c r="AD11" i="4"/>
  <c r="AD17" i="4"/>
  <c r="AD6" i="4"/>
  <c r="AD15" i="4"/>
  <c r="AD12" i="4"/>
  <c r="AD9" i="4"/>
  <c r="AD16" i="4"/>
  <c r="AD13" i="4"/>
  <c r="AD7" i="4"/>
  <c r="AE3" i="4"/>
  <c r="AE6" i="4" l="1"/>
  <c r="AE15" i="4"/>
  <c r="AE10" i="4"/>
  <c r="AE16" i="4"/>
  <c r="AE13" i="4"/>
  <c r="AE17" i="4"/>
  <c r="AE14" i="4"/>
  <c r="AE8" i="4"/>
  <c r="AE12" i="4"/>
  <c r="AE9" i="4"/>
  <c r="AE7" i="4"/>
  <c r="AE11" i="4"/>
  <c r="AF3" i="4"/>
  <c r="AF7" i="4" l="1"/>
  <c r="AF16" i="4"/>
  <c r="AF10" i="4"/>
  <c r="AF13" i="4"/>
  <c r="AF11" i="4"/>
  <c r="AF6" i="4"/>
  <c r="AF8" i="4"/>
  <c r="AF12" i="4"/>
  <c r="AF15" i="4"/>
  <c r="AF9" i="4"/>
  <c r="AF17" i="4"/>
  <c r="AF14" i="4"/>
  <c r="AG3" i="4"/>
  <c r="AG8" i="4" l="1"/>
  <c r="AG17" i="4"/>
  <c r="AG6" i="4"/>
  <c r="AG13" i="4"/>
  <c r="AG16" i="4"/>
  <c r="AG11" i="4"/>
  <c r="AG14" i="4"/>
  <c r="AG10" i="4"/>
  <c r="AG15" i="4"/>
  <c r="AG9" i="4"/>
  <c r="AG12" i="4"/>
  <c r="AG7" i="4"/>
  <c r="AH3" i="4"/>
  <c r="AH9" i="4" l="1"/>
  <c r="AI9" i="4" s="1" a="1"/>
  <c r="AI9" i="4" s="1"/>
  <c r="AH10" i="4"/>
  <c r="AI10" i="4" s="1" a="1"/>
  <c r="AI10" i="4" s="1"/>
  <c r="AH6" i="4"/>
  <c r="AI6" i="4" s="1" a="1"/>
  <c r="AI6" i="4" s="1"/>
  <c r="AH7" i="4"/>
  <c r="AI7" i="4" s="1" a="1"/>
  <c r="AI7" i="4" s="1"/>
  <c r="AH16" i="4"/>
  <c r="AI16" i="4" s="1" a="1"/>
  <c r="AI16" i="4" s="1"/>
  <c r="AH14" i="4"/>
  <c r="AI14" i="4" s="1" a="1"/>
  <c r="AI14" i="4" s="1"/>
  <c r="AH17" i="4"/>
  <c r="AI17" i="4" s="1" a="1"/>
  <c r="AI17" i="4" s="1"/>
  <c r="AH8" i="4"/>
  <c r="AI8" i="4" s="1" a="1"/>
  <c r="AI8" i="4" s="1"/>
  <c r="AH13" i="4"/>
  <c r="AI13" i="4" s="1" a="1"/>
  <c r="AI13" i="4" s="1"/>
  <c r="AH15" i="4"/>
  <c r="AI15" i="4" s="1" a="1"/>
  <c r="AI15" i="4" s="1"/>
  <c r="AH12" i="4"/>
  <c r="AI12" i="4" s="1" a="1"/>
  <c r="AI12" i="4" s="1"/>
  <c r="AH11" i="4"/>
  <c r="AI11" i="4" s="1" a="1"/>
  <c r="AI11" i="4" s="1"/>
  <c r="AN16" i="4" l="1" a="1"/>
  <c r="AN16" i="4" s="1"/>
  <c r="AN7" i="4" a="1"/>
  <c r="AN7" i="4" s="1"/>
  <c r="AN10" i="4" a="1"/>
  <c r="AN10" i="4" s="1"/>
  <c r="AN12" i="4" a="1"/>
  <c r="AN12" i="4" s="1"/>
  <c r="AN8" i="4" a="1"/>
  <c r="AN8" i="4" s="1"/>
  <c r="AN13" i="4" a="1"/>
  <c r="AN13" i="4" s="1"/>
  <c r="AN15" i="4" a="1"/>
  <c r="AN15" i="4" s="1"/>
  <c r="AN11" i="4" a="1"/>
  <c r="AN11" i="4" s="1"/>
  <c r="AN14" i="4" a="1"/>
  <c r="AN14" i="4" s="1"/>
  <c r="AN6" i="4" a="1"/>
  <c r="AN6" i="4" s="1"/>
  <c r="AN9" i="4" a="1"/>
  <c r="AN9" i="4" s="1"/>
  <c r="AN17" i="4" a="1"/>
  <c r="AN17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<sst xmlns="http://schemas.openxmlformats.org/spreadsheetml/2006/main" count="6586" uniqueCount="784">
  <si>
    <t>Chi Tiết Chấm Công</t>
  </si>
  <si>
    <t>ID Người</t>
  </si>
  <si>
    <t>Tên</t>
  </si>
  <si>
    <t>Bộ phận</t>
  </si>
  <si>
    <t>Ngày</t>
  </si>
  <si>
    <t>Ca làm việc</t>
  </si>
  <si>
    <t>Thời gian biểu</t>
  </si>
  <si>
    <t>Tình trạng chuyên cần</t>
  </si>
  <si>
    <t>Vào</t>
  </si>
  <si>
    <t>Ra</t>
  </si>
  <si>
    <t>Muộn</t>
  </si>
  <si>
    <t>Đã tham dự</t>
  </si>
  <si>
    <t>Vắng mặt</t>
  </si>
  <si>
    <t>Đã làm việc</t>
  </si>
  <si>
    <t>Thoát</t>
  </si>
  <si>
    <t>Tăng ca 1</t>
  </si>
  <si>
    <t>Tăng ca 2</t>
  </si>
  <si>
    <t>Tăng ca 3</t>
  </si>
  <si>
    <t>1</t>
  </si>
  <si>
    <t>Thach</t>
  </si>
  <si>
    <t>Tổ Chức Mới</t>
  </si>
  <si>
    <t>2025-09-01</t>
  </si>
  <si>
    <t>HC</t>
  </si>
  <si>
    <t>HC(08:00:00-17:00:00)</t>
  </si>
  <si>
    <t>-</t>
  </si>
  <si>
    <t>0 phút</t>
  </si>
  <si>
    <t>540 phút</t>
  </si>
  <si>
    <t>2025-09-02</t>
  </si>
  <si>
    <t>2025-09-03</t>
  </si>
  <si>
    <t>bình thường</t>
  </si>
  <si>
    <t>07:16:01</t>
  </si>
  <si>
    <t>19:20:43</t>
  </si>
  <si>
    <t>681 phút</t>
  </si>
  <si>
    <t>120 phút</t>
  </si>
  <si>
    <t>41 phút</t>
  </si>
  <si>
    <t>2025-09-04</t>
  </si>
  <si>
    <t>07:18:41</t>
  </si>
  <si>
    <t>2025-09-05</t>
  </si>
  <si>
    <t>07:22:22</t>
  </si>
  <si>
    <t>18:58:57</t>
  </si>
  <si>
    <t>659 phút</t>
  </si>
  <si>
    <t>119 phút</t>
  </si>
  <si>
    <t>2025-09-06</t>
  </si>
  <si>
    <t>07:29:09</t>
  </si>
  <si>
    <t>17:50:24</t>
  </si>
  <si>
    <t>590 phút</t>
  </si>
  <si>
    <t>50 phút</t>
  </si>
  <si>
    <t>2025-09-07</t>
  </si>
  <si>
    <t>2025-09-08</t>
  </si>
  <si>
    <t>07:22:13</t>
  </si>
  <si>
    <t>18:32:00</t>
  </si>
  <si>
    <t>632 phút</t>
  </si>
  <si>
    <t>92 phút</t>
  </si>
  <si>
    <t>2025-09-09</t>
  </si>
  <si>
    <t>07:16:13</t>
  </si>
  <si>
    <t>18:06:28</t>
  </si>
  <si>
    <t>606 phút</t>
  </si>
  <si>
    <t>66 phút</t>
  </si>
  <si>
    <t>2025-09-10</t>
  </si>
  <si>
    <t>07:21:23</t>
  </si>
  <si>
    <t>17:29:40</t>
  </si>
  <si>
    <t>570 phút</t>
  </si>
  <si>
    <t>30 phút</t>
  </si>
  <si>
    <t>2025-09-11</t>
  </si>
  <si>
    <t>07:19:17</t>
  </si>
  <si>
    <t>19:20:48</t>
  </si>
  <si>
    <t>42 phút</t>
  </si>
  <si>
    <t>2025-09-12</t>
  </si>
  <si>
    <t>18:45:25</t>
  </si>
  <si>
    <t>2025-09-13</t>
  </si>
  <si>
    <t>07:12:41</t>
  </si>
  <si>
    <t>17:54:46</t>
  </si>
  <si>
    <t>595 phút</t>
  </si>
  <si>
    <t>55 phút</t>
  </si>
  <si>
    <t>2025-09-14</t>
  </si>
  <si>
    <t>2025-09-15</t>
  </si>
  <si>
    <t>07:21:32</t>
  </si>
  <si>
    <t>17:53:47</t>
  </si>
  <si>
    <t>594 phút</t>
  </si>
  <si>
    <t>54 phút</t>
  </si>
  <si>
    <t>2025-09-16</t>
  </si>
  <si>
    <t>07:08:31</t>
  </si>
  <si>
    <t>19:22:44</t>
  </si>
  <si>
    <t>683 phút</t>
  </si>
  <si>
    <t>45 phút</t>
  </si>
  <si>
    <t>2025-09-17</t>
  </si>
  <si>
    <t>07:19:59</t>
  </si>
  <si>
    <t>18:34:18</t>
  </si>
  <si>
    <t>634 phút</t>
  </si>
  <si>
    <t>94 phút</t>
  </si>
  <si>
    <t>2025-09-18</t>
  </si>
  <si>
    <t>07:17:03</t>
  </si>
  <si>
    <t>18:23:19</t>
  </si>
  <si>
    <t>623 phút</t>
  </si>
  <si>
    <t>83 phút</t>
  </si>
  <si>
    <t>2025-09-19</t>
  </si>
  <si>
    <t>07:22:43</t>
  </si>
  <si>
    <t>18:26:18</t>
  </si>
  <si>
    <t>626 phút</t>
  </si>
  <si>
    <t>86 phút</t>
  </si>
  <si>
    <t>2025-09-20</t>
  </si>
  <si>
    <t>07:24:08</t>
  </si>
  <si>
    <t>17:58:08</t>
  </si>
  <si>
    <t>598 phút</t>
  </si>
  <si>
    <t>58 phút</t>
  </si>
  <si>
    <t>2025-09-21</t>
  </si>
  <si>
    <t>2025-09-22</t>
  </si>
  <si>
    <t>07:19:36</t>
  </si>
  <si>
    <t>18:19:04</t>
  </si>
  <si>
    <t>619 phút</t>
  </si>
  <si>
    <t>79 phút</t>
  </si>
  <si>
    <t>2025-09-23</t>
  </si>
  <si>
    <t>07:20:40</t>
  </si>
  <si>
    <t>18:42:00</t>
  </si>
  <si>
    <t>642 phút</t>
  </si>
  <si>
    <t>102 phút</t>
  </si>
  <si>
    <t>2025-09-24</t>
  </si>
  <si>
    <t>07:08:54</t>
  </si>
  <si>
    <t>18:09:20</t>
  </si>
  <si>
    <t>609 phút</t>
  </si>
  <si>
    <t>69 phút</t>
  </si>
  <si>
    <t>2025-09-25</t>
  </si>
  <si>
    <t>07:07:09</t>
  </si>
  <si>
    <t>2025-09-26</t>
  </si>
  <si>
    <t>07:20:10</t>
  </si>
  <si>
    <t>2025-09-27</t>
  </si>
  <si>
    <t>07:27:42</t>
  </si>
  <si>
    <t>17:40:04</t>
  </si>
  <si>
    <t>580 phút</t>
  </si>
  <si>
    <t>40 phút</t>
  </si>
  <si>
    <t>2025-09-28</t>
  </si>
  <si>
    <t>2025-09-29</t>
  </si>
  <si>
    <t>07:13:39</t>
  </si>
  <si>
    <t>18:36:56</t>
  </si>
  <si>
    <t>637 phút</t>
  </si>
  <si>
    <t>97 phút</t>
  </si>
  <si>
    <t>2025-09-30</t>
  </si>
  <si>
    <t>07:19:28</t>
  </si>
  <si>
    <t>17:35:55</t>
  </si>
  <si>
    <t>576 phút</t>
  </si>
  <si>
    <t>36 phút</t>
  </si>
  <si>
    <t>10</t>
  </si>
  <si>
    <t>Dang</t>
  </si>
  <si>
    <t>06:39:11</t>
  </si>
  <si>
    <t>06:44:37</t>
  </si>
  <si>
    <t>05:00:56</t>
  </si>
  <si>
    <t>06:49:55</t>
  </si>
  <si>
    <t>06:43:29</t>
  </si>
  <si>
    <t>06:40:04</t>
  </si>
  <si>
    <t>05:36:04</t>
  </si>
  <si>
    <t>06:26:02</t>
  </si>
  <si>
    <t>06:49:31</t>
  </si>
  <si>
    <t>06:47:41</t>
  </si>
  <si>
    <t>06:44:15</t>
  </si>
  <si>
    <t>06:42:18</t>
  </si>
  <si>
    <t>06:41:58</t>
  </si>
  <si>
    <t>06:47:03</t>
  </si>
  <si>
    <t>06:54:09</t>
  </si>
  <si>
    <t>06:51:11</t>
  </si>
  <si>
    <t>06:50:37</t>
  </si>
  <si>
    <t>06:43:44</t>
  </si>
  <si>
    <t>06:51:36</t>
  </si>
  <si>
    <t>06:56:13</t>
  </si>
  <si>
    <t>11</t>
  </si>
  <si>
    <t>Hoang Tam</t>
  </si>
  <si>
    <t>07:29:46</t>
  </si>
  <si>
    <t>07:33:58</t>
  </si>
  <si>
    <t>07:29:25</t>
  </si>
  <si>
    <t>07:33:13</t>
  </si>
  <si>
    <t>08:42:22</t>
  </si>
  <si>
    <t>07:37:04</t>
  </si>
  <si>
    <t>07:32:10</t>
  </si>
  <si>
    <t>12</t>
  </si>
  <si>
    <t>Duc Thanh</t>
  </si>
  <si>
    <t>07:15:47</t>
  </si>
  <si>
    <t>07:22:58</t>
  </si>
  <si>
    <t>07:24:33</t>
  </si>
  <si>
    <t>6 phút</t>
  </si>
  <si>
    <t>534 phút</t>
  </si>
  <si>
    <t>06:56:14</t>
  </si>
  <si>
    <t>07:09:58</t>
  </si>
  <si>
    <t>06:51:00</t>
  </si>
  <si>
    <t>07:22:28</t>
  </si>
  <si>
    <t>07:24:04</t>
  </si>
  <si>
    <t>07:25:24</t>
  </si>
  <si>
    <t>07:09:59</t>
  </si>
  <si>
    <t>07:17:39</t>
  </si>
  <si>
    <t>07:06:31</t>
  </si>
  <si>
    <t>07:11:52</t>
  </si>
  <si>
    <t>07:13:30</t>
  </si>
  <si>
    <t>07:16:31</t>
  </si>
  <si>
    <t>07:08:28</t>
  </si>
  <si>
    <t>07:12:55</t>
  </si>
  <si>
    <t>07:12:32</t>
  </si>
  <si>
    <t>07:20:36</t>
  </si>
  <si>
    <t>07:11:08</t>
  </si>
  <si>
    <t>07:26:43</t>
  </si>
  <si>
    <t>07:08:24</t>
  </si>
  <si>
    <t>13</t>
  </si>
  <si>
    <t>Minh</t>
  </si>
  <si>
    <t>07:05:09</t>
  </si>
  <si>
    <t>07:36:55</t>
  </si>
  <si>
    <t>07:12:45</t>
  </si>
  <si>
    <t>07:34:01</t>
  </si>
  <si>
    <t>07:20:39</t>
  </si>
  <si>
    <t>07:07:16</t>
  </si>
  <si>
    <t>07:22:24</t>
  </si>
  <si>
    <t>07:04:17</t>
  </si>
  <si>
    <t>07:25:10</t>
  </si>
  <si>
    <t>07:02:35</t>
  </si>
  <si>
    <t>07:19:48</t>
  </si>
  <si>
    <t>07:19:33</t>
  </si>
  <si>
    <t>07:06:43</t>
  </si>
  <si>
    <t>07:12:27</t>
  </si>
  <si>
    <t>07:17:50</t>
  </si>
  <si>
    <t>06:55:19</t>
  </si>
  <si>
    <t>07:01:29</t>
  </si>
  <si>
    <t>07:12:47</t>
  </si>
  <si>
    <t>07:24:34</t>
  </si>
  <si>
    <t>07:10:56</t>
  </si>
  <si>
    <t>07:54:46</t>
  </si>
  <si>
    <t>14</t>
  </si>
  <si>
    <t>Luong</t>
  </si>
  <si>
    <t>15</t>
  </si>
  <si>
    <t>Khang</t>
  </si>
  <si>
    <t>16</t>
  </si>
  <si>
    <t>Thinh</t>
  </si>
  <si>
    <t>17</t>
  </si>
  <si>
    <t>Thuy</t>
  </si>
  <si>
    <t>18</t>
  </si>
  <si>
    <t>Phong</t>
  </si>
  <si>
    <t>19</t>
  </si>
  <si>
    <t>11 phút</t>
  </si>
  <si>
    <t>2</t>
  </si>
  <si>
    <t>Tam</t>
  </si>
  <si>
    <t>07:57:43</t>
  </si>
  <si>
    <t>18:14:11</t>
  </si>
  <si>
    <t>614 phút</t>
  </si>
  <si>
    <t>74 phút</t>
  </si>
  <si>
    <t>07:51:48</t>
  </si>
  <si>
    <t>17:38:16</t>
  </si>
  <si>
    <t>578 phút</t>
  </si>
  <si>
    <t>38 phút</t>
  </si>
  <si>
    <t>07:52:58</t>
  </si>
  <si>
    <t>17:10:59</t>
  </si>
  <si>
    <t>551 phút</t>
  </si>
  <si>
    <t>07:53:48</t>
  </si>
  <si>
    <t>18:46:26</t>
  </si>
  <si>
    <t>646 phút</t>
  </si>
  <si>
    <t>106 phút</t>
  </si>
  <si>
    <t>07:50:17</t>
  </si>
  <si>
    <t>18:14:48</t>
  </si>
  <si>
    <t>615 phút</t>
  </si>
  <si>
    <t>75 phút</t>
  </si>
  <si>
    <t>Về sớm</t>
  </si>
  <si>
    <t>07:54:41</t>
  </si>
  <si>
    <t>16:34:51</t>
  </si>
  <si>
    <t>515 phút</t>
  </si>
  <si>
    <t>25 phút</t>
  </si>
  <si>
    <t>07:42:17</t>
  </si>
  <si>
    <t>18:03:22</t>
  </si>
  <si>
    <t>603 phút</t>
  </si>
  <si>
    <t>63 phút</t>
  </si>
  <si>
    <t>07:52:14</t>
  </si>
  <si>
    <t>17:48:34</t>
  </si>
  <si>
    <t>589 phút</t>
  </si>
  <si>
    <t>49 phút</t>
  </si>
  <si>
    <t>07:54:10</t>
  </si>
  <si>
    <t>18:57:57</t>
  </si>
  <si>
    <t>658 phút</t>
  </si>
  <si>
    <t>118 phút</t>
  </si>
  <si>
    <t>07:51:15</t>
  </si>
  <si>
    <t>18:17:52</t>
  </si>
  <si>
    <t>618 phút</t>
  </si>
  <si>
    <t>78 phút</t>
  </si>
  <si>
    <t>07:50:40</t>
  </si>
  <si>
    <t>18:27:59</t>
  </si>
  <si>
    <t>628 phút</t>
  </si>
  <si>
    <t>88 phút</t>
  </si>
  <si>
    <t>07:53:06</t>
  </si>
  <si>
    <t>18:30:42</t>
  </si>
  <si>
    <t>631 phút</t>
  </si>
  <si>
    <t>91 phút</t>
  </si>
  <si>
    <t>07:51:40</t>
  </si>
  <si>
    <t>17:55:05</t>
  </si>
  <si>
    <t>07:47:58</t>
  </si>
  <si>
    <t>18:22:25</t>
  </si>
  <si>
    <t>622 phút</t>
  </si>
  <si>
    <t>82 phút</t>
  </si>
  <si>
    <t>08:02:23</t>
  </si>
  <si>
    <t>18:53:11</t>
  </si>
  <si>
    <t>2 phút</t>
  </si>
  <si>
    <t>651 phút</t>
  </si>
  <si>
    <t>113 phút</t>
  </si>
  <si>
    <t>07:51:27</t>
  </si>
  <si>
    <t>18:41:50</t>
  </si>
  <si>
    <t>07:51:47</t>
  </si>
  <si>
    <t>17:27:02</t>
  </si>
  <si>
    <t>567 phút</t>
  </si>
  <si>
    <t>27 phút</t>
  </si>
  <si>
    <t>07:51:07</t>
  </si>
  <si>
    <t>17:55:57</t>
  </si>
  <si>
    <t>596 phút</t>
  </si>
  <si>
    <t>56 phút</t>
  </si>
  <si>
    <t>07:59:00</t>
  </si>
  <si>
    <t>17:42:07</t>
  </si>
  <si>
    <t>582 phút</t>
  </si>
  <si>
    <t>20</t>
  </si>
  <si>
    <t>07:27:25</t>
  </si>
  <si>
    <t>21</t>
  </si>
  <si>
    <t>653 phút</t>
  </si>
  <si>
    <t>676 phút</t>
  </si>
  <si>
    <t>33 phút</t>
  </si>
  <si>
    <t>679 phút</t>
  </si>
  <si>
    <t>37 phút</t>
  </si>
  <si>
    <t>673 phút</t>
  </si>
  <si>
    <t>26 phút</t>
  </si>
  <si>
    <t>656 phút</t>
  </si>
  <si>
    <t>116 phút</t>
  </si>
  <si>
    <t>13 phút</t>
  </si>
  <si>
    <t>22</t>
  </si>
  <si>
    <t>Yen</t>
  </si>
  <si>
    <t>23</t>
  </si>
  <si>
    <t>Thien Thanh</t>
  </si>
  <si>
    <t>07:26:53</t>
  </si>
  <si>
    <t>19:44:46</t>
  </si>
  <si>
    <t>705 phút</t>
  </si>
  <si>
    <t>90 phút</t>
  </si>
  <si>
    <t>07:33:39</t>
  </si>
  <si>
    <t>18:33:38</t>
  </si>
  <si>
    <t>07:34:42</t>
  </si>
  <si>
    <t>19:28:49</t>
  </si>
  <si>
    <t>689 phút</t>
  </si>
  <si>
    <t>07:32:03</t>
  </si>
  <si>
    <t>18:39:50</t>
  </si>
  <si>
    <t>640 phút</t>
  </si>
  <si>
    <t>100 phút</t>
  </si>
  <si>
    <t>07:35:48</t>
  </si>
  <si>
    <t>20:30:25</t>
  </si>
  <si>
    <t>750 phút</t>
  </si>
  <si>
    <t>181 phút</t>
  </si>
  <si>
    <t>07:05:57</t>
  </si>
  <si>
    <t>19:41:32</t>
  </si>
  <si>
    <t>702 phút</t>
  </si>
  <si>
    <t>07:35:47</t>
  </si>
  <si>
    <t>18:25:37</t>
  </si>
  <si>
    <t>07:27:16</t>
  </si>
  <si>
    <t>18:52:44</t>
  </si>
  <si>
    <t>07:36:13</t>
  </si>
  <si>
    <t>18:15:07</t>
  </si>
  <si>
    <t>07:24:50</t>
  </si>
  <si>
    <t>18:15:05</t>
  </si>
  <si>
    <t>07:28:35</t>
  </si>
  <si>
    <t>19:18:37</t>
  </si>
  <si>
    <t>19:19:52</t>
  </si>
  <si>
    <t>680 phút</t>
  </si>
  <si>
    <t>07:31:56</t>
  </si>
  <si>
    <t>18:58:18</t>
  </si>
  <si>
    <t>07:35:07</t>
  </si>
  <si>
    <t>18:23:15</t>
  </si>
  <si>
    <t>07:31:43</t>
  </si>
  <si>
    <t>18:01:55</t>
  </si>
  <si>
    <t>602 phút</t>
  </si>
  <si>
    <t>62 phút</t>
  </si>
  <si>
    <t>07:30:00</t>
  </si>
  <si>
    <t>17:43:58</t>
  </si>
  <si>
    <t>584 phút</t>
  </si>
  <si>
    <t>44 phút</t>
  </si>
  <si>
    <t>07:31:14</t>
  </si>
  <si>
    <t>18:34:22</t>
  </si>
  <si>
    <t>07:29:42</t>
  </si>
  <si>
    <t>19:35:21</t>
  </si>
  <si>
    <t>695 phút</t>
  </si>
  <si>
    <t>71 phút</t>
  </si>
  <si>
    <t>07:32:12</t>
  </si>
  <si>
    <t>20:08:48</t>
  </si>
  <si>
    <t>729 phút</t>
  </si>
  <si>
    <t>138 phút</t>
  </si>
  <si>
    <t>07:31:06</t>
  </si>
  <si>
    <t>18:25:22</t>
  </si>
  <si>
    <t>625 phút</t>
  </si>
  <si>
    <t>85 phút</t>
  </si>
  <si>
    <t>07:34:25</t>
  </si>
  <si>
    <t>17:50:10</t>
  </si>
  <si>
    <t>07:29:52</t>
  </si>
  <si>
    <t>17:38:26</t>
  </si>
  <si>
    <t>07:33:18</t>
  </si>
  <si>
    <t>19:12:53</t>
  </si>
  <si>
    <t>18:29:43</t>
  </si>
  <si>
    <t>630 phút</t>
  </si>
  <si>
    <t>24</t>
  </si>
  <si>
    <t>Thien Trang</t>
  </si>
  <si>
    <t>07:26:40</t>
  </si>
  <si>
    <t>19:44:40</t>
  </si>
  <si>
    <t>89 phút</t>
  </si>
  <si>
    <t>07:33:28</t>
  </si>
  <si>
    <t>18:33:32</t>
  </si>
  <si>
    <t>07:34:38</t>
  </si>
  <si>
    <t>17:54:43</t>
  </si>
  <si>
    <t>07:31:49</t>
  </si>
  <si>
    <t>18:38:22</t>
  </si>
  <si>
    <t>638 phút</t>
  </si>
  <si>
    <t>98 phút</t>
  </si>
  <si>
    <t>07:35:27</t>
  </si>
  <si>
    <t>20:30:49</t>
  </si>
  <si>
    <t>751 phút</t>
  </si>
  <si>
    <t>182 phút</t>
  </si>
  <si>
    <t>07:05:46</t>
  </si>
  <si>
    <t>18:52:05</t>
  </si>
  <si>
    <t>652 phút</t>
  </si>
  <si>
    <t>112 phút</t>
  </si>
  <si>
    <t>07:35:44</t>
  </si>
  <si>
    <t>18:24:40</t>
  </si>
  <si>
    <t>07:27:12</t>
  </si>
  <si>
    <t>18:53:19</t>
  </si>
  <si>
    <t>07:36:09</t>
  </si>
  <si>
    <t>18:15:32</t>
  </si>
  <si>
    <t>616 phút</t>
  </si>
  <si>
    <t>76 phút</t>
  </si>
  <si>
    <t>07:24:28</t>
  </si>
  <si>
    <t>18:13:59</t>
  </si>
  <si>
    <t>07:28:25</t>
  </si>
  <si>
    <t>19:19:13</t>
  </si>
  <si>
    <t>07:27:22</t>
  </si>
  <si>
    <t>19:20:46</t>
  </si>
  <si>
    <t>07:31:52</t>
  </si>
  <si>
    <t>18:58:03</t>
  </si>
  <si>
    <t>07:35:01</t>
  </si>
  <si>
    <t>18:23:07</t>
  </si>
  <si>
    <t>07:31:38</t>
  </si>
  <si>
    <t>18:02:13</t>
  </si>
  <si>
    <t>07:29:55</t>
  </si>
  <si>
    <t>17:44:04</t>
  </si>
  <si>
    <t>07:31:11</t>
  </si>
  <si>
    <t>18:34:15</t>
  </si>
  <si>
    <t>07:29:38</t>
  </si>
  <si>
    <t>19:36:00</t>
  </si>
  <si>
    <t>696 phút</t>
  </si>
  <si>
    <t>72 phút</t>
  </si>
  <si>
    <t>07:32:06</t>
  </si>
  <si>
    <t>20:08:41</t>
  </si>
  <si>
    <t>137 phút</t>
  </si>
  <si>
    <t>07:31:02</t>
  </si>
  <si>
    <t>18:25:18</t>
  </si>
  <si>
    <t>07:34:21</t>
  </si>
  <si>
    <t>17:49:51</t>
  </si>
  <si>
    <t>07:29:48</t>
  </si>
  <si>
    <t>17:38:41</t>
  </si>
  <si>
    <t>579 phút</t>
  </si>
  <si>
    <t>39 phút</t>
  </si>
  <si>
    <t>07:33:12</t>
  </si>
  <si>
    <t>19:13:30</t>
  </si>
  <si>
    <t>674 phút</t>
  </si>
  <si>
    <t>18:29:09</t>
  </si>
  <si>
    <t>629 phút</t>
  </si>
  <si>
    <t>25</t>
  </si>
  <si>
    <t>Thuc</t>
  </si>
  <si>
    <t>07:32:30</t>
  </si>
  <si>
    <t>07:30:03</t>
  </si>
  <si>
    <t>07:31:17</t>
  </si>
  <si>
    <t>07:29:35</t>
  </si>
  <si>
    <t>07:31:01</t>
  </si>
  <si>
    <t>07:33:29</t>
  </si>
  <si>
    <t>07:36:30</t>
  </si>
  <si>
    <t>07:23:14</t>
  </si>
  <si>
    <t>07:38:44</t>
  </si>
  <si>
    <t>07:26:50</t>
  </si>
  <si>
    <t>07:24:17</t>
  </si>
  <si>
    <t>07:28:05</t>
  </si>
  <si>
    <t>07:22:25</t>
  </si>
  <si>
    <t>07:32:02</t>
  </si>
  <si>
    <t>07:29:16</t>
  </si>
  <si>
    <t>07:27:35</t>
  </si>
  <si>
    <t>07:26:30</t>
  </si>
  <si>
    <t>07:25:13</t>
  </si>
  <si>
    <t>07:19:53</t>
  </si>
  <si>
    <t>07:26:15</t>
  </si>
  <si>
    <t>07:30:14</t>
  </si>
  <si>
    <t>07:26:05</t>
  </si>
  <si>
    <t>07:28:47</t>
  </si>
  <si>
    <t>26</t>
  </si>
  <si>
    <t>Lam</t>
  </si>
  <si>
    <t>27</t>
  </si>
  <si>
    <t>Sam</t>
  </si>
  <si>
    <t>28</t>
  </si>
  <si>
    <t>Hoang</t>
  </si>
  <si>
    <t>29</t>
  </si>
  <si>
    <t>Tai</t>
  </si>
  <si>
    <t>3</t>
  </si>
  <si>
    <t>VIET</t>
  </si>
  <si>
    <t>30</t>
  </si>
  <si>
    <t>Hoa</t>
  </si>
  <si>
    <t>31</t>
  </si>
  <si>
    <t>Thao</t>
  </si>
  <si>
    <t>32</t>
  </si>
  <si>
    <t>17:59:56</t>
  </si>
  <si>
    <t>600 phút</t>
  </si>
  <si>
    <t>60 phút</t>
  </si>
  <si>
    <t>07:23:17</t>
  </si>
  <si>
    <t>18:55:43</t>
  </si>
  <si>
    <t>07:34:06</t>
  </si>
  <si>
    <t>19:15:33</t>
  </si>
  <si>
    <t>31 phút</t>
  </si>
  <si>
    <t>07:32:24</t>
  </si>
  <si>
    <t>16:38:07</t>
  </si>
  <si>
    <t>518 phút</t>
  </si>
  <si>
    <t>22 phút</t>
  </si>
  <si>
    <t>07:33:55</t>
  </si>
  <si>
    <t>16:47:17</t>
  </si>
  <si>
    <t>527 phút</t>
  </si>
  <si>
    <t>07:21:34</t>
  </si>
  <si>
    <t>07:56:51</t>
  </si>
  <si>
    <t>16:58:13</t>
  </si>
  <si>
    <t>538 phút</t>
  </si>
  <si>
    <t>07:22:31</t>
  </si>
  <si>
    <t>16:47:32</t>
  </si>
  <si>
    <t>528 phút</t>
  </si>
  <si>
    <t>12 phút</t>
  </si>
  <si>
    <t>07:16:36</t>
  </si>
  <si>
    <t>07:25:21</t>
  </si>
  <si>
    <t>07:21:09</t>
  </si>
  <si>
    <t>16:39:52</t>
  </si>
  <si>
    <t>520 phút</t>
  </si>
  <si>
    <t>20 phút</t>
  </si>
  <si>
    <t>07:20:26</t>
  </si>
  <si>
    <t>07:21:41</t>
  </si>
  <si>
    <t>16:30:35</t>
  </si>
  <si>
    <t>511 phút</t>
  </si>
  <si>
    <t>29 phút</t>
  </si>
  <si>
    <t>07:19:54</t>
  </si>
  <si>
    <t>16:33:36</t>
  </si>
  <si>
    <t>514 phút</t>
  </si>
  <si>
    <t>07:13:18</t>
  </si>
  <si>
    <t>07:18:39</t>
  </si>
  <si>
    <t>16:31:40</t>
  </si>
  <si>
    <t>512 phút</t>
  </si>
  <si>
    <t>28 phút</t>
  </si>
  <si>
    <t>07:26:39</t>
  </si>
  <si>
    <t>17:40:31</t>
  </si>
  <si>
    <t>581 phút</t>
  </si>
  <si>
    <t>07:38:38</t>
  </si>
  <si>
    <t>16:32:38</t>
  </si>
  <si>
    <t>513 phút</t>
  </si>
  <si>
    <t>07:21:42</t>
  </si>
  <si>
    <t>13:11:11</t>
  </si>
  <si>
    <t>311 phút</t>
  </si>
  <si>
    <t>229 phút</t>
  </si>
  <si>
    <t>07:21:00</t>
  </si>
  <si>
    <t>16:30:11</t>
  </si>
  <si>
    <t>510 phút</t>
  </si>
  <si>
    <t>07:24:48</t>
  </si>
  <si>
    <t>16:34:16</t>
  </si>
  <si>
    <t>07:19:00</t>
  </si>
  <si>
    <t>07:20:08</t>
  </si>
  <si>
    <t>17:29:50</t>
  </si>
  <si>
    <t>07:29:00</t>
  </si>
  <si>
    <t>17:51:58</t>
  </si>
  <si>
    <t>592 phút</t>
  </si>
  <si>
    <t>52 phút</t>
  </si>
  <si>
    <t>33</t>
  </si>
  <si>
    <t>Hanh</t>
  </si>
  <si>
    <t>34</t>
  </si>
  <si>
    <t>Khanh</t>
  </si>
  <si>
    <t>35</t>
  </si>
  <si>
    <t>Chanh</t>
  </si>
  <si>
    <t>36</t>
  </si>
  <si>
    <t>Thai</t>
  </si>
  <si>
    <t>37</t>
  </si>
  <si>
    <t>38</t>
  </si>
  <si>
    <t>39</t>
  </si>
  <si>
    <t>4</t>
  </si>
  <si>
    <t>Hai</t>
  </si>
  <si>
    <t>40</t>
  </si>
  <si>
    <t>41</t>
  </si>
  <si>
    <t>Tuan</t>
  </si>
  <si>
    <t>42</t>
  </si>
  <si>
    <t>Qui</t>
  </si>
  <si>
    <t>43</t>
  </si>
  <si>
    <t>44</t>
  </si>
  <si>
    <t>Phu</t>
  </si>
  <si>
    <t>45</t>
  </si>
  <si>
    <t>46</t>
  </si>
  <si>
    <t>Nghia</t>
  </si>
  <si>
    <t>47</t>
  </si>
  <si>
    <t>Huy</t>
  </si>
  <si>
    <t>48</t>
  </si>
  <si>
    <t>Quang</t>
  </si>
  <si>
    <t>49</t>
  </si>
  <si>
    <t>Quoc</t>
  </si>
  <si>
    <t>5</t>
  </si>
  <si>
    <t>50</t>
  </si>
  <si>
    <t>Phuoc</t>
  </si>
  <si>
    <t>07:28:15</t>
  </si>
  <si>
    <t>07:29:49</t>
  </si>
  <si>
    <t>07:32:01</t>
  </si>
  <si>
    <t>07:33:45</t>
  </si>
  <si>
    <t>07:33:48</t>
  </si>
  <si>
    <t>07:33:37</t>
  </si>
  <si>
    <t>07:25:22</t>
  </si>
  <si>
    <t>07:29:34</t>
  </si>
  <si>
    <t>07:37:47</t>
  </si>
  <si>
    <t>07:28:46</t>
  </si>
  <si>
    <t>08:32:32</t>
  </si>
  <si>
    <t>07:33:17</t>
  </si>
  <si>
    <t>07:30:19</t>
  </si>
  <si>
    <t>07:28:43</t>
  </si>
  <si>
    <t>07:25:45</t>
  </si>
  <si>
    <t>07:28:27</t>
  </si>
  <si>
    <t>07:34:00</t>
  </si>
  <si>
    <t>07:29:58</t>
  </si>
  <si>
    <t>07:29:07</t>
  </si>
  <si>
    <t>07:30:49</t>
  </si>
  <si>
    <t>07:31:45</t>
  </si>
  <si>
    <t>07:28:39</t>
  </si>
  <si>
    <t>07:35:54</t>
  </si>
  <si>
    <t>51</t>
  </si>
  <si>
    <t>Hong</t>
  </si>
  <si>
    <t>52</t>
  </si>
  <si>
    <t>Xuyen</t>
  </si>
  <si>
    <t>53</t>
  </si>
  <si>
    <t>54</t>
  </si>
  <si>
    <t>Nhan</t>
  </si>
  <si>
    <t>55</t>
  </si>
  <si>
    <t>Hoc</t>
  </si>
  <si>
    <t>56</t>
  </si>
  <si>
    <t>57</t>
  </si>
  <si>
    <t>Bao</t>
  </si>
  <si>
    <t>58</t>
  </si>
  <si>
    <t>59</t>
  </si>
  <si>
    <t>Phuong</t>
  </si>
  <si>
    <t>07:18:30</t>
  </si>
  <si>
    <t>07:22:49</t>
  </si>
  <si>
    <t>07:25:02</t>
  </si>
  <si>
    <t>07:24:25</t>
  </si>
  <si>
    <t>07:26:00</t>
  </si>
  <si>
    <t>07:21:06</t>
  </si>
  <si>
    <t>07:17:21</t>
  </si>
  <si>
    <t>07:24:01</t>
  </si>
  <si>
    <t>07:25:16</t>
  </si>
  <si>
    <t>07:20:59</t>
  </si>
  <si>
    <t>07:20:21</t>
  </si>
  <si>
    <t>07:21:43</t>
  </si>
  <si>
    <t>07:19:14</t>
  </si>
  <si>
    <t>07:12:33</t>
  </si>
  <si>
    <t>07:17:56</t>
  </si>
  <si>
    <t>07:19:10</t>
  </si>
  <si>
    <t>07:20:25</t>
  </si>
  <si>
    <t>07:19:39</t>
  </si>
  <si>
    <t>07:21:07</t>
  </si>
  <si>
    <t>07:23:23</t>
  </si>
  <si>
    <t>07:17:35</t>
  </si>
  <si>
    <t>07:09:01</t>
  </si>
  <si>
    <t>07:17:19</t>
  </si>
  <si>
    <t>6</t>
  </si>
  <si>
    <t>Diem</t>
  </si>
  <si>
    <t>60</t>
  </si>
  <si>
    <t>61</t>
  </si>
  <si>
    <t>Thong</t>
  </si>
  <si>
    <t>62</t>
  </si>
  <si>
    <t>63</t>
  </si>
  <si>
    <t>64</t>
  </si>
  <si>
    <t>65</t>
  </si>
  <si>
    <t>7</t>
  </si>
  <si>
    <t>Thanh</t>
  </si>
  <si>
    <t>8</t>
  </si>
  <si>
    <t>9</t>
  </si>
  <si>
    <t>STT</t>
  </si>
  <si>
    <t xml:space="preserve">Họ và Tên </t>
  </si>
  <si>
    <t>ID</t>
  </si>
  <si>
    <t>Kinh doanh</t>
  </si>
  <si>
    <t>Bùi Thị Kim Dung</t>
  </si>
  <si>
    <t>Nguyễn Văn Vinh</t>
  </si>
  <si>
    <t xml:space="preserve">Trương Quang Thanh    </t>
  </si>
  <si>
    <t xml:space="preserve"> Hứa Thị Ngọc Thơ  </t>
  </si>
  <si>
    <t>Nguyễn Quốc Thái</t>
  </si>
  <si>
    <t>Trần Hạo Nhị</t>
  </si>
  <si>
    <t>Dương Thị Kim Hồng</t>
  </si>
  <si>
    <t>Trần Bảo Trâm</t>
  </si>
  <si>
    <t xml:space="preserve"> Nguyễn Bảo Thạch    </t>
  </si>
  <si>
    <t xml:space="preserve"> Hoàng Đức Thanh    </t>
  </si>
  <si>
    <t xml:space="preserve"> Nguyễn Quốc Minh   </t>
  </si>
  <si>
    <t xml:space="preserve"> Nguyễn Hoàng Thực    </t>
  </si>
  <si>
    <t xml:space="preserve"> Trần Cao Hoàng Tâm    </t>
  </si>
  <si>
    <t xml:space="preserve"> Lê Kim Đãng   </t>
  </si>
  <si>
    <t xml:space="preserve"> Nguyễn Thiên Trang    </t>
  </si>
  <si>
    <t xml:space="preserve"> Nguyễn Thiên Thanh    </t>
  </si>
  <si>
    <t xml:space="preserve"> Huỳnh Thanh Phong  </t>
  </si>
  <si>
    <t>Nguyễn Hữu Phước</t>
  </si>
  <si>
    <t>Nguyễn Thanh Phương</t>
  </si>
  <si>
    <t xml:space="preserve">Trần Kỳ Tâm    </t>
  </si>
  <si>
    <t>Kế toán - Văn phòng</t>
  </si>
  <si>
    <t>Huỳnh Văn Hùng</t>
  </si>
  <si>
    <t>Nguyễn Thị Út Hương</t>
  </si>
  <si>
    <t>Đoàn Thị Thanh Hương</t>
  </si>
  <si>
    <t>Hoàng Thị Hoài Nhi</t>
  </si>
  <si>
    <t>Phạm Anh Vũ</t>
  </si>
  <si>
    <t xml:space="preserve"> Hàng Minh Thư   </t>
  </si>
  <si>
    <t>Nguyễn Thị Lan Sy</t>
  </si>
  <si>
    <t>Lê Thị Mỹ Duyên</t>
  </si>
  <si>
    <t>Huỳnh Thị Mạnh Thường</t>
  </si>
  <si>
    <t>Tên nhân viên</t>
  </si>
  <si>
    <t>Lý Kim Hồ</t>
  </si>
  <si>
    <t>Nghĩ việc</t>
  </si>
  <si>
    <t>Đang làm việc</t>
  </si>
  <si>
    <t>Vận Hành</t>
  </si>
  <si>
    <t>Trạng thái</t>
  </si>
  <si>
    <t>Bộ phận2</t>
  </si>
  <si>
    <t>Tăng ca</t>
  </si>
  <si>
    <t>Không</t>
  </si>
  <si>
    <t>Có</t>
  </si>
  <si>
    <t>Chấm vân tay giờ về</t>
  </si>
  <si>
    <t>Ngày công</t>
  </si>
  <si>
    <t>Muộn (Phút)</t>
  </si>
  <si>
    <t>Giờ vào HC</t>
  </si>
  <si>
    <t>Giờ ra HC</t>
  </si>
  <si>
    <t>Giờ Về</t>
  </si>
  <si>
    <t>Giờ vao TT</t>
  </si>
  <si>
    <t>Giờ ra TT</t>
  </si>
  <si>
    <t>Tăng ca (phút)</t>
  </si>
  <si>
    <t>Thời Gian làm việc</t>
  </si>
  <si>
    <t>Giờ vào</t>
  </si>
  <si>
    <t>Giờ ra</t>
  </si>
  <si>
    <t>Vận Hành &amp; Kho</t>
  </si>
  <si>
    <t>Đối với vi phạm đi trễ</t>
  </si>
  <si>
    <t>Đi trễ từ 6 --&gt; 15 Phút so với quy định</t>
  </si>
  <si>
    <t>Vi phạm</t>
  </si>
  <si>
    <t>Đi trễ từ 15 --&gt; 60 Phút so với quy định</t>
  </si>
  <si>
    <t>Đi trễ từ 60 Phút so với quy định</t>
  </si>
  <si>
    <t>Trừ nữa ngày lượng</t>
  </si>
  <si>
    <t>Vi phạm các quy định trên quá 3 lần/tháng</t>
  </si>
  <si>
    <t>Trừ toàn bộ chuyên cần tháng</t>
  </si>
  <si>
    <t>Đối với vi phạm chấm công</t>
  </si>
  <si>
    <t>Vi phạm lần 1</t>
  </si>
  <si>
    <t>Vi phạm lần 3 trở lên</t>
  </si>
  <si>
    <t>Vi phạm lần 2</t>
  </si>
  <si>
    <t>Trường hợp vi phạm quá 3 lần/tháng</t>
  </si>
  <si>
    <t>Không chấm công ngày đó</t>
  </si>
  <si>
    <t>Phạt nữa ngày lương</t>
  </si>
  <si>
    <t>Đối với Trường hợp nghĩ phép cần báo trước 3 ngày cho Quản lý, nếu nghĩ không xin phép thì:</t>
  </si>
  <si>
    <t>Vi phạm lần đầu</t>
  </si>
  <si>
    <t>Nhắc nhở</t>
  </si>
  <si>
    <t>Trừ 3 ngày lương</t>
  </si>
  <si>
    <t>Vi phạm lần 3</t>
  </si>
  <si>
    <t>Hạ bậc lương hoặc xét cho thôi việc</t>
  </si>
  <si>
    <t>Châm công</t>
  </si>
  <si>
    <t>Trừ lương do vi phạm</t>
  </si>
  <si>
    <t>Ghi Chú</t>
  </si>
  <si>
    <t>Trừ ngày lương</t>
  </si>
  <si>
    <t>Phạt muộn</t>
  </si>
  <si>
    <t>Phạt Quên chấm công</t>
  </si>
  <si>
    <t>BẢNG CHẤM CÔNG</t>
  </si>
  <si>
    <t>Tháng</t>
  </si>
  <si>
    <t>năm</t>
  </si>
  <si>
    <t>Tăng ca (Phút)</t>
  </si>
  <si>
    <t>Muộn (lần)</t>
  </si>
  <si>
    <t xml:space="preserve">Sinh nhật </t>
  </si>
  <si>
    <t>Phép năm tháng trước</t>
  </si>
  <si>
    <t>Phép năm</t>
  </si>
  <si>
    <t>Lịch công tác</t>
  </si>
  <si>
    <t>Phạt đi muộn</t>
  </si>
  <si>
    <t>Đi công tác</t>
  </si>
  <si>
    <t>Vận hành</t>
  </si>
  <si>
    <t>Ghi chú:</t>
  </si>
  <si>
    <t>x</t>
  </si>
  <si>
    <t>Có mặt</t>
  </si>
  <si>
    <t>2x</t>
  </si>
  <si>
    <t>Làm ngày lễ, công tác chủ nhật</t>
  </si>
  <si>
    <t>V</t>
  </si>
  <si>
    <t xml:space="preserve">Vắng </t>
  </si>
  <si>
    <t>P</t>
  </si>
  <si>
    <t xml:space="preserve">Phép </t>
  </si>
  <si>
    <t>L</t>
  </si>
  <si>
    <t>Nghỉ lễ</t>
  </si>
  <si>
    <t>CN</t>
  </si>
  <si>
    <t xml:space="preserve">Nghỉ tuần </t>
  </si>
  <si>
    <t>1/2</t>
  </si>
  <si>
    <t>Nửa công</t>
  </si>
  <si>
    <t>1/2P</t>
  </si>
  <si>
    <t>Nửa phép</t>
  </si>
  <si>
    <t>Người lập biểu</t>
  </si>
  <si>
    <t>Giám đốc</t>
  </si>
  <si>
    <t xml:space="preserve">Đặng Xuân Ngọc </t>
  </si>
  <si>
    <t>Ngày chấm công</t>
  </si>
  <si>
    <t>Mã Do công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</si>
</sst>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 * #,##0_)_ ;_ * \(#,##0\)_ ;_ * &quot;-&quot;_)_ ;_ @_ "/>
    <numFmt numFmtId="43" formatCode="_ * #,##0.00_)_ ;_ * \(#,##0.00\)_ ;_ * &quot;-&quot;??_)_ ;_ @_ "/>
    <numFmt numFmtId="164" formatCode="[$-F400]h:mm:ss\ AM/PM"/>
    <numFmt numFmtId="165" formatCode="#,##0_)&quot;đồng/lần&quot;;[Red]\(#,##0\)"/>
    <numFmt numFmtId="166" formatCode="&quot;Tháng &quot;mm&quot; năm &quot;yyyy"/>
    <numFmt numFmtId="167" formatCode="_-* #,##0.00_-;\-* #,##0.00_-;_-* &quot;-&quot;??_-;_-@_-"/>
    <numFmt numFmtId="168" formatCode="_-* #,##0_-;\-* #,##0_-;_-* &quot;-&quot;??_-;_-@_-"/>
    <numFmt numFmtId="169" formatCode="00"/>
    <numFmt numFmtId="170" formatCode="[$-101042A]dd"/>
    <numFmt numFmtId="171" formatCode="[$-101042A]dddd"/>
    <numFmt numFmtId="172" formatCode="_(* #,##0_);_(* \(#,##0\);_(* &quot;-&quot;??_);_(@_)"/>
  </numFmts>
  <fonts count="44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8"/>
      <color theme="3"/>
      <name val="Aptos Display"/>
      <family val="2"/>
      <charset val="163"/>
      <scheme val="major"/>
    </font>
    <font>
      <b/>
      <sz val="15"/>
      <color theme="3"/>
      <name val="Aptos Narrow"/>
      <family val="2"/>
      <charset val="163"/>
      <scheme val="minor"/>
    </font>
    <font>
      <b/>
      <sz val="13"/>
      <color theme="3"/>
      <name val="Aptos Narrow"/>
      <family val="2"/>
      <charset val="163"/>
      <scheme val="minor"/>
    </font>
    <font>
      <b/>
      <sz val="11"/>
      <color theme="3"/>
      <name val="Aptos Narrow"/>
      <family val="2"/>
      <charset val="163"/>
      <scheme val="minor"/>
    </font>
    <font>
      <sz val="11"/>
      <color rgb="FF006100"/>
      <name val="Aptos Narrow"/>
      <family val="2"/>
      <charset val="163"/>
      <scheme val="minor"/>
    </font>
    <font>
      <sz val="11"/>
      <color rgb="FF9C0006"/>
      <name val="Aptos Narrow"/>
      <family val="2"/>
      <charset val="163"/>
      <scheme val="minor"/>
    </font>
    <font>
      <sz val="11"/>
      <color rgb="FF9C5700"/>
      <name val="Aptos Narrow"/>
      <family val="2"/>
      <charset val="163"/>
      <scheme val="minor"/>
    </font>
    <font>
      <sz val="11"/>
      <color rgb="FF3F3F76"/>
      <name val="Aptos Narrow"/>
      <family val="2"/>
      <charset val="163"/>
      <scheme val="minor"/>
    </font>
    <font>
      <b/>
      <sz val="11"/>
      <color rgb="FF3F3F3F"/>
      <name val="Aptos Narrow"/>
      <family val="2"/>
      <charset val="163"/>
      <scheme val="minor"/>
    </font>
    <font>
      <b/>
      <sz val="11"/>
      <color rgb="FFFA7D00"/>
      <name val="Aptos Narrow"/>
      <family val="2"/>
      <charset val="163"/>
      <scheme val="minor"/>
    </font>
    <font>
      <sz val="11"/>
      <color rgb="FFFA7D00"/>
      <name val="Aptos Narrow"/>
      <family val="2"/>
      <charset val="163"/>
      <scheme val="minor"/>
    </font>
    <font>
      <b/>
      <sz val="11"/>
      <color theme="0"/>
      <name val="Aptos Narrow"/>
      <family val="2"/>
      <charset val="163"/>
      <scheme val="minor"/>
    </font>
    <font>
      <sz val="11"/>
      <color rgb="FFFF0000"/>
      <name val="Aptos Narrow"/>
      <family val="2"/>
      <charset val="163"/>
      <scheme val="minor"/>
    </font>
    <font>
      <i/>
      <sz val="11"/>
      <color rgb="FF7F7F7F"/>
      <name val="Aptos Narrow"/>
      <family val="2"/>
      <charset val="163"/>
      <scheme val="minor"/>
    </font>
    <font>
      <b/>
      <sz val="11"/>
      <color theme="1"/>
      <name val="Aptos Narrow"/>
      <family val="2"/>
      <charset val="163"/>
      <scheme val="minor"/>
    </font>
    <font>
      <sz val="11"/>
      <color theme="0"/>
      <name val="Aptos Narrow"/>
      <family val="2"/>
      <charset val="163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000000"/>
      <name val="Times New Roman"/>
      <family val="1"/>
    </font>
    <font>
      <sz val="1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2"/>
      <name val=".VnTime"/>
      <family val="2"/>
    </font>
    <font>
      <b/>
      <sz val="16"/>
      <name val="Times New Roman"/>
      <family val="1"/>
    </font>
    <font>
      <b/>
      <i/>
      <sz val="10"/>
      <color indexed="10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1"/>
      <color rgb="FFC00000"/>
      <name val="Times New Roman"/>
      <family val="1"/>
    </font>
    <font>
      <b/>
      <i/>
      <sz val="1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i/>
      <sz val="11"/>
      <name val="Times New Roman"/>
      <family val="1"/>
    </font>
    <font>
      <sz val="12"/>
      <color rgb="FFFF0000"/>
      <name val="Times New Roman"/>
      <family val="1"/>
    </font>
    <font>
      <sz val="8"/>
      <name val="Aptos Narrow"/>
      <family val="2"/>
      <charset val="163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167" fontId="1" fillId="0" borderId="0" applyFont="0" applyFill="0" applyBorder="0" applyAlignment="0" applyProtection="0"/>
  </cellStyleXfs>
  <cellXfs count="85">
    <xf numFmtId="0" fontId="0" fillId="0" borderId="0" xfId="0"/>
    <xf numFmtId="49" fontId="18" fillId="0" borderId="10" xfId="0" applyNumberFormat="1" applyFont="1" applyBorder="1" applyAlignment="1">
      <alignment horizontal="center" wrapText="1"/>
    </xf>
    <xf numFmtId="0" fontId="23" fillId="35" borderId="0" xfId="43" applyFont="1" applyFill="1" applyAlignment="1">
      <alignment vertical="center"/>
    </xf>
    <xf numFmtId="0" fontId="22" fillId="34" borderId="0" xfId="43" applyFont="1" applyFill="1" applyAlignment="1">
      <alignment horizontal="center" vertical="center"/>
    </xf>
    <xf numFmtId="49" fontId="18" fillId="0" borderId="13" xfId="0" applyNumberFormat="1" applyFont="1" applyBorder="1" applyAlignment="1">
      <alignment horizontal="center" wrapText="1"/>
    </xf>
    <xf numFmtId="0" fontId="20" fillId="33" borderId="16" xfId="43" applyFont="1" applyFill="1" applyBorder="1" applyAlignment="1">
      <alignment horizontal="center" vertical="center"/>
    </xf>
    <xf numFmtId="0" fontId="20" fillId="33" borderId="17" xfId="43" applyFont="1" applyFill="1" applyBorder="1" applyAlignment="1">
      <alignment horizontal="center" vertical="center"/>
    </xf>
    <xf numFmtId="0" fontId="21" fillId="33" borderId="17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 wrapText="1"/>
    </xf>
    <xf numFmtId="0" fontId="24" fillId="36" borderId="0" xfId="0" applyFont="1" applyFill="1" applyAlignment="1">
      <alignment horizontal="center"/>
    </xf>
    <xf numFmtId="164" fontId="0" fillId="0" borderId="0" xfId="0" applyNumberFormat="1"/>
    <xf numFmtId="164" fontId="18" fillId="0" borderId="10" xfId="0" applyNumberFormat="1" applyFont="1" applyBorder="1" applyAlignment="1">
      <alignment horizontal="center" wrapText="1"/>
    </xf>
    <xf numFmtId="164" fontId="21" fillId="33" borderId="15" xfId="4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164" fontId="19" fillId="0" borderId="10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25" fillId="37" borderId="0" xfId="0" applyFont="1" applyFill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5" fillId="37" borderId="0" xfId="0" applyFont="1" applyFill="1"/>
    <xf numFmtId="41" fontId="0" fillId="0" borderId="0" xfId="1" applyFont="1"/>
    <xf numFmtId="41" fontId="0" fillId="0" borderId="0" xfId="1" applyFont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26" fillId="0" borderId="0" xfId="43" applyFont="1" applyProtection="1">
      <protection locked="0"/>
    </xf>
    <xf numFmtId="0" fontId="28" fillId="0" borderId="0" xfId="45" applyFont="1" applyAlignment="1">
      <alignment vertical="center"/>
    </xf>
    <xf numFmtId="0" fontId="28" fillId="0" borderId="0" xfId="45" applyFont="1" applyAlignment="1">
      <alignment horizontal="center" vertical="center"/>
    </xf>
    <xf numFmtId="168" fontId="26" fillId="0" borderId="0" xfId="46" applyNumberFormat="1" applyFont="1" applyProtection="1">
      <protection locked="0"/>
    </xf>
    <xf numFmtId="0" fontId="30" fillId="0" borderId="0" xfId="45" applyFont="1" applyAlignment="1">
      <alignment horizontal="center" vertical="center" wrapText="1"/>
    </xf>
    <xf numFmtId="0" fontId="31" fillId="0" borderId="0" xfId="45" applyFont="1" applyAlignment="1">
      <alignment horizontal="center" vertical="center"/>
    </xf>
    <xf numFmtId="166" fontId="32" fillId="0" borderId="0" xfId="45" applyNumberFormat="1" applyFont="1" applyAlignment="1">
      <alignment horizontal="center" vertical="center"/>
    </xf>
    <xf numFmtId="166" fontId="33" fillId="0" borderId="0" xfId="45" applyNumberFormat="1" applyFont="1" applyAlignment="1">
      <alignment horizontal="center" vertical="center"/>
    </xf>
    <xf numFmtId="166" fontId="35" fillId="0" borderId="0" xfId="45" applyNumberFormat="1" applyFont="1" applyAlignment="1">
      <alignment horizontal="center" vertical="center"/>
    </xf>
    <xf numFmtId="0" fontId="36" fillId="0" borderId="0" xfId="45" applyFont="1" applyAlignment="1">
      <alignment horizontal="center" vertical="center"/>
    </xf>
    <xf numFmtId="170" fontId="20" fillId="39" borderId="19" xfId="45" applyNumberFormat="1" applyFont="1" applyFill="1" applyBorder="1" applyAlignment="1">
      <alignment horizontal="center" vertical="center"/>
    </xf>
    <xf numFmtId="171" fontId="30" fillId="33" borderId="19" xfId="45" applyNumberFormat="1" applyFont="1" applyFill="1" applyBorder="1" applyAlignment="1">
      <alignment horizontal="center" vertical="center" textRotation="90"/>
    </xf>
    <xf numFmtId="171" fontId="30" fillId="33" borderId="19" xfId="45" applyNumberFormat="1" applyFont="1" applyFill="1" applyBorder="1" applyAlignment="1">
      <alignment horizontal="center" vertical="center" textRotation="90" wrapText="1"/>
    </xf>
    <xf numFmtId="0" fontId="22" fillId="34" borderId="19" xfId="43" applyFont="1" applyFill="1" applyBorder="1" applyAlignment="1">
      <alignment horizontal="center" vertical="center"/>
    </xf>
    <xf numFmtId="0" fontId="23" fillId="35" borderId="19" xfId="43" applyFont="1" applyFill="1" applyBorder="1" applyAlignment="1">
      <alignment vertical="center"/>
    </xf>
    <xf numFmtId="0" fontId="37" fillId="0" borderId="19" xfId="43" applyFont="1" applyBorder="1" applyAlignment="1">
      <alignment horizontal="center" vertical="center"/>
    </xf>
    <xf numFmtId="0" fontId="38" fillId="34" borderId="19" xfId="43" applyFont="1" applyFill="1" applyBorder="1" applyAlignment="1">
      <alignment horizontal="center" vertical="center"/>
    </xf>
    <xf numFmtId="172" fontId="26" fillId="34" borderId="19" xfId="44" applyNumberFormat="1" applyFont="1" applyFill="1" applyBorder="1" applyProtection="1">
      <protection locked="0"/>
    </xf>
    <xf numFmtId="0" fontId="26" fillId="0" borderId="19" xfId="43" applyFont="1" applyBorder="1" applyProtection="1">
      <protection locked="0"/>
    </xf>
    <xf numFmtId="0" fontId="26" fillId="34" borderId="19" xfId="43" applyFont="1" applyFill="1" applyBorder="1" applyProtection="1">
      <protection locked="0"/>
    </xf>
    <xf numFmtId="168" fontId="38" fillId="34" borderId="19" xfId="46" applyNumberFormat="1" applyFont="1" applyFill="1" applyBorder="1" applyAlignment="1">
      <alignment horizontal="center" vertical="center"/>
    </xf>
    <xf numFmtId="0" fontId="22" fillId="39" borderId="19" xfId="43" applyFont="1" applyFill="1" applyBorder="1" applyAlignment="1">
      <alignment horizontal="center" vertical="center"/>
    </xf>
    <xf numFmtId="0" fontId="39" fillId="39" borderId="19" xfId="43" applyFont="1" applyFill="1" applyBorder="1" applyAlignment="1">
      <alignment vertical="center"/>
    </xf>
    <xf numFmtId="49" fontId="37" fillId="39" borderId="21" xfId="43" applyNumberFormat="1" applyFont="1" applyFill="1" applyBorder="1" applyAlignment="1">
      <alignment vertical="center"/>
    </xf>
    <xf numFmtId="0" fontId="22" fillId="0" borderId="0" xfId="43" applyFont="1" applyAlignment="1">
      <alignment horizontal="center" vertical="center"/>
    </xf>
    <xf numFmtId="0" fontId="31" fillId="0" borderId="0" xfId="43" applyFont="1" applyAlignment="1">
      <alignment horizontal="center" vertical="center"/>
    </xf>
    <xf numFmtId="0" fontId="31" fillId="0" borderId="0" xfId="43" applyFont="1" applyAlignment="1">
      <alignment horizontal="left" vertical="center"/>
    </xf>
    <xf numFmtId="0" fontId="40" fillId="0" borderId="0" xfId="43" applyFont="1" applyAlignment="1">
      <alignment horizontal="center" vertical="center"/>
    </xf>
    <xf numFmtId="0" fontId="31" fillId="37" borderId="0" xfId="43" applyFont="1" applyFill="1" applyAlignment="1">
      <alignment horizontal="center" vertical="center"/>
    </xf>
    <xf numFmtId="0" fontId="31" fillId="40" borderId="0" xfId="43" applyFont="1" applyFill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42" fillId="0" borderId="0" xfId="43" applyFont="1" applyAlignment="1">
      <alignment horizontal="center" vertical="center"/>
    </xf>
    <xf numFmtId="0" fontId="31" fillId="41" borderId="0" xfId="43" applyFont="1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31" fillId="42" borderId="0" xfId="43" applyFont="1" applyFill="1" applyAlignment="1">
      <alignment horizontal="center" vertical="center"/>
    </xf>
    <xf numFmtId="0" fontId="22" fillId="0" borderId="0" xfId="43" applyFont="1" applyAlignment="1">
      <alignment vertical="center"/>
    </xf>
    <xf numFmtId="14" fontId="0" fillId="0" borderId="0" xfId="0" applyNumberFormat="1"/>
    <xf numFmtId="14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49" fontId="19" fillId="0" borderId="11" xfId="0" applyNumberFormat="1" applyFont="1" applyBorder="1" applyAlignment="1">
      <alignment horizontal="centerContinuous" wrapText="1"/>
    </xf>
    <xf numFmtId="49" fontId="19" fillId="0" borderId="12" xfId="0" applyNumberFormat="1" applyFont="1" applyBorder="1" applyAlignment="1">
      <alignment horizontal="centerContinuous" wrapText="1"/>
    </xf>
    <xf numFmtId="49" fontId="19" fillId="0" borderId="13" xfId="0" applyNumberFormat="1" applyFont="1" applyBorder="1" applyAlignment="1">
      <alignment horizontal="centerContinuous" wrapText="1"/>
    </xf>
    <xf numFmtId="0" fontId="21" fillId="0" borderId="0" xfId="43" applyFont="1" applyAlignment="1">
      <alignment horizontal="center" vertical="center"/>
    </xf>
    <xf numFmtId="0" fontId="20" fillId="33" borderId="20" xfId="45" applyFont="1" applyFill="1" applyBorder="1" applyAlignment="1">
      <alignment horizontal="center" vertical="center" wrapText="1"/>
    </xf>
    <xf numFmtId="0" fontId="20" fillId="33" borderId="15" xfId="45" applyFont="1" applyFill="1" applyBorder="1" applyAlignment="1">
      <alignment horizontal="center" vertical="center" wrapText="1"/>
    </xf>
    <xf numFmtId="0" fontId="20" fillId="33" borderId="19" xfId="45" applyFont="1" applyFill="1" applyBorder="1" applyAlignment="1">
      <alignment horizontal="center" vertical="center" wrapText="1"/>
    </xf>
    <xf numFmtId="168" fontId="20" fillId="33" borderId="19" xfId="46" applyNumberFormat="1" applyFont="1" applyFill="1" applyBorder="1" applyAlignment="1">
      <alignment horizontal="center" vertical="center" wrapText="1"/>
    </xf>
    <xf numFmtId="0" fontId="28" fillId="0" borderId="0" xfId="45" applyFont="1" applyAlignment="1">
      <alignment horizontal="center" vertical="center"/>
    </xf>
    <xf numFmtId="166" fontId="29" fillId="0" borderId="0" xfId="45" applyNumberFormat="1" applyFont="1" applyAlignment="1" applyProtection="1">
      <alignment horizontal="center" vertical="center"/>
      <protection locked="0"/>
    </xf>
    <xf numFmtId="169" fontId="34" fillId="38" borderId="18" xfId="45" applyNumberFormat="1" applyFont="1" applyFill="1" applyBorder="1" applyAlignment="1">
      <alignment horizontal="center" vertical="center"/>
    </xf>
    <xf numFmtId="0" fontId="34" fillId="38" borderId="18" xfId="45" applyFont="1" applyFill="1" applyBorder="1" applyAlignment="1">
      <alignment horizontal="center" vertical="center"/>
    </xf>
    <xf numFmtId="0" fontId="20" fillId="33" borderId="19" xfId="43" applyFont="1" applyFill="1" applyBorder="1" applyAlignment="1">
      <alignment horizontal="center" vertical="center"/>
    </xf>
    <xf numFmtId="0" fontId="21" fillId="33" borderId="19" xfId="43" applyFont="1" applyFill="1" applyBorder="1" applyAlignment="1">
      <alignment horizontal="center" vertical="center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4" builtinId="3"/>
    <cellStyle name="Comma [0]" xfId="1" builtinId="6"/>
    <cellStyle name="Comma 2" xfId="46" xr:uid="{F4903D79-8FEF-4B64-B795-FB367CEC1492}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52D2B0E-6E92-4F9B-B04C-B4F7E087AD95}"/>
    <cellStyle name="Normal_Bang cham cong tu dong" xfId="45" xr:uid="{092D5859-F51C-4368-A877-2CA01CD2A76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3">
    <dxf>
      <font>
        <condense val="0"/>
        <extend val="0"/>
        <color indexed="13"/>
      </font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3" formatCode="_ * #,##0_)_ ;_ * \(#,##0\)_ ;_ * &quot;-&quot;_)_ ;_ @_ "/>
      <alignment horizontal="left" vertical="center" textRotation="0" wrapText="0" indent="0" justifyLastLine="0" shrinkToFit="0" readingOrder="0"/>
    </dxf>
    <dxf>
      <numFmt numFmtId="33" formatCode="_ * #,##0_)_ ;_ * \(#,##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64" formatCode="[$-F400]h:mm:ss\ AM/PM"/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2</xdr:row>
      <xdr:rowOff>0</xdr:rowOff>
    </xdr:from>
    <xdr:to>
      <xdr:col>11</xdr:col>
      <xdr:colOff>161925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D98348-1C63-48CA-9728-EAA26687B635}"/>
            </a:ext>
          </a:extLst>
        </xdr:cNvPr>
        <xdr:cNvSpPr>
          <a:spLocks noChangeShapeType="1"/>
        </xdr:cNvSpPr>
      </xdr:nvSpPr>
      <xdr:spPr bwMode="auto">
        <a:xfrm>
          <a:off x="6276975" y="44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0</xdr:row>
          <xdr:rowOff>0</xdr:rowOff>
        </xdr:from>
        <xdr:to>
          <xdr:col>15</xdr:col>
          <xdr:colOff>161925</xdr:colOff>
          <xdr:row>35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3026-D252-46B6-9151-EA5C431A7DB4}" name="Table2" displayName="Table2" ref="A2:AJ362" totalsRowShown="0" headerRowDxfId="62" tableBorderDxfId="61">
  <autoFilter ref="A2:AJ362" xr:uid="{69A43026-D252-46B6-9151-EA5C431A7DB4}"/>
  <tableColumns count="36">
    <tableColumn id="1" xr3:uid="{BB862E94-C28F-4202-A621-40CFD1070CFA}" name="ID Người" dataDxfId="60"/>
    <tableColumn id="2" xr3:uid="{0BD185FF-77E1-4FFD-90C2-2CAD54BCCEF6}" name="Tên" dataDxfId="59"/>
    <tableColumn id="3" xr3:uid="{7713A2DA-4EF2-4F49-B49C-F7F9116AB2A8}" name="Bộ phận" dataDxfId="58"/>
    <tableColumn id="4" xr3:uid="{AB804768-7FB4-4892-8F40-F878885FC882}" name="Ngày" dataDxfId="57"/>
    <tableColumn id="5" xr3:uid="{2A23F28F-099B-4404-BE8C-5104EBF9DF0C}" name="Ca làm việc" dataDxfId="56"/>
    <tableColumn id="6" xr3:uid="{F43AB9EB-BC5B-4285-9C21-EFF01B60A422}" name="Thời gian biểu" dataDxfId="55"/>
    <tableColumn id="7" xr3:uid="{C0B8F5DB-8B7E-4F09-8592-4B463E0E518F}" name="Tình trạng chuyên cần" dataDxfId="54"/>
    <tableColumn id="8" xr3:uid="{6DA7A686-5E43-40A2-BE72-2932A61E0FE1}" name="Vào" dataDxfId="53"/>
    <tableColumn id="9" xr3:uid="{17274890-B857-4B21-9267-1EF4A26C3EA5}" name="Ra" dataDxfId="52"/>
    <tableColumn id="10" xr3:uid="{47401314-554B-4DFE-B561-D087A47DE836}" name="Muộn" dataDxfId="51"/>
    <tableColumn id="11" xr3:uid="{419444D8-FC33-4147-B971-94EF7048353C}" name="Đã tham dự" dataDxfId="50"/>
    <tableColumn id="12" xr3:uid="{11A31409-40B6-4D08-8E97-E4C8C9F7A68B}" name="Vắng mặt" dataDxfId="49"/>
    <tableColumn id="13" xr3:uid="{2006D5F9-2030-43E9-91E4-C95812D11967}" name="Đã làm việc" dataDxfId="48"/>
    <tableColumn id="14" xr3:uid="{E847D8B6-718A-44E7-AB94-04F489448C8F}" name="Thoát" dataDxfId="47"/>
    <tableColumn id="15" xr3:uid="{93A23DDC-0254-4173-8DD2-AFACD9554760}" name="Tăng ca 1" dataDxfId="46"/>
    <tableColumn id="16" xr3:uid="{5CABDF8B-C4BF-47DA-A98E-CB8493E06BF2}" name="Tăng ca 2" dataDxfId="45"/>
    <tableColumn id="17" xr3:uid="{60F7EDAD-4124-402C-ABAA-BF050EE0728F}" name="Tăng ca 3" dataDxfId="44"/>
    <tableColumn id="37" xr3:uid="{ABDFDDF8-D8FE-4E6D-BAC7-5E93C5C66A83}" name="Mã Do công" dataDxfId="43">
      <calculatedColumnFormula>A3&amp;U3</calculatedColumnFormula>
    </tableColumn>
    <tableColumn id="18" xr3:uid="{5F88F8DA-884B-4E1B-8CEE-3491F9CEA8AC}" name="Tên nhân viên">
      <calculatedColumnFormula>VLOOKUP(A3,Data_NV!$A:$C,3,0)</calculatedColumnFormula>
    </tableColumn>
    <tableColumn id="19" xr3:uid="{463115AE-AA69-45E0-A35E-9A45BB7EA09A}" name="Bộ phận2">
      <calculatedColumnFormula>VLOOKUP(A3,Data_NV!$A:$E,4,0)</calculatedColumnFormula>
    </tableColumn>
    <tableColumn id="35" xr3:uid="{4012BD37-1D14-4FEA-8F32-F32DE1DEAFC5}" name="Ngày chấm công" dataDxfId="42">
      <calculatedColumnFormula>DATEVALUE(Table2[[#This Row],[Ngày]])</calculatedColumnFormula>
    </tableColumn>
    <tableColumn id="20" xr3:uid="{379046A5-F4B1-45EE-9D42-C0A2F1531BCD}" name="Trạng thái">
      <calculatedColumnFormula>VLOOKUP(A3,Data_NV!$A:$E,5,0)</calculatedColumnFormula>
    </tableColumn>
    <tableColumn id="23" xr3:uid="{E11D05B9-0EBF-40D2-8789-8D2A1D146AE1}" name="Giờ vào HC" dataDxfId="41">
      <calculatedColumnFormula>VLOOKUP(A3,Data_NV!$A:$I,8,0)</calculatedColumnFormula>
    </tableColumn>
    <tableColumn id="24" xr3:uid="{627170BD-CC2C-48AF-A3B9-00FA26225659}" name="Giờ ra HC" dataDxfId="40">
      <calculatedColumnFormula>VLOOKUP(A3,Data_NV!$A:$I,9,0)</calculatedColumnFormula>
    </tableColumn>
    <tableColumn id="26" xr3:uid="{6E17ECA6-D272-46EA-8FAB-08A65E856033}" name="Giờ vao TT" dataDxfId="39">
      <calculatedColumnFormula>IFERROR(TIMEVALUE(Table2[[#This Row],[Vào]]),0)</calculatedColumnFormula>
    </tableColumn>
    <tableColumn id="25" xr3:uid="{DEDA3888-B791-4991-A8F4-D1FC97E08C92}" name="Giờ ra TT" dataDxfId="38">
      <calculatedColumnFormula>IFERROR(TIMEVALUE(Table2[[#This Row],[Ra]]),0)</calculatedColumnFormula>
    </tableColumn>
    <tableColumn id="21" xr3:uid="{8E55B1CA-63B8-4C1A-AE21-23A9610978AA}" name="Ngày công" dataDxfId="37">
      <calculatedColumnFormula>IF(OR(AND(Y3=0,Z3=0),AG3="Không chấm công do vi phạm quá 3 lần"),"",IF(OR(AG3="Trừ 1/2 ngày lương",AF3="Trừ 1/2 ngày lương",AB3&gt;=60),"1/2","x"))</calculatedColumnFormula>
    </tableColumn>
    <tableColumn id="22" xr3:uid="{47ED9F82-8B86-43A9-B0EE-B7D8C8499D70}" name="Muộn (Phút)" dataDxfId="36">
      <calculatedColumnFormula>IF(Y3&lt;=W3,0,ROUNDDOWN((Y3-W3)*24*60,0))</calculatedColumnFormula>
    </tableColumn>
    <tableColumn id="29" xr3:uid="{8A5F5DF0-E736-47CA-92D0-F490B81162C6}" name="Châm công" dataDxfId="35">
      <calculatedColumnFormula>IF(VLOOKUP(A3,Data_NV!$A:$I,7,0)="Không","",IF(OR(AND(Y3=0,Z3=0),AND(Y3&lt;&gt;0,Z3&lt;&gt;0)),"","Quên chấm công"))</calculatedColumnFormula>
    </tableColumn>
    <tableColumn id="28" xr3:uid="{6DB0A2FA-0148-4DB3-B7B2-A28D7B6BA95C}" name="Về sớm" dataDxfId="34">
      <calculatedColumnFormula>IF(VLOOKUP(A3,Data_NV!$A:$I,7,0)="Không",0,IF(AND(Y3=0,Z3=0),0,IF(X3&lt;=Z3,0,ROUNDDOWN((X3-Z3)*24*60,0))))</calculatedColumnFormula>
    </tableColumn>
    <tableColumn id="27" xr3:uid="{1DB9F942-A299-48AA-816A-C32C193E24C8}" name="Tăng ca (phút)" dataDxfId="33">
      <calculatedColumnFormula>IF(VLOOKUP(A3,Data_NV!$A:$I,6,0)="Không",0,IF(Z3&lt;=X3,0,ROUNDDOWN((Z3-X3)*24*60,0)))</calculatedColumnFormula>
    </tableColumn>
    <tableColumn id="30" xr3:uid="{BAB95E75-338D-4971-B92C-A9C2D39ACDD9}" name="Phạt muộn" dataDxfId="32" dataCellStyle="Comma [0]">
      <calculatedColumnFormula>IF(AB3&gt;60,"Trừ 1/2 ngày lương",IF(AB3&gt;15,50000,IF(AB3&gt;6,30000,0)))</calculatedColumnFormula>
    </tableColumn>
    <tableColumn id="34" xr3:uid="{E3CD53FE-A9FD-4C0E-BF1A-5B86AFE89C3B}" name="Phạt Quên chấm công" dataDxfId="31" dataCellStyle="Comma [0]">
      <calculatedColumnFormula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calculatedColumnFormula>
    </tableColumn>
    <tableColumn id="31" xr3:uid="{79978BF7-3689-4002-A635-9BD7FA4E9260}" name="Trừ lương do vi phạm" dataDxfId="30">
      <calculatedColumnFormula>IF(COUNTIFS($AF$3:AF3,"&gt;0",$S$3:S3,S3)&gt;3,"Trừ toàn bộ chuyên cần tháng","")</calculatedColumnFormula>
    </tableColumn>
    <tableColumn id="32" xr3:uid="{5F69CE8B-BE54-468A-8330-7BCD118B7209}" name="Ghi Chú" dataDxfId="29"/>
    <tableColumn id="33" xr3:uid="{28006EE6-7B82-4856-91F4-A46BFF68A4C0}" name="Trừ ngày lương" dataDxfId="2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EEB7B5-F328-4E59-B2FC-7BFE65B9EB89}" name="Table1" displayName="Table1" ref="A1:I66" totalsRowShown="0" headerRowDxfId="27" headerRowBorderDxfId="26" tableBorderDxfId="25" headerRowCellStyle="Normal 2">
  <autoFilter ref="A1:I66" xr:uid="{EDEEB7B5-F328-4E59-B2FC-7BFE65B9EB89}"/>
  <tableColumns count="9">
    <tableColumn id="1" xr3:uid="{28B3DE7C-E72E-4CB6-A6A8-D01064BFA6AF}" name="ID" dataDxfId="24" dataCellStyle="Normal 2"/>
    <tableColumn id="2" xr3:uid="{35312885-B972-46CB-B124-B447B2202ADD}" name="STT" dataDxfId="23" dataCellStyle="Normal 2"/>
    <tableColumn id="3" xr3:uid="{34F4AB2D-0732-4B16-803D-4561E99F702C}" name="Họ và Tên " dataDxfId="22" dataCellStyle="Normal 2"/>
    <tableColumn id="4" xr3:uid="{7F2C4F1C-06DA-4D26-B37E-36F2A4BC6626}" name="Bộ phận" dataDxfId="21" dataCellStyle="Normal 2"/>
    <tableColumn id="5" xr3:uid="{3580CA74-BCBB-4337-9BC4-1B0E3967B478}" name="Trạng thái"/>
    <tableColumn id="6" xr3:uid="{5D38C5F6-AF3D-49A9-BF86-500594C48108}" name="Tăng ca"/>
    <tableColumn id="7" xr3:uid="{E1272746-23FE-40AD-B1E2-8007B373B8F0}" name="Chấm vân tay giờ về"/>
    <tableColumn id="8" xr3:uid="{56A759CA-040F-4DC4-9A11-B6ACD506FEE9}" name="Giờ vào HC" dataDxfId="20"/>
    <tableColumn id="9" xr3:uid="{3916B849-A234-487E-8060-FCED5E70F5BC}" name="Giờ Về" dataDxfId="19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4E23-A01B-4367-9EC2-FB41B0BE8399}">
  <dimension ref="A1:AJ362"/>
  <sheetViews>
    <sheetView tabSelected="1" topLeftCell="L1" workbookViewId="0">
      <selection activeCell="T10" sqref="T10"/>
    </sheetView>
  </sheetViews>
  <sheetFormatPr defaultRowHeight="15" x14ac:dyDescent="0.25"/>
  <cols>
    <col min="1" max="1" width="12.140625" bestFit="1" customWidth="1"/>
    <col min="2" max="2" width="11" bestFit="1" customWidth="1"/>
    <col min="3" max="3" width="23" bestFit="1" customWidth="1"/>
    <col min="4" max="4" width="10.140625" bestFit="1" customWidth="1"/>
    <col min="5" max="5" width="11.7109375" customWidth="1"/>
    <col min="6" max="6" width="20.85546875" bestFit="1" customWidth="1"/>
    <col min="7" max="7" width="19.5703125" customWidth="1"/>
    <col min="8" max="8" width="11.42578125" style="11" bestFit="1" customWidth="1"/>
    <col min="9" max="10" width="7.85546875" bestFit="1" customWidth="1"/>
    <col min="11" max="11" width="11.7109375" customWidth="1"/>
    <col min="12" max="12" width="10" customWidth="1"/>
    <col min="13" max="13" width="11.7109375" customWidth="1"/>
    <col min="14" max="14" width="7.42578125" customWidth="1"/>
    <col min="15" max="17" width="10" customWidth="1"/>
    <col min="18" max="18" width="8" customWidth="1"/>
    <col min="19" max="19" width="19.7109375" bestFit="1" customWidth="1"/>
    <col min="20" max="20" width="12.140625" customWidth="1"/>
    <col min="21" max="21" width="12.140625" style="67" customWidth="1"/>
    <col min="22" max="22" width="13.42578125" bestFit="1" customWidth="1"/>
    <col min="23" max="23" width="13.7109375" style="11" bestFit="1" customWidth="1"/>
    <col min="24" max="24" width="13.42578125" style="11" customWidth="1"/>
    <col min="25" max="25" width="13.140625" style="11" bestFit="1" customWidth="1"/>
    <col min="26" max="26" width="11.85546875" style="11" bestFit="1" customWidth="1"/>
    <col min="28" max="28" width="9.140625" style="14"/>
    <col min="29" max="29" width="16" style="14" bestFit="1" customWidth="1"/>
    <col min="30" max="30" width="9.140625" style="14"/>
    <col min="32" max="32" width="18.140625" style="27" bestFit="1" customWidth="1"/>
    <col min="33" max="33" width="43.7109375" style="27" bestFit="1" customWidth="1"/>
    <col min="34" max="34" width="27.42578125" bestFit="1" customWidth="1"/>
  </cols>
  <sheetData>
    <row r="1" spans="1:36" ht="13.5" customHeight="1" x14ac:dyDescent="0.25">
      <c r="A1" s="71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3"/>
      <c r="R1" s="69" t="s">
        <v>18</v>
      </c>
      <c r="S1" s="69" t="s">
        <v>233</v>
      </c>
      <c r="T1" s="69" t="s">
        <v>488</v>
      </c>
      <c r="U1" s="69" t="s">
        <v>570</v>
      </c>
      <c r="V1" s="69" t="s">
        <v>589</v>
      </c>
      <c r="W1" s="69" t="s">
        <v>653</v>
      </c>
      <c r="X1" s="69" t="s">
        <v>662</v>
      </c>
      <c r="Y1" s="69" t="s">
        <v>664</v>
      </c>
      <c r="Z1" s="69" t="s">
        <v>665</v>
      </c>
      <c r="AA1" s="69" t="s">
        <v>141</v>
      </c>
      <c r="AB1" s="69" t="s">
        <v>163</v>
      </c>
      <c r="AC1" s="69" t="s">
        <v>172</v>
      </c>
      <c r="AD1" s="69" t="s">
        <v>198</v>
      </c>
      <c r="AE1" s="69" t="s">
        <v>221</v>
      </c>
      <c r="AF1" s="69" t="s">
        <v>223</v>
      </c>
      <c r="AG1" s="69" t="s">
        <v>225</v>
      </c>
      <c r="AH1" s="69" t="s">
        <v>227</v>
      </c>
      <c r="AI1" s="69" t="s">
        <v>229</v>
      </c>
      <c r="AJ1" s="69" t="s">
        <v>231</v>
      </c>
    </row>
    <row r="2" spans="1:36" s="21" customFormat="1" ht="30" x14ac:dyDescent="0.25">
      <c r="A2" s="16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8" t="s">
        <v>8</v>
      </c>
      <c r="I2" s="17" t="s">
        <v>9</v>
      </c>
      <c r="J2" s="17" t="s">
        <v>10</v>
      </c>
      <c r="K2" s="17" t="s">
        <v>11</v>
      </c>
      <c r="L2" s="17" t="s">
        <v>12</v>
      </c>
      <c r="M2" s="17" t="s">
        <v>13</v>
      </c>
      <c r="N2" s="17" t="s">
        <v>14</v>
      </c>
      <c r="O2" s="17" t="s">
        <v>15</v>
      </c>
      <c r="P2" s="17" t="s">
        <v>16</v>
      </c>
      <c r="Q2" s="17" t="s">
        <v>17</v>
      </c>
      <c r="R2" s="19" t="s">
        <v>783</v>
      </c>
      <c r="S2" s="19" t="s">
        <v>700</v>
      </c>
      <c r="T2" s="19" t="s">
        <v>706</v>
      </c>
      <c r="U2" s="68" t="s">
        <v>782</v>
      </c>
      <c r="V2" s="19" t="s">
        <v>705</v>
      </c>
      <c r="W2" s="20" t="s">
        <v>713</v>
      </c>
      <c r="X2" s="20" t="s">
        <v>714</v>
      </c>
      <c r="Y2" s="20" t="s">
        <v>716</v>
      </c>
      <c r="Z2" s="20" t="s">
        <v>717</v>
      </c>
      <c r="AA2" s="21" t="s">
        <v>711</v>
      </c>
      <c r="AB2" s="15" t="s">
        <v>712</v>
      </c>
      <c r="AC2" s="15" t="s">
        <v>744</v>
      </c>
      <c r="AD2" s="15" t="s">
        <v>254</v>
      </c>
      <c r="AE2" s="15" t="s">
        <v>718</v>
      </c>
      <c r="AF2" s="28" t="s">
        <v>748</v>
      </c>
      <c r="AG2" s="28" t="s">
        <v>749</v>
      </c>
      <c r="AH2" s="15" t="s">
        <v>745</v>
      </c>
      <c r="AI2" s="15" t="s">
        <v>746</v>
      </c>
      <c r="AJ2" s="15" t="s">
        <v>747</v>
      </c>
    </row>
    <row r="3" spans="1:36" x14ac:dyDescent="0.25">
      <c r="A3" s="4" t="s">
        <v>18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23</v>
      </c>
      <c r="G3" s="1" t="s">
        <v>12</v>
      </c>
      <c r="H3" s="12" t="s">
        <v>24</v>
      </c>
      <c r="I3" s="1" t="s">
        <v>24</v>
      </c>
      <c r="J3" s="1" t="s">
        <v>25</v>
      </c>
      <c r="K3" s="1" t="s">
        <v>25</v>
      </c>
      <c r="L3" s="1" t="s">
        <v>26</v>
      </c>
      <c r="M3" s="1" t="s">
        <v>25</v>
      </c>
      <c r="N3" s="1" t="s">
        <v>25</v>
      </c>
      <c r="O3" s="1" t="s">
        <v>25</v>
      </c>
      <c r="P3" s="1" t="s">
        <v>25</v>
      </c>
      <c r="Q3" s="1" t="s">
        <v>25</v>
      </c>
      <c r="R3" s="70" t="str">
        <f t="shared" ref="R3:R66" si="0">A3&amp;U3</f>
        <v>145901</v>
      </c>
      <c r="S3" t="str">
        <f>VLOOKUP(A3,Data_NV!$A:$C,3,0)</f>
        <v xml:space="preserve"> Nguyễn Bảo Thạch    </v>
      </c>
      <c r="T3" t="str">
        <f>VLOOKUP(A3,Data_NV!$A:$E,4,0)</f>
        <v>Vận Hành</v>
      </c>
      <c r="U3" s="67">
        <f>DATEVALUE(Table2[[#This Row],[Ngày]])</f>
        <v>45901</v>
      </c>
      <c r="V3" t="str">
        <f>VLOOKUP(A3,Data_NV!$A:$E,5,0)</f>
        <v>Đang làm việc</v>
      </c>
      <c r="W3" s="11">
        <f>VLOOKUP(A3,Data_NV!$A:$I,8,0)</f>
        <v>0.3125</v>
      </c>
      <c r="X3" s="11">
        <f>VLOOKUP(A3,Data_NV!$A:$I,9,0)</f>
        <v>0.6875</v>
      </c>
      <c r="Y3" s="11">
        <f>IFERROR(TIMEVALUE(Table2[[#This Row],[Vào]]),0)</f>
        <v>0</v>
      </c>
      <c r="Z3" s="11">
        <f>IFERROR(TIMEVALUE(Table2[[#This Row],[Ra]]),0)</f>
        <v>0</v>
      </c>
      <c r="AA3" s="10" t="s">
        <v>771</v>
      </c>
      <c r="AB3" s="14">
        <f t="shared" ref="AB3:AB66" si="1">IF(Y3&lt;=W3,0,ROUNDDOWN((Y3-W3)*24*60,0))</f>
        <v>0</v>
      </c>
      <c r="AC3" s="14" t="str">
        <f>IF(VLOOKUP(A3,Data_NV!$A:$I,7,0)="Không","",IF(OR(AND(Y3=0,Z3=0),AND(Y3&lt;&gt;0,Z3&lt;&gt;0)),"","Quên chấm công"))</f>
        <v/>
      </c>
      <c r="AD3" s="14">
        <f>IF(VLOOKUP(A3,Data_NV!$A:$I,7,0)="Không",0,IF(AND(Y3=0,Z3=0),0,IF(X3&lt;=Z3,0,ROUNDDOWN((X3-Z3)*24*60,0))))</f>
        <v>0</v>
      </c>
      <c r="AE3" s="14">
        <f>IF(VLOOKUP(A3,Data_NV!$A:$I,6,0)="Không",0,IF(Z3&lt;=X3,0,ROUNDDOWN((Z3-X3)*24*60,0)))</f>
        <v>0</v>
      </c>
      <c r="AF3" s="29">
        <f t="shared" ref="AF3:AF66" si="2">IF(AB3&gt;60,"Trừ 1/2 ngày lương",IF(AB3&gt;15,50000,IF(AB3&gt;6,30000,0)))</f>
        <v>0</v>
      </c>
      <c r="AG3" s="30" t="str">
        <f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f>
        <v/>
      </c>
      <c r="AH3" s="14" t="str">
        <f>IF(COUNTIFS($AF$3:AF3,"&gt;0",$S$3:S3,S3)&gt;3,"Trừ toàn bộ chuyên cần tháng","")</f>
        <v/>
      </c>
      <c r="AI3" s="14"/>
      <c r="AJ3" s="14"/>
    </row>
    <row r="4" spans="1:36" x14ac:dyDescent="0.25">
      <c r="A4" s="4" t="s">
        <v>18</v>
      </c>
      <c r="B4" s="1" t="s">
        <v>19</v>
      </c>
      <c r="C4" s="1" t="s">
        <v>20</v>
      </c>
      <c r="D4" s="1" t="s">
        <v>27</v>
      </c>
      <c r="E4" s="1" t="s">
        <v>22</v>
      </c>
      <c r="F4" s="1" t="s">
        <v>23</v>
      </c>
      <c r="G4" s="1" t="s">
        <v>12</v>
      </c>
      <c r="H4" s="12" t="s">
        <v>24</v>
      </c>
      <c r="I4" s="1" t="s">
        <v>24</v>
      </c>
      <c r="J4" s="1" t="s">
        <v>25</v>
      </c>
      <c r="K4" s="1" t="s">
        <v>25</v>
      </c>
      <c r="L4" s="1" t="s">
        <v>26</v>
      </c>
      <c r="M4" s="1" t="s">
        <v>25</v>
      </c>
      <c r="N4" s="1" t="s">
        <v>25</v>
      </c>
      <c r="O4" s="1" t="s">
        <v>25</v>
      </c>
      <c r="P4" s="1" t="s">
        <v>25</v>
      </c>
      <c r="Q4" s="1" t="s">
        <v>25</v>
      </c>
      <c r="R4" s="70" t="str">
        <f t="shared" si="0"/>
        <v>145902</v>
      </c>
      <c r="S4" t="str">
        <f>VLOOKUP(A4,Data_NV!$A:$C,3,0)</f>
        <v xml:space="preserve"> Nguyễn Bảo Thạch    </v>
      </c>
      <c r="T4" t="str">
        <f>VLOOKUP(A4,Data_NV!$A:$E,4,0)</f>
        <v>Vận Hành</v>
      </c>
      <c r="U4" s="67">
        <f>DATEVALUE(Table2[[#This Row],[Ngày]])</f>
        <v>45902</v>
      </c>
      <c r="V4" t="str">
        <f>VLOOKUP(A4,Data_NV!$A:$E,5,0)</f>
        <v>Đang làm việc</v>
      </c>
      <c r="W4" s="11">
        <f>VLOOKUP(A4,Data_NV!$A:$I,8,0)</f>
        <v>0.3125</v>
      </c>
      <c r="X4" s="11">
        <f>VLOOKUP(A4,Data_NV!$A:$I,9,0)</f>
        <v>0.6875</v>
      </c>
      <c r="Y4" s="11">
        <f>IFERROR(TIMEVALUE(Table2[[#This Row],[Vào]]),0)</f>
        <v>0</v>
      </c>
      <c r="Z4" s="11">
        <f>IFERROR(TIMEVALUE(Table2[[#This Row],[Ra]]),0)</f>
        <v>0</v>
      </c>
      <c r="AA4" s="10" t="s">
        <v>771</v>
      </c>
      <c r="AB4" s="14">
        <f t="shared" si="1"/>
        <v>0</v>
      </c>
      <c r="AC4" s="14" t="str">
        <f>IF(VLOOKUP(A4,Data_NV!$A:$I,7,0)="Không","",IF(OR(AND(Y4=0,Z4=0),AND(Y4&lt;&gt;0,Z4&lt;&gt;0)),"","Quên chấm công"))</f>
        <v/>
      </c>
      <c r="AD4" s="14">
        <f>IF(VLOOKUP(A4,Data_NV!$A:$I,7,0)="Không",0,IF(AND(Y4=0,Z4=0),0,IF(X4&lt;=Z4,0,ROUNDDOWN((X4-Z4)*24*60,0))))</f>
        <v>0</v>
      </c>
      <c r="AE4" s="14">
        <f>IF(VLOOKUP(A4,Data_NV!$A:$I,6,0)="Không",0,IF(Z4&lt;=X4,0,ROUNDDOWN((Z4-X4)*24*60,0)))</f>
        <v>0</v>
      </c>
      <c r="AF4" s="29">
        <f t="shared" si="2"/>
        <v>0</v>
      </c>
      <c r="AG4" s="30" t="str">
        <f>IF(AC4="","",IF(COUNTIFS($AC$3:AC4,"Quên chấm công",$S$3:S4,S4)&gt;3,"Không chấm công do vi phạm quá 3 lần",IF(COUNTIFS($AC$3:AC4,"Quên chấm công",$S$3:S4,S4)&gt;2,"Trừ toàn bộ chuyên cần tháng do vi phạm lần 3",IF(COUNTIFS($AC$3:AC4,"Quên chấm công",$S$3:S4,S4)&gt;1,"Trừ 1/2 ngày lương",50000))))</f>
        <v/>
      </c>
      <c r="AH4" s="14" t="str">
        <f>IF(COUNTIFS($AF$3:AF4,"&gt;0",$S$3:S4,S4)&gt;3,"Trừ toàn bộ chuyên cần tháng","")</f>
        <v/>
      </c>
      <c r="AI4" s="14"/>
      <c r="AJ4" s="14"/>
    </row>
    <row r="5" spans="1:36" x14ac:dyDescent="0.25">
      <c r="A5" s="4" t="s">
        <v>18</v>
      </c>
      <c r="B5" s="1" t="s">
        <v>19</v>
      </c>
      <c r="C5" s="1" t="s">
        <v>20</v>
      </c>
      <c r="D5" s="1" t="s">
        <v>28</v>
      </c>
      <c r="E5" s="1" t="s">
        <v>22</v>
      </c>
      <c r="F5" s="1" t="s">
        <v>23</v>
      </c>
      <c r="G5" s="1" t="s">
        <v>29</v>
      </c>
      <c r="H5" s="12" t="s">
        <v>30</v>
      </c>
      <c r="I5" s="1" t="s">
        <v>31</v>
      </c>
      <c r="J5" s="1" t="s">
        <v>25</v>
      </c>
      <c r="K5" s="1" t="s">
        <v>32</v>
      </c>
      <c r="L5" s="1" t="s">
        <v>25</v>
      </c>
      <c r="M5" s="1" t="s">
        <v>26</v>
      </c>
      <c r="N5" s="1" t="s">
        <v>25</v>
      </c>
      <c r="O5" s="1" t="s">
        <v>33</v>
      </c>
      <c r="P5" s="1" t="s">
        <v>34</v>
      </c>
      <c r="Q5" s="1" t="s">
        <v>25</v>
      </c>
      <c r="R5" s="70" t="str">
        <f t="shared" si="0"/>
        <v>145903</v>
      </c>
      <c r="S5" t="str">
        <f>VLOOKUP(A5,Data_NV!$A:$C,3,0)</f>
        <v xml:space="preserve"> Nguyễn Bảo Thạch    </v>
      </c>
      <c r="T5" t="str">
        <f>VLOOKUP(A5,Data_NV!$A:$E,4,0)</f>
        <v>Vận Hành</v>
      </c>
      <c r="U5" s="67">
        <f>DATEVALUE(Table2[[#This Row],[Ngày]])</f>
        <v>45903</v>
      </c>
      <c r="V5" t="str">
        <f>VLOOKUP(A5,Data_NV!$A:$E,5,0)</f>
        <v>Đang làm việc</v>
      </c>
      <c r="W5" s="11">
        <f>VLOOKUP(A5,Data_NV!$A:$I,8,0)</f>
        <v>0.3125</v>
      </c>
      <c r="X5" s="11">
        <f>VLOOKUP(A5,Data_NV!$A:$I,9,0)</f>
        <v>0.6875</v>
      </c>
      <c r="Y5" s="11">
        <f>IFERROR(TIMEVALUE(Table2[[#This Row],[Vào]]),0)</f>
        <v>0.30278935185185185</v>
      </c>
      <c r="Z5" s="11">
        <f>IFERROR(TIMEVALUE(Table2[[#This Row],[Ra]]),0)</f>
        <v>0.8060532407407407</v>
      </c>
      <c r="AA5" t="str">
        <f t="shared" ref="AA5:AA66" si="3">IF(OR(AND(Y5=0,Z5=0),AG5="Không chấm công do vi phạm quá 3 lần"),"",IF(OR(AG5="Trừ 1/2 ngày lương",AF5="Trừ 1/2 ngày lương",AB5&gt;=60),"1/2","x"))</f>
        <v>x</v>
      </c>
      <c r="AB5" s="14">
        <f t="shared" si="1"/>
        <v>0</v>
      </c>
      <c r="AC5" s="14" t="str">
        <f>IF(VLOOKUP(A5,Data_NV!$A:$I,7,0)="Không","",IF(OR(AND(Y5=0,Z5=0),AND(Y5&lt;&gt;0,Z5&lt;&gt;0)),"","Quên chấm công"))</f>
        <v/>
      </c>
      <c r="AD5" s="14">
        <f>IF(VLOOKUP(A5,Data_NV!$A:$I,7,0)="Không",0,IF(AND(Y5=0,Z5=0),0,IF(X5&lt;=Z5,0,ROUNDDOWN((X5-Z5)*24*60,0))))</f>
        <v>0</v>
      </c>
      <c r="AE5" s="14">
        <f>IF(VLOOKUP(A5,Data_NV!$A:$I,6,0)="Không",0,IF(Z5&lt;=X5,0,ROUNDDOWN((Z5-X5)*24*60,0)))</f>
        <v>0</v>
      </c>
      <c r="AF5" s="29">
        <f t="shared" si="2"/>
        <v>0</v>
      </c>
      <c r="AG5" s="30" t="str">
        <f>IF(AC5="","",IF(COUNTIFS($AC$3:AC5,"Quên chấm công",$S$3:S5,S5)&gt;3,"Không chấm công do vi phạm quá 3 lần",IF(COUNTIFS($AC$3:AC5,"Quên chấm công",$S$3:S5,S5)&gt;2,"Trừ toàn bộ chuyên cần tháng do vi phạm lần 3",IF(COUNTIFS($AC$3:AC5,"Quên chấm công",$S$3:S5,S5)&gt;1,"Trừ 1/2 ngày lương",50000))))</f>
        <v/>
      </c>
      <c r="AH5" s="14" t="str">
        <f>IF(COUNTIFS($AF$3:AF5,"&gt;0",$S$3:S5,S5)&gt;3,"Trừ toàn bộ chuyên cần tháng","")</f>
        <v/>
      </c>
      <c r="AI5" s="14"/>
      <c r="AJ5" s="14"/>
    </row>
    <row r="6" spans="1:36" x14ac:dyDescent="0.25">
      <c r="A6" s="4" t="s">
        <v>18</v>
      </c>
      <c r="B6" s="1" t="s">
        <v>19</v>
      </c>
      <c r="C6" s="1" t="s">
        <v>20</v>
      </c>
      <c r="D6" s="1" t="s">
        <v>35</v>
      </c>
      <c r="E6" s="1" t="s">
        <v>22</v>
      </c>
      <c r="F6" s="1" t="s">
        <v>23</v>
      </c>
      <c r="G6" s="1" t="s">
        <v>12</v>
      </c>
      <c r="H6" s="12" t="s">
        <v>36</v>
      </c>
      <c r="I6" s="1" t="s">
        <v>24</v>
      </c>
      <c r="J6" s="1" t="s">
        <v>25</v>
      </c>
      <c r="K6" s="1" t="s">
        <v>25</v>
      </c>
      <c r="L6" s="1" t="s">
        <v>26</v>
      </c>
      <c r="M6" s="1" t="s">
        <v>25</v>
      </c>
      <c r="N6" s="1" t="s">
        <v>25</v>
      </c>
      <c r="O6" s="1" t="s">
        <v>25</v>
      </c>
      <c r="P6" s="1" t="s">
        <v>25</v>
      </c>
      <c r="Q6" s="1" t="s">
        <v>25</v>
      </c>
      <c r="R6" s="70" t="str">
        <f t="shared" si="0"/>
        <v>145904</v>
      </c>
      <c r="S6" t="str">
        <f>VLOOKUP(A6,Data_NV!$A:$C,3,0)</f>
        <v xml:space="preserve"> Nguyễn Bảo Thạch    </v>
      </c>
      <c r="T6" t="str">
        <f>VLOOKUP(A6,Data_NV!$A:$E,4,0)</f>
        <v>Vận Hành</v>
      </c>
      <c r="U6" s="67">
        <f>DATEVALUE(Table2[[#This Row],[Ngày]])</f>
        <v>45904</v>
      </c>
      <c r="V6" t="str">
        <f>VLOOKUP(A6,Data_NV!$A:$E,5,0)</f>
        <v>Đang làm việc</v>
      </c>
      <c r="W6" s="11">
        <f>VLOOKUP(A6,Data_NV!$A:$I,8,0)</f>
        <v>0.3125</v>
      </c>
      <c r="X6" s="11">
        <f>VLOOKUP(A6,Data_NV!$A:$I,9,0)</f>
        <v>0.6875</v>
      </c>
      <c r="Y6" s="11">
        <f>IFERROR(TIMEVALUE(Table2[[#This Row],[Vào]]),0)</f>
        <v>0.30464120370370368</v>
      </c>
      <c r="Z6" s="11">
        <f>IFERROR(TIMEVALUE(Table2[[#This Row],[Ra]]),0)</f>
        <v>0</v>
      </c>
      <c r="AA6" t="str">
        <f t="shared" si="3"/>
        <v>x</v>
      </c>
      <c r="AB6" s="14">
        <f t="shared" si="1"/>
        <v>0</v>
      </c>
      <c r="AC6" s="14" t="str">
        <f>IF(VLOOKUP(A6,Data_NV!$A:$I,7,0)="Không","",IF(OR(AND(Y6=0,Z6=0),AND(Y6&lt;&gt;0,Z6&lt;&gt;0)),"","Quên chấm công"))</f>
        <v>Quên chấm công</v>
      </c>
      <c r="AD6" s="14">
        <f>IF(VLOOKUP(A6,Data_NV!$A:$I,7,0)="Không",0,IF(AND(Y6=0,Z6=0),0,IF(X6&lt;=Z6,0,ROUNDDOWN((X6-Z6)*24*60,0))))</f>
        <v>990</v>
      </c>
      <c r="AE6" s="14">
        <f>IF(VLOOKUP(A6,Data_NV!$A:$I,6,0)="Không",0,IF(Z6&lt;=X6,0,ROUNDDOWN((Z6-X6)*24*60,0)))</f>
        <v>0</v>
      </c>
      <c r="AF6" s="29">
        <f t="shared" si="2"/>
        <v>0</v>
      </c>
      <c r="AG6" s="30">
        <f>IF(AC6="","",IF(COUNTIFS($AC$3:AC6,"Quên chấm công",$S$3:S6,S6)&gt;3,"Không chấm công do vi phạm quá 3 lần",IF(COUNTIFS($AC$3:AC6,"Quên chấm công",$S$3:S6,S6)&gt;2,"Trừ toàn bộ chuyên cần tháng do vi phạm lần 3",IF(COUNTIFS($AC$3:AC6,"Quên chấm công",$S$3:S6,S6)&gt;1,"Trừ 1/2 ngày lương",50000))))</f>
        <v>50000</v>
      </c>
      <c r="AH6" s="14" t="str">
        <f>IF(COUNTIFS($AF$3:AF6,"&gt;0",$S$3:S6,S6)&gt;3,"Trừ toàn bộ chuyên cần tháng","")</f>
        <v/>
      </c>
      <c r="AI6" s="14"/>
      <c r="AJ6" s="14"/>
    </row>
    <row r="7" spans="1:36" x14ac:dyDescent="0.25">
      <c r="A7" s="4" t="s">
        <v>18</v>
      </c>
      <c r="B7" s="1" t="s">
        <v>19</v>
      </c>
      <c r="C7" s="1" t="s">
        <v>20</v>
      </c>
      <c r="D7" s="1" t="s">
        <v>37</v>
      </c>
      <c r="E7" s="1" t="s">
        <v>22</v>
      </c>
      <c r="F7" s="1" t="s">
        <v>23</v>
      </c>
      <c r="G7" s="1" t="s">
        <v>29</v>
      </c>
      <c r="H7" s="12" t="s">
        <v>38</v>
      </c>
      <c r="I7" s="1" t="s">
        <v>39</v>
      </c>
      <c r="J7" s="1" t="s">
        <v>25</v>
      </c>
      <c r="K7" s="1" t="s">
        <v>40</v>
      </c>
      <c r="L7" s="1" t="s">
        <v>25</v>
      </c>
      <c r="M7" s="1" t="s">
        <v>26</v>
      </c>
      <c r="N7" s="1" t="s">
        <v>25</v>
      </c>
      <c r="O7" s="1" t="s">
        <v>41</v>
      </c>
      <c r="P7" s="1" t="s">
        <v>25</v>
      </c>
      <c r="Q7" s="1" t="s">
        <v>25</v>
      </c>
      <c r="R7" s="70" t="str">
        <f t="shared" si="0"/>
        <v>145905</v>
      </c>
      <c r="S7" t="str">
        <f>VLOOKUP(A7,Data_NV!$A:$C,3,0)</f>
        <v xml:space="preserve"> Nguyễn Bảo Thạch    </v>
      </c>
      <c r="T7" t="str">
        <f>VLOOKUP(A7,Data_NV!$A:$E,4,0)</f>
        <v>Vận Hành</v>
      </c>
      <c r="U7" s="67">
        <f>DATEVALUE(Table2[[#This Row],[Ngày]])</f>
        <v>45905</v>
      </c>
      <c r="V7" t="str">
        <f>VLOOKUP(A7,Data_NV!$A:$E,5,0)</f>
        <v>Đang làm việc</v>
      </c>
      <c r="W7" s="11">
        <f>VLOOKUP(A7,Data_NV!$A:$I,8,0)</f>
        <v>0.3125</v>
      </c>
      <c r="X7" s="11">
        <f>VLOOKUP(A7,Data_NV!$A:$I,9,0)</f>
        <v>0.6875</v>
      </c>
      <c r="Y7" s="11">
        <f>IFERROR(TIMEVALUE(Table2[[#This Row],[Vào]]),0)</f>
        <v>0.3071990740740741</v>
      </c>
      <c r="Z7" s="11">
        <f>IFERROR(TIMEVALUE(Table2[[#This Row],[Ra]]),0)</f>
        <v>0.79093749999999996</v>
      </c>
      <c r="AA7" t="str">
        <f t="shared" si="3"/>
        <v>x</v>
      </c>
      <c r="AB7" s="14">
        <f t="shared" si="1"/>
        <v>0</v>
      </c>
      <c r="AC7" s="14" t="str">
        <f>IF(VLOOKUP(A7,Data_NV!$A:$I,7,0)="Không","",IF(OR(AND(Y7=0,Z7=0),AND(Y7&lt;&gt;0,Z7&lt;&gt;0)),"","Quên chấm công"))</f>
        <v/>
      </c>
      <c r="AD7" s="14">
        <f>IF(VLOOKUP(A7,Data_NV!$A:$I,7,0)="Không",0,IF(AND(Y7=0,Z7=0),0,IF(X7&lt;=Z7,0,ROUNDDOWN((X7-Z7)*24*60,0))))</f>
        <v>0</v>
      </c>
      <c r="AE7" s="14">
        <f>IF(VLOOKUP(A7,Data_NV!$A:$I,6,0)="Không",0,IF(Z7&lt;=X7,0,ROUNDDOWN((Z7-X7)*24*60,0)))</f>
        <v>0</v>
      </c>
      <c r="AF7" s="29">
        <f t="shared" si="2"/>
        <v>0</v>
      </c>
      <c r="AG7" s="30" t="str">
        <f>IF(AC7="","",IF(COUNTIFS($AC$3:AC7,"Quên chấm công",$S$3:S7,S7)&gt;3,"Không chấm công do vi phạm quá 3 lần",IF(COUNTIFS($AC$3:AC7,"Quên chấm công",$S$3:S7,S7)&gt;2,"Trừ toàn bộ chuyên cần tháng do vi phạm lần 3",IF(COUNTIFS($AC$3:AC7,"Quên chấm công",$S$3:S7,S7)&gt;1,"Trừ 1/2 ngày lương",50000))))</f>
        <v/>
      </c>
      <c r="AH7" s="14" t="str">
        <f>IF(COUNTIFS($AF$3:AF7,"&gt;0",$S$3:S7,S7)&gt;3,"Trừ toàn bộ chuyên cần tháng","")</f>
        <v/>
      </c>
      <c r="AI7" s="14"/>
      <c r="AJ7" s="14"/>
    </row>
    <row r="8" spans="1:36" x14ac:dyDescent="0.25">
      <c r="A8" s="4" t="s">
        <v>18</v>
      </c>
      <c r="B8" s="1" t="s">
        <v>19</v>
      </c>
      <c r="C8" s="1" t="s">
        <v>20</v>
      </c>
      <c r="D8" s="1" t="s">
        <v>42</v>
      </c>
      <c r="E8" s="1" t="s">
        <v>22</v>
      </c>
      <c r="F8" s="1" t="s">
        <v>23</v>
      </c>
      <c r="G8" s="1" t="s">
        <v>29</v>
      </c>
      <c r="H8" s="12" t="s">
        <v>43</v>
      </c>
      <c r="I8" s="1" t="s">
        <v>44</v>
      </c>
      <c r="J8" s="1" t="s">
        <v>25</v>
      </c>
      <c r="K8" s="1" t="s">
        <v>45</v>
      </c>
      <c r="L8" s="1" t="s">
        <v>25</v>
      </c>
      <c r="M8" s="1" t="s">
        <v>26</v>
      </c>
      <c r="N8" s="1" t="s">
        <v>25</v>
      </c>
      <c r="O8" s="1" t="s">
        <v>46</v>
      </c>
      <c r="P8" s="1" t="s">
        <v>25</v>
      </c>
      <c r="Q8" s="1" t="s">
        <v>25</v>
      </c>
      <c r="R8" s="70" t="str">
        <f t="shared" si="0"/>
        <v>145906</v>
      </c>
      <c r="S8" t="str">
        <f>VLOOKUP(A8,Data_NV!$A:$C,3,0)</f>
        <v xml:space="preserve"> Nguyễn Bảo Thạch    </v>
      </c>
      <c r="T8" t="str">
        <f>VLOOKUP(A8,Data_NV!$A:$E,4,0)</f>
        <v>Vận Hành</v>
      </c>
      <c r="U8" s="67">
        <f>DATEVALUE(Table2[[#This Row],[Ngày]])</f>
        <v>45906</v>
      </c>
      <c r="V8" t="str">
        <f>VLOOKUP(A8,Data_NV!$A:$E,5,0)</f>
        <v>Đang làm việc</v>
      </c>
      <c r="W8" s="11">
        <f>VLOOKUP(A8,Data_NV!$A:$I,8,0)</f>
        <v>0.3125</v>
      </c>
      <c r="X8" s="11">
        <f>VLOOKUP(A8,Data_NV!$A:$I,9,0)</f>
        <v>0.6875</v>
      </c>
      <c r="Y8" s="11">
        <f>IFERROR(TIMEVALUE(Table2[[#This Row],[Vào]]),0)</f>
        <v>0.31190972222222224</v>
      </c>
      <c r="Z8" s="11">
        <f>IFERROR(TIMEVALUE(Table2[[#This Row],[Ra]]),0)</f>
        <v>0.74333333333333329</v>
      </c>
      <c r="AA8" t="str">
        <f t="shared" si="3"/>
        <v>x</v>
      </c>
      <c r="AB8" s="14">
        <f t="shared" si="1"/>
        <v>0</v>
      </c>
      <c r="AC8" s="14" t="str">
        <f>IF(VLOOKUP(A8,Data_NV!$A:$I,7,0)="Không","",IF(OR(AND(Y8=0,Z8=0),AND(Y8&lt;&gt;0,Z8&lt;&gt;0)),"","Quên chấm công"))</f>
        <v/>
      </c>
      <c r="AD8" s="14">
        <f>IF(VLOOKUP(A8,Data_NV!$A:$I,7,0)="Không",0,IF(AND(Y8=0,Z8=0),0,IF(X8&lt;=Z8,0,ROUNDDOWN((X8-Z8)*24*60,0))))</f>
        <v>0</v>
      </c>
      <c r="AE8" s="14">
        <f>IF(VLOOKUP(A8,Data_NV!$A:$I,6,0)="Không",0,IF(Z8&lt;=X8,0,ROUNDDOWN((Z8-X8)*24*60,0)))</f>
        <v>0</v>
      </c>
      <c r="AF8" s="29">
        <f t="shared" si="2"/>
        <v>0</v>
      </c>
      <c r="AG8" s="30" t="str">
        <f>IF(AC8="","",IF(COUNTIFS($AC$3:AC8,"Quên chấm công",$S$3:S8,S8)&gt;3,"Không chấm công do vi phạm quá 3 lần",IF(COUNTIFS($AC$3:AC8,"Quên chấm công",$S$3:S8,S8)&gt;2,"Trừ toàn bộ chuyên cần tháng do vi phạm lần 3",IF(COUNTIFS($AC$3:AC8,"Quên chấm công",$S$3:S8,S8)&gt;1,"Trừ 1/2 ngày lương",50000))))</f>
        <v/>
      </c>
      <c r="AH8" s="14" t="str">
        <f>IF(COUNTIFS($AF$3:AF8,"&gt;0",$S$3:S8,S8)&gt;3,"Trừ toàn bộ chuyên cần tháng","")</f>
        <v/>
      </c>
      <c r="AI8" s="14"/>
      <c r="AJ8" s="14"/>
    </row>
    <row r="9" spans="1:36" x14ac:dyDescent="0.25">
      <c r="A9" s="4" t="s">
        <v>18</v>
      </c>
      <c r="B9" s="1" t="s">
        <v>19</v>
      </c>
      <c r="C9" s="1" t="s">
        <v>20</v>
      </c>
      <c r="D9" s="1" t="s">
        <v>47</v>
      </c>
      <c r="E9" s="1" t="s">
        <v>22</v>
      </c>
      <c r="F9" s="1" t="s">
        <v>23</v>
      </c>
      <c r="G9" s="1" t="s">
        <v>12</v>
      </c>
      <c r="H9" s="12" t="s">
        <v>24</v>
      </c>
      <c r="I9" s="1" t="s">
        <v>24</v>
      </c>
      <c r="J9" s="1" t="s">
        <v>25</v>
      </c>
      <c r="K9" s="1" t="s">
        <v>25</v>
      </c>
      <c r="L9" s="1" t="s">
        <v>26</v>
      </c>
      <c r="M9" s="1" t="s">
        <v>25</v>
      </c>
      <c r="N9" s="1" t="s">
        <v>25</v>
      </c>
      <c r="O9" s="1" t="s">
        <v>25</v>
      </c>
      <c r="P9" s="1" t="s">
        <v>25</v>
      </c>
      <c r="Q9" s="1" t="s">
        <v>25</v>
      </c>
      <c r="R9" s="70" t="str">
        <f t="shared" si="0"/>
        <v>145907</v>
      </c>
      <c r="S9" t="str">
        <f>VLOOKUP(A9,Data_NV!$A:$C,3,0)</f>
        <v xml:space="preserve"> Nguyễn Bảo Thạch    </v>
      </c>
      <c r="T9" t="str">
        <f>VLOOKUP(A9,Data_NV!$A:$E,4,0)</f>
        <v>Vận Hành</v>
      </c>
      <c r="U9" s="67">
        <f>DATEVALUE(Table2[[#This Row],[Ngày]])</f>
        <v>45907</v>
      </c>
      <c r="V9" t="str">
        <f>VLOOKUP(A9,Data_NV!$A:$E,5,0)</f>
        <v>Đang làm việc</v>
      </c>
      <c r="W9" s="11">
        <f>VLOOKUP(A9,Data_NV!$A:$I,8,0)</f>
        <v>0.3125</v>
      </c>
      <c r="X9" s="11">
        <f>VLOOKUP(A9,Data_NV!$A:$I,9,0)</f>
        <v>0.6875</v>
      </c>
      <c r="Y9" s="11">
        <f>IFERROR(TIMEVALUE(Table2[[#This Row],[Vào]]),0)</f>
        <v>0</v>
      </c>
      <c r="Z9" s="11">
        <f>IFERROR(TIMEVALUE(Table2[[#This Row],[Ra]]),0)</f>
        <v>0</v>
      </c>
      <c r="AA9" t="str">
        <f t="shared" si="3"/>
        <v/>
      </c>
      <c r="AB9" s="14">
        <f t="shared" si="1"/>
        <v>0</v>
      </c>
      <c r="AC9" s="14" t="str">
        <f>IF(VLOOKUP(A9,Data_NV!$A:$I,7,0)="Không","",IF(OR(AND(Y9=0,Z9=0),AND(Y9&lt;&gt;0,Z9&lt;&gt;0)),"","Quên chấm công"))</f>
        <v/>
      </c>
      <c r="AD9" s="14">
        <f>IF(VLOOKUP(A9,Data_NV!$A:$I,7,0)="Không",0,IF(AND(Y9=0,Z9=0),0,IF(X9&lt;=Z9,0,ROUNDDOWN((X9-Z9)*24*60,0))))</f>
        <v>0</v>
      </c>
      <c r="AE9" s="14">
        <f>IF(VLOOKUP(A9,Data_NV!$A:$I,6,0)="Không",0,IF(Z9&lt;=X9,0,ROUNDDOWN((Z9-X9)*24*60,0)))</f>
        <v>0</v>
      </c>
      <c r="AF9" s="29">
        <f t="shared" si="2"/>
        <v>0</v>
      </c>
      <c r="AG9" s="30" t="str">
        <f>IF(AC9="","",IF(COUNTIFS($AC$3:AC9,"Quên chấm công",$S$3:S9,S9)&gt;3,"Không chấm công do vi phạm quá 3 lần",IF(COUNTIFS($AC$3:AC9,"Quên chấm công",$S$3:S9,S9)&gt;2,"Trừ toàn bộ chuyên cần tháng do vi phạm lần 3",IF(COUNTIFS($AC$3:AC9,"Quên chấm công",$S$3:S9,S9)&gt;1,"Trừ 1/2 ngày lương",50000))))</f>
        <v/>
      </c>
      <c r="AH9" s="14" t="str">
        <f>IF(COUNTIFS($AF$3:AF9,"&gt;0",$S$3:S9,S9)&gt;3,"Trừ toàn bộ chuyên cần tháng","")</f>
        <v/>
      </c>
      <c r="AI9" s="14"/>
      <c r="AJ9" s="14"/>
    </row>
    <row r="10" spans="1:36" x14ac:dyDescent="0.25">
      <c r="A10" s="4" t="s">
        <v>18</v>
      </c>
      <c r="B10" s="1" t="s">
        <v>19</v>
      </c>
      <c r="C10" s="1" t="s">
        <v>20</v>
      </c>
      <c r="D10" s="1" t="s">
        <v>48</v>
      </c>
      <c r="E10" s="1" t="s">
        <v>22</v>
      </c>
      <c r="F10" s="1" t="s">
        <v>23</v>
      </c>
      <c r="G10" s="1" t="s">
        <v>29</v>
      </c>
      <c r="H10" s="12" t="s">
        <v>49</v>
      </c>
      <c r="I10" s="1" t="s">
        <v>50</v>
      </c>
      <c r="J10" s="1" t="s">
        <v>25</v>
      </c>
      <c r="K10" s="1" t="s">
        <v>51</v>
      </c>
      <c r="L10" s="1" t="s">
        <v>25</v>
      </c>
      <c r="M10" s="1" t="s">
        <v>26</v>
      </c>
      <c r="N10" s="1" t="s">
        <v>25</v>
      </c>
      <c r="O10" s="1" t="s">
        <v>52</v>
      </c>
      <c r="P10" s="1" t="s">
        <v>25</v>
      </c>
      <c r="Q10" s="1" t="s">
        <v>25</v>
      </c>
      <c r="R10" s="70" t="str">
        <f t="shared" si="0"/>
        <v>145908</v>
      </c>
      <c r="S10" t="str">
        <f>VLOOKUP(A10,Data_NV!$A:$C,3,0)</f>
        <v xml:space="preserve"> Nguyễn Bảo Thạch    </v>
      </c>
      <c r="T10" t="str">
        <f>VLOOKUP(A10,Data_NV!$A:$E,4,0)</f>
        <v>Vận Hành</v>
      </c>
      <c r="U10" s="67">
        <f>DATEVALUE(Table2[[#This Row],[Ngày]])</f>
        <v>45908</v>
      </c>
      <c r="V10" t="str">
        <f>VLOOKUP(A10,Data_NV!$A:$E,5,0)</f>
        <v>Đang làm việc</v>
      </c>
      <c r="W10" s="11">
        <f>VLOOKUP(A10,Data_NV!$A:$I,8,0)</f>
        <v>0.3125</v>
      </c>
      <c r="X10" s="11">
        <f>VLOOKUP(A10,Data_NV!$A:$I,9,0)</f>
        <v>0.6875</v>
      </c>
      <c r="Y10" s="11">
        <f>IFERROR(TIMEVALUE(Table2[[#This Row],[Vào]]),0)</f>
        <v>0.30709490740740741</v>
      </c>
      <c r="Z10" s="11">
        <f>IFERROR(TIMEVALUE(Table2[[#This Row],[Ra]]),0)</f>
        <v>0.77222222222222225</v>
      </c>
      <c r="AA10" t="str">
        <f t="shared" si="3"/>
        <v>x</v>
      </c>
      <c r="AB10" s="14">
        <f t="shared" si="1"/>
        <v>0</v>
      </c>
      <c r="AC10" s="14" t="str">
        <f>IF(VLOOKUP(A10,Data_NV!$A:$I,7,0)="Không","",IF(OR(AND(Y10=0,Z10=0),AND(Y10&lt;&gt;0,Z10&lt;&gt;0)),"","Quên chấm công"))</f>
        <v/>
      </c>
      <c r="AD10" s="14">
        <f>IF(VLOOKUP(A10,Data_NV!$A:$I,7,0)="Không",0,IF(AND(Y10=0,Z10=0),0,IF(X10&lt;=Z10,0,ROUNDDOWN((X10-Z10)*24*60,0))))</f>
        <v>0</v>
      </c>
      <c r="AE10" s="14">
        <f>IF(VLOOKUP(A10,Data_NV!$A:$I,6,0)="Không",0,IF(Z10&lt;=X10,0,ROUNDDOWN((Z10-X10)*24*60,0)))</f>
        <v>0</v>
      </c>
      <c r="AF10" s="29">
        <f t="shared" si="2"/>
        <v>0</v>
      </c>
      <c r="AG10" s="30" t="str">
        <f>IF(AC10="","",IF(COUNTIFS($AC$3:AC10,"Quên chấm công",$S$3:S10,S10)&gt;3,"Không chấm công do vi phạm quá 3 lần",IF(COUNTIFS($AC$3:AC10,"Quên chấm công",$S$3:S10,S10)&gt;2,"Trừ toàn bộ chuyên cần tháng do vi phạm lần 3",IF(COUNTIFS($AC$3:AC10,"Quên chấm công",$S$3:S10,S10)&gt;1,"Trừ 1/2 ngày lương",50000))))</f>
        <v/>
      </c>
      <c r="AH10" s="14" t="str">
        <f>IF(COUNTIFS($AF$3:AF10,"&gt;0",$S$3:S10,S10)&gt;3,"Trừ toàn bộ chuyên cần tháng","")</f>
        <v/>
      </c>
      <c r="AI10" s="14"/>
      <c r="AJ10" s="14"/>
    </row>
    <row r="11" spans="1:36" x14ac:dyDescent="0.25">
      <c r="A11" s="4" t="s">
        <v>18</v>
      </c>
      <c r="B11" s="1" t="s">
        <v>19</v>
      </c>
      <c r="C11" s="1" t="s">
        <v>20</v>
      </c>
      <c r="D11" s="1" t="s">
        <v>53</v>
      </c>
      <c r="E11" s="1" t="s">
        <v>22</v>
      </c>
      <c r="F11" s="1" t="s">
        <v>23</v>
      </c>
      <c r="G11" s="1" t="s">
        <v>29</v>
      </c>
      <c r="H11" s="12" t="s">
        <v>54</v>
      </c>
      <c r="I11" s="1" t="s">
        <v>55</v>
      </c>
      <c r="J11" s="1" t="s">
        <v>25</v>
      </c>
      <c r="K11" s="1" t="s">
        <v>56</v>
      </c>
      <c r="L11" s="1" t="s">
        <v>25</v>
      </c>
      <c r="M11" s="1" t="s">
        <v>26</v>
      </c>
      <c r="N11" s="1" t="s">
        <v>25</v>
      </c>
      <c r="O11" s="1" t="s">
        <v>57</v>
      </c>
      <c r="P11" s="1" t="s">
        <v>25</v>
      </c>
      <c r="Q11" s="1" t="s">
        <v>25</v>
      </c>
      <c r="R11" s="70" t="str">
        <f t="shared" si="0"/>
        <v>145909</v>
      </c>
      <c r="S11" t="str">
        <f>VLOOKUP(A11,Data_NV!$A:$C,3,0)</f>
        <v xml:space="preserve"> Nguyễn Bảo Thạch    </v>
      </c>
      <c r="T11" t="str">
        <f>VLOOKUP(A11,Data_NV!$A:$E,4,0)</f>
        <v>Vận Hành</v>
      </c>
      <c r="U11" s="67">
        <f>DATEVALUE(Table2[[#This Row],[Ngày]])</f>
        <v>45909</v>
      </c>
      <c r="V11" t="str">
        <f>VLOOKUP(A11,Data_NV!$A:$E,5,0)</f>
        <v>Đang làm việc</v>
      </c>
      <c r="W11" s="11">
        <f>VLOOKUP(A11,Data_NV!$A:$I,8,0)</f>
        <v>0.3125</v>
      </c>
      <c r="X11" s="11">
        <f>VLOOKUP(A11,Data_NV!$A:$I,9,0)</f>
        <v>0.6875</v>
      </c>
      <c r="Y11" s="11">
        <f>IFERROR(TIMEVALUE(Table2[[#This Row],[Vào]]),0)</f>
        <v>0.30292824074074076</v>
      </c>
      <c r="Z11" s="11">
        <f>IFERROR(TIMEVALUE(Table2[[#This Row],[Ra]]),0)</f>
        <v>0.75449074074074074</v>
      </c>
      <c r="AA11" t="str">
        <f t="shared" si="3"/>
        <v>x</v>
      </c>
      <c r="AB11" s="14">
        <f t="shared" si="1"/>
        <v>0</v>
      </c>
      <c r="AC11" s="14" t="str">
        <f>IF(VLOOKUP(A11,Data_NV!$A:$I,7,0)="Không","",IF(OR(AND(Y11=0,Z11=0),AND(Y11&lt;&gt;0,Z11&lt;&gt;0)),"","Quên chấm công"))</f>
        <v/>
      </c>
      <c r="AD11" s="14">
        <f>IF(VLOOKUP(A11,Data_NV!$A:$I,7,0)="Không",0,IF(AND(Y11=0,Z11=0),0,IF(X11&lt;=Z11,0,ROUNDDOWN((X11-Z11)*24*60,0))))</f>
        <v>0</v>
      </c>
      <c r="AE11" s="14">
        <f>IF(VLOOKUP(A11,Data_NV!$A:$I,6,0)="Không",0,IF(Z11&lt;=X11,0,ROUNDDOWN((Z11-X11)*24*60,0)))</f>
        <v>0</v>
      </c>
      <c r="AF11" s="29">
        <f t="shared" si="2"/>
        <v>0</v>
      </c>
      <c r="AG11" s="30" t="str">
        <f>IF(AC11="","",IF(COUNTIFS($AC$3:AC11,"Quên chấm công",$S$3:S11,S11)&gt;3,"Không chấm công do vi phạm quá 3 lần",IF(COUNTIFS($AC$3:AC11,"Quên chấm công",$S$3:S11,S11)&gt;2,"Trừ toàn bộ chuyên cần tháng do vi phạm lần 3",IF(COUNTIFS($AC$3:AC11,"Quên chấm công",$S$3:S11,S11)&gt;1,"Trừ 1/2 ngày lương",50000))))</f>
        <v/>
      </c>
      <c r="AH11" s="14" t="str">
        <f>IF(COUNTIFS($AF$3:AF11,"&gt;0",$S$3:S11,S11)&gt;3,"Trừ toàn bộ chuyên cần tháng","")</f>
        <v/>
      </c>
      <c r="AI11" s="14"/>
      <c r="AJ11" s="14"/>
    </row>
    <row r="12" spans="1:36" x14ac:dyDescent="0.25">
      <c r="A12" s="4" t="s">
        <v>18</v>
      </c>
      <c r="B12" s="1" t="s">
        <v>19</v>
      </c>
      <c r="C12" s="1" t="s">
        <v>20</v>
      </c>
      <c r="D12" s="1" t="s">
        <v>58</v>
      </c>
      <c r="E12" s="1" t="s">
        <v>22</v>
      </c>
      <c r="F12" s="1" t="s">
        <v>23</v>
      </c>
      <c r="G12" s="1" t="s">
        <v>29</v>
      </c>
      <c r="H12" s="12" t="s">
        <v>59</v>
      </c>
      <c r="I12" s="1" t="s">
        <v>60</v>
      </c>
      <c r="J12" s="1" t="s">
        <v>25</v>
      </c>
      <c r="K12" s="1" t="s">
        <v>61</v>
      </c>
      <c r="L12" s="1" t="s">
        <v>25</v>
      </c>
      <c r="M12" s="1" t="s">
        <v>26</v>
      </c>
      <c r="N12" s="1" t="s">
        <v>25</v>
      </c>
      <c r="O12" s="1" t="s">
        <v>62</v>
      </c>
      <c r="P12" s="1" t="s">
        <v>25</v>
      </c>
      <c r="Q12" s="1" t="s">
        <v>25</v>
      </c>
      <c r="R12" s="70" t="str">
        <f t="shared" si="0"/>
        <v>145910</v>
      </c>
      <c r="S12" t="str">
        <f>VLOOKUP(A12,Data_NV!$A:$C,3,0)</f>
        <v xml:space="preserve"> Nguyễn Bảo Thạch    </v>
      </c>
      <c r="T12" t="str">
        <f>VLOOKUP(A12,Data_NV!$A:$E,4,0)</f>
        <v>Vận Hành</v>
      </c>
      <c r="U12" s="67">
        <f>DATEVALUE(Table2[[#This Row],[Ngày]])</f>
        <v>45910</v>
      </c>
      <c r="V12" t="str">
        <f>VLOOKUP(A12,Data_NV!$A:$E,5,0)</f>
        <v>Đang làm việc</v>
      </c>
      <c r="W12" s="11">
        <f>VLOOKUP(A12,Data_NV!$A:$I,8,0)</f>
        <v>0.3125</v>
      </c>
      <c r="X12" s="11">
        <f>VLOOKUP(A12,Data_NV!$A:$I,9,0)</f>
        <v>0.6875</v>
      </c>
      <c r="Y12" s="11">
        <f>IFERROR(TIMEVALUE(Table2[[#This Row],[Vào]]),0)</f>
        <v>0.30651620370370369</v>
      </c>
      <c r="Z12" s="11">
        <f>IFERROR(TIMEVALUE(Table2[[#This Row],[Ra]]),0)</f>
        <v>0.72893518518518519</v>
      </c>
      <c r="AA12" t="str">
        <f t="shared" si="3"/>
        <v>x</v>
      </c>
      <c r="AB12" s="14">
        <f t="shared" si="1"/>
        <v>0</v>
      </c>
      <c r="AC12" s="14" t="str">
        <f>IF(VLOOKUP(A12,Data_NV!$A:$I,7,0)="Không","",IF(OR(AND(Y12=0,Z12=0),AND(Y12&lt;&gt;0,Z12&lt;&gt;0)),"","Quên chấm công"))</f>
        <v/>
      </c>
      <c r="AD12" s="14">
        <f>IF(VLOOKUP(A12,Data_NV!$A:$I,7,0)="Không",0,IF(AND(Y12=0,Z12=0),0,IF(X12&lt;=Z12,0,ROUNDDOWN((X12-Z12)*24*60,0))))</f>
        <v>0</v>
      </c>
      <c r="AE12" s="14">
        <f>IF(VLOOKUP(A12,Data_NV!$A:$I,6,0)="Không",0,IF(Z12&lt;=X12,0,ROUNDDOWN((Z12-X12)*24*60,0)))</f>
        <v>0</v>
      </c>
      <c r="AF12" s="29">
        <f t="shared" si="2"/>
        <v>0</v>
      </c>
      <c r="AG12" s="30" t="str">
        <f>IF(AC12="","",IF(COUNTIFS($AC$3:AC12,"Quên chấm công",$S$3:S12,S12)&gt;3,"Không chấm công do vi phạm quá 3 lần",IF(COUNTIFS($AC$3:AC12,"Quên chấm công",$S$3:S12,S12)&gt;2,"Trừ toàn bộ chuyên cần tháng do vi phạm lần 3",IF(COUNTIFS($AC$3:AC12,"Quên chấm công",$S$3:S12,S12)&gt;1,"Trừ 1/2 ngày lương",50000))))</f>
        <v/>
      </c>
      <c r="AH12" s="14" t="str">
        <f>IF(COUNTIFS($AF$3:AF12,"&gt;0",$S$3:S12,S12)&gt;3,"Trừ toàn bộ chuyên cần tháng","")</f>
        <v/>
      </c>
      <c r="AI12" s="14"/>
      <c r="AJ12" s="14"/>
    </row>
    <row r="13" spans="1:36" x14ac:dyDescent="0.25">
      <c r="A13" s="4" t="s">
        <v>18</v>
      </c>
      <c r="B13" s="1" t="s">
        <v>19</v>
      </c>
      <c r="C13" s="1" t="s">
        <v>20</v>
      </c>
      <c r="D13" s="1" t="s">
        <v>63</v>
      </c>
      <c r="E13" s="1" t="s">
        <v>22</v>
      </c>
      <c r="F13" s="1" t="s">
        <v>23</v>
      </c>
      <c r="G13" s="1" t="s">
        <v>29</v>
      </c>
      <c r="H13" s="12" t="s">
        <v>64</v>
      </c>
      <c r="I13" s="1" t="s">
        <v>65</v>
      </c>
      <c r="J13" s="1" t="s">
        <v>25</v>
      </c>
      <c r="K13" s="1" t="s">
        <v>32</v>
      </c>
      <c r="L13" s="1" t="s">
        <v>25</v>
      </c>
      <c r="M13" s="1" t="s">
        <v>26</v>
      </c>
      <c r="N13" s="1" t="s">
        <v>25</v>
      </c>
      <c r="O13" s="1" t="s">
        <v>33</v>
      </c>
      <c r="P13" s="1" t="s">
        <v>66</v>
      </c>
      <c r="Q13" s="1" t="s">
        <v>25</v>
      </c>
      <c r="R13" s="70" t="str">
        <f t="shared" si="0"/>
        <v>145911</v>
      </c>
      <c r="S13" t="str">
        <f>VLOOKUP(A13,Data_NV!$A:$C,3,0)</f>
        <v xml:space="preserve"> Nguyễn Bảo Thạch    </v>
      </c>
      <c r="T13" t="str">
        <f>VLOOKUP(A13,Data_NV!$A:$E,4,0)</f>
        <v>Vận Hành</v>
      </c>
      <c r="U13" s="67">
        <f>DATEVALUE(Table2[[#This Row],[Ngày]])</f>
        <v>45911</v>
      </c>
      <c r="V13" t="str">
        <f>VLOOKUP(A13,Data_NV!$A:$E,5,0)</f>
        <v>Đang làm việc</v>
      </c>
      <c r="W13" s="11">
        <f>VLOOKUP(A13,Data_NV!$A:$I,8,0)</f>
        <v>0.3125</v>
      </c>
      <c r="X13" s="11">
        <f>VLOOKUP(A13,Data_NV!$A:$I,9,0)</f>
        <v>0.6875</v>
      </c>
      <c r="Y13" s="11">
        <f>IFERROR(TIMEVALUE(Table2[[#This Row],[Vào]]),0)</f>
        <v>0.30505787037037035</v>
      </c>
      <c r="Z13" s="11">
        <f>IFERROR(TIMEVALUE(Table2[[#This Row],[Ra]]),0)</f>
        <v>0.80611111111111111</v>
      </c>
      <c r="AA13" t="str">
        <f t="shared" si="3"/>
        <v>x</v>
      </c>
      <c r="AB13" s="14">
        <f t="shared" si="1"/>
        <v>0</v>
      </c>
      <c r="AC13" s="14" t="str">
        <f>IF(VLOOKUP(A13,Data_NV!$A:$I,7,0)="Không","",IF(OR(AND(Y13=0,Z13=0),AND(Y13&lt;&gt;0,Z13&lt;&gt;0)),"","Quên chấm công"))</f>
        <v/>
      </c>
      <c r="AD13" s="14">
        <f>IF(VLOOKUP(A13,Data_NV!$A:$I,7,0)="Không",0,IF(AND(Y13=0,Z13=0),0,IF(X13&lt;=Z13,0,ROUNDDOWN((X13-Z13)*24*60,0))))</f>
        <v>0</v>
      </c>
      <c r="AE13" s="14">
        <f>IF(VLOOKUP(A13,Data_NV!$A:$I,6,0)="Không",0,IF(Z13&lt;=X13,0,ROUNDDOWN((Z13-X13)*24*60,0)))</f>
        <v>0</v>
      </c>
      <c r="AF13" s="29">
        <f t="shared" si="2"/>
        <v>0</v>
      </c>
      <c r="AG13" s="30" t="str">
        <f>IF(AC13="","",IF(COUNTIFS($AC$3:AC13,"Quên chấm công",$S$3:S13,S13)&gt;3,"Không chấm công do vi phạm quá 3 lần",IF(COUNTIFS($AC$3:AC13,"Quên chấm công",$S$3:S13,S13)&gt;2,"Trừ toàn bộ chuyên cần tháng do vi phạm lần 3",IF(COUNTIFS($AC$3:AC13,"Quên chấm công",$S$3:S13,S13)&gt;1,"Trừ 1/2 ngày lương",50000))))</f>
        <v/>
      </c>
      <c r="AH13" s="14" t="str">
        <f>IF(COUNTIFS($AF$3:AF13,"&gt;0",$S$3:S13,S13)&gt;3,"Trừ toàn bộ chuyên cần tháng","")</f>
        <v/>
      </c>
      <c r="AI13" s="14"/>
      <c r="AJ13" s="14"/>
    </row>
    <row r="14" spans="1:36" x14ac:dyDescent="0.25">
      <c r="A14" s="4" t="s">
        <v>18</v>
      </c>
      <c r="B14" s="1" t="s">
        <v>19</v>
      </c>
      <c r="C14" s="1" t="s">
        <v>20</v>
      </c>
      <c r="D14" s="1" t="s">
        <v>67</v>
      </c>
      <c r="E14" s="1" t="s">
        <v>22</v>
      </c>
      <c r="F14" s="1" t="s">
        <v>23</v>
      </c>
      <c r="G14" s="1" t="s">
        <v>12</v>
      </c>
      <c r="H14" s="12" t="s">
        <v>24</v>
      </c>
      <c r="I14" s="1" t="s">
        <v>68</v>
      </c>
      <c r="J14" s="1" t="s">
        <v>25</v>
      </c>
      <c r="K14" s="1" t="s">
        <v>25</v>
      </c>
      <c r="L14" s="1" t="s">
        <v>26</v>
      </c>
      <c r="M14" s="1" t="s">
        <v>25</v>
      </c>
      <c r="N14" s="1" t="s">
        <v>25</v>
      </c>
      <c r="O14" s="1" t="s">
        <v>25</v>
      </c>
      <c r="P14" s="1" t="s">
        <v>25</v>
      </c>
      <c r="Q14" s="1" t="s">
        <v>25</v>
      </c>
      <c r="R14" s="70" t="str">
        <f t="shared" si="0"/>
        <v>145912</v>
      </c>
      <c r="S14" t="str">
        <f>VLOOKUP(A14,Data_NV!$A:$C,3,0)</f>
        <v xml:space="preserve"> Nguyễn Bảo Thạch    </v>
      </c>
      <c r="T14" t="str">
        <f>VLOOKUP(A14,Data_NV!$A:$E,4,0)</f>
        <v>Vận Hành</v>
      </c>
      <c r="U14" s="67">
        <f>DATEVALUE(Table2[[#This Row],[Ngày]])</f>
        <v>45912</v>
      </c>
      <c r="V14" t="str">
        <f>VLOOKUP(A14,Data_NV!$A:$E,5,0)</f>
        <v>Đang làm việc</v>
      </c>
      <c r="W14" s="11">
        <f>VLOOKUP(A14,Data_NV!$A:$I,8,0)</f>
        <v>0.3125</v>
      </c>
      <c r="X14" s="11">
        <f>VLOOKUP(A14,Data_NV!$A:$I,9,0)</f>
        <v>0.6875</v>
      </c>
      <c r="Y14" s="11">
        <f>IFERROR(TIMEVALUE(Table2[[#This Row],[Vào]]),0)</f>
        <v>0</v>
      </c>
      <c r="Z14" s="11">
        <f>IFERROR(TIMEVALUE(Table2[[#This Row],[Ra]]),0)</f>
        <v>0.78153935185185186</v>
      </c>
      <c r="AA14" t="str">
        <f t="shared" si="3"/>
        <v>1/2</v>
      </c>
      <c r="AB14" s="14">
        <f t="shared" si="1"/>
        <v>0</v>
      </c>
      <c r="AC14" s="14" t="str">
        <f>IF(VLOOKUP(A14,Data_NV!$A:$I,7,0)="Không","",IF(OR(AND(Y14=0,Z14=0),AND(Y14&lt;&gt;0,Z14&lt;&gt;0)),"","Quên chấm công"))</f>
        <v>Quên chấm công</v>
      </c>
      <c r="AD14" s="14">
        <f>IF(VLOOKUP(A14,Data_NV!$A:$I,7,0)="Không",0,IF(AND(Y14=0,Z14=0),0,IF(X14&lt;=Z14,0,ROUNDDOWN((X14-Z14)*24*60,0))))</f>
        <v>0</v>
      </c>
      <c r="AE14" s="14">
        <f>IF(VLOOKUP(A14,Data_NV!$A:$I,6,0)="Không",0,IF(Z14&lt;=X14,0,ROUNDDOWN((Z14-X14)*24*60,0)))</f>
        <v>0</v>
      </c>
      <c r="AF14" s="29">
        <f t="shared" si="2"/>
        <v>0</v>
      </c>
      <c r="AG14" s="30" t="str">
        <f>IF(AC14="","",IF(COUNTIFS($AC$3:AC14,"Quên chấm công",$S$3:S14,S14)&gt;3,"Không chấm công do vi phạm quá 3 lần",IF(COUNTIFS($AC$3:AC14,"Quên chấm công",$S$3:S14,S14)&gt;2,"Trừ toàn bộ chuyên cần tháng do vi phạm lần 3",IF(COUNTIFS($AC$3:AC14,"Quên chấm công",$S$3:S14,S14)&gt;1,"Trừ 1/2 ngày lương",50000))))</f>
        <v>Trừ 1/2 ngày lương</v>
      </c>
      <c r="AH14" s="14" t="str">
        <f>IF(COUNTIFS($AF$3:AF14,"&gt;0",$S$3:S14,S14)&gt;3,"Trừ toàn bộ chuyên cần tháng","")</f>
        <v/>
      </c>
      <c r="AI14" s="14"/>
      <c r="AJ14" s="14"/>
    </row>
    <row r="15" spans="1:36" x14ac:dyDescent="0.25">
      <c r="A15" s="4" t="s">
        <v>18</v>
      </c>
      <c r="B15" s="1" t="s">
        <v>19</v>
      </c>
      <c r="C15" s="1" t="s">
        <v>20</v>
      </c>
      <c r="D15" s="1" t="s">
        <v>69</v>
      </c>
      <c r="E15" s="1" t="s">
        <v>22</v>
      </c>
      <c r="F15" s="1" t="s">
        <v>23</v>
      </c>
      <c r="G15" s="1" t="s">
        <v>29</v>
      </c>
      <c r="H15" s="12" t="s">
        <v>70</v>
      </c>
      <c r="I15" s="1" t="s">
        <v>71</v>
      </c>
      <c r="J15" s="1" t="s">
        <v>25</v>
      </c>
      <c r="K15" s="1" t="s">
        <v>72</v>
      </c>
      <c r="L15" s="1" t="s">
        <v>25</v>
      </c>
      <c r="M15" s="1" t="s">
        <v>26</v>
      </c>
      <c r="N15" s="1" t="s">
        <v>25</v>
      </c>
      <c r="O15" s="1" t="s">
        <v>73</v>
      </c>
      <c r="P15" s="1" t="s">
        <v>25</v>
      </c>
      <c r="Q15" s="1" t="s">
        <v>25</v>
      </c>
      <c r="R15" s="70" t="str">
        <f t="shared" si="0"/>
        <v>145913</v>
      </c>
      <c r="S15" t="str">
        <f>VLOOKUP(A15,Data_NV!$A:$C,3,0)</f>
        <v xml:space="preserve"> Nguyễn Bảo Thạch    </v>
      </c>
      <c r="T15" t="str">
        <f>VLOOKUP(A15,Data_NV!$A:$E,4,0)</f>
        <v>Vận Hành</v>
      </c>
      <c r="U15" s="67">
        <f>DATEVALUE(Table2[[#This Row],[Ngày]])</f>
        <v>45913</v>
      </c>
      <c r="V15" t="str">
        <f>VLOOKUP(A15,Data_NV!$A:$E,5,0)</f>
        <v>Đang làm việc</v>
      </c>
      <c r="W15" s="11">
        <f>VLOOKUP(A15,Data_NV!$A:$I,8,0)</f>
        <v>0.3125</v>
      </c>
      <c r="X15" s="11">
        <f>VLOOKUP(A15,Data_NV!$A:$I,9,0)</f>
        <v>0.6875</v>
      </c>
      <c r="Y15" s="11">
        <f>IFERROR(TIMEVALUE(Table2[[#This Row],[Vào]]),0)</f>
        <v>0.30047453703703703</v>
      </c>
      <c r="Z15" s="11">
        <f>IFERROR(TIMEVALUE(Table2[[#This Row],[Ra]]),0)</f>
        <v>0.74636574074074069</v>
      </c>
      <c r="AA15" t="str">
        <f t="shared" si="3"/>
        <v>x</v>
      </c>
      <c r="AB15" s="14">
        <f t="shared" si="1"/>
        <v>0</v>
      </c>
      <c r="AC15" s="14" t="str">
        <f>IF(VLOOKUP(A15,Data_NV!$A:$I,7,0)="Không","",IF(OR(AND(Y15=0,Z15=0),AND(Y15&lt;&gt;0,Z15&lt;&gt;0)),"","Quên chấm công"))</f>
        <v/>
      </c>
      <c r="AD15" s="14">
        <f>IF(VLOOKUP(A15,Data_NV!$A:$I,7,0)="Không",0,IF(AND(Y15=0,Z15=0),0,IF(X15&lt;=Z15,0,ROUNDDOWN((X15-Z15)*24*60,0))))</f>
        <v>0</v>
      </c>
      <c r="AE15" s="14">
        <f>IF(VLOOKUP(A15,Data_NV!$A:$I,6,0)="Không",0,IF(Z15&lt;=X15,0,ROUNDDOWN((Z15-X15)*24*60,0)))</f>
        <v>0</v>
      </c>
      <c r="AF15" s="29">
        <f t="shared" si="2"/>
        <v>0</v>
      </c>
      <c r="AG15" s="30" t="str">
        <f>IF(AC15="","",IF(COUNTIFS($AC$3:AC15,"Quên chấm công",$S$3:S15,S15)&gt;3,"Không chấm công do vi phạm quá 3 lần",IF(COUNTIFS($AC$3:AC15,"Quên chấm công",$S$3:S15,S15)&gt;2,"Trừ toàn bộ chuyên cần tháng do vi phạm lần 3",IF(COUNTIFS($AC$3:AC15,"Quên chấm công",$S$3:S15,S15)&gt;1,"Trừ 1/2 ngày lương",50000))))</f>
        <v/>
      </c>
      <c r="AH15" s="14" t="str">
        <f>IF(COUNTIFS($AF$3:AF15,"&gt;0",$S$3:S15,S15)&gt;3,"Trừ toàn bộ chuyên cần tháng","")</f>
        <v/>
      </c>
      <c r="AI15" s="14"/>
      <c r="AJ15" s="14"/>
    </row>
    <row r="16" spans="1:36" x14ac:dyDescent="0.25">
      <c r="A16" s="4" t="s">
        <v>18</v>
      </c>
      <c r="B16" s="1" t="s">
        <v>19</v>
      </c>
      <c r="C16" s="1" t="s">
        <v>20</v>
      </c>
      <c r="D16" s="1" t="s">
        <v>74</v>
      </c>
      <c r="E16" s="1" t="s">
        <v>22</v>
      </c>
      <c r="F16" s="1" t="s">
        <v>23</v>
      </c>
      <c r="G16" s="1" t="s">
        <v>12</v>
      </c>
      <c r="H16" s="12" t="s">
        <v>24</v>
      </c>
      <c r="I16" s="1" t="s">
        <v>24</v>
      </c>
      <c r="J16" s="1" t="s">
        <v>25</v>
      </c>
      <c r="K16" s="1" t="s">
        <v>25</v>
      </c>
      <c r="L16" s="1" t="s">
        <v>26</v>
      </c>
      <c r="M16" s="1" t="s">
        <v>25</v>
      </c>
      <c r="N16" s="1" t="s">
        <v>25</v>
      </c>
      <c r="O16" s="1" t="s">
        <v>25</v>
      </c>
      <c r="P16" s="1" t="s">
        <v>25</v>
      </c>
      <c r="Q16" s="1" t="s">
        <v>25</v>
      </c>
      <c r="R16" s="70" t="str">
        <f t="shared" si="0"/>
        <v>145914</v>
      </c>
      <c r="S16" t="str">
        <f>VLOOKUP(A16,Data_NV!$A:$C,3,0)</f>
        <v xml:space="preserve"> Nguyễn Bảo Thạch    </v>
      </c>
      <c r="T16" t="str">
        <f>VLOOKUP(A16,Data_NV!$A:$E,4,0)</f>
        <v>Vận Hành</v>
      </c>
      <c r="U16" s="67">
        <f>DATEVALUE(Table2[[#This Row],[Ngày]])</f>
        <v>45914</v>
      </c>
      <c r="V16" t="str">
        <f>VLOOKUP(A16,Data_NV!$A:$E,5,0)</f>
        <v>Đang làm việc</v>
      </c>
      <c r="W16" s="11">
        <f>VLOOKUP(A16,Data_NV!$A:$I,8,0)</f>
        <v>0.3125</v>
      </c>
      <c r="X16" s="11">
        <f>VLOOKUP(A16,Data_NV!$A:$I,9,0)</f>
        <v>0.6875</v>
      </c>
      <c r="Y16" s="11">
        <f>IFERROR(TIMEVALUE(Table2[[#This Row],[Vào]]),0)</f>
        <v>0</v>
      </c>
      <c r="Z16" s="11">
        <f>IFERROR(TIMEVALUE(Table2[[#This Row],[Ra]]),0)</f>
        <v>0</v>
      </c>
      <c r="AA16" t="str">
        <f t="shared" si="3"/>
        <v/>
      </c>
      <c r="AB16" s="14">
        <f t="shared" si="1"/>
        <v>0</v>
      </c>
      <c r="AC16" s="14" t="str">
        <f>IF(VLOOKUP(A16,Data_NV!$A:$I,7,0)="Không","",IF(OR(AND(Y16=0,Z16=0),AND(Y16&lt;&gt;0,Z16&lt;&gt;0)),"","Quên chấm công"))</f>
        <v/>
      </c>
      <c r="AD16" s="14">
        <f>IF(VLOOKUP(A16,Data_NV!$A:$I,7,0)="Không",0,IF(AND(Y16=0,Z16=0),0,IF(X16&lt;=Z16,0,ROUNDDOWN((X16-Z16)*24*60,0))))</f>
        <v>0</v>
      </c>
      <c r="AE16" s="14">
        <f>IF(VLOOKUP(A16,Data_NV!$A:$I,6,0)="Không",0,IF(Z16&lt;=X16,0,ROUNDDOWN((Z16-X16)*24*60,0)))</f>
        <v>0</v>
      </c>
      <c r="AF16" s="29">
        <f t="shared" si="2"/>
        <v>0</v>
      </c>
      <c r="AG16" s="30" t="str">
        <f>IF(AC16="","",IF(COUNTIFS($AC$3:AC16,"Quên chấm công",$S$3:S16,S16)&gt;3,"Không chấm công do vi phạm quá 3 lần",IF(COUNTIFS($AC$3:AC16,"Quên chấm công",$S$3:S16,S16)&gt;2,"Trừ toàn bộ chuyên cần tháng do vi phạm lần 3",IF(COUNTIFS($AC$3:AC16,"Quên chấm công",$S$3:S16,S16)&gt;1,"Trừ 1/2 ngày lương",50000))))</f>
        <v/>
      </c>
      <c r="AH16" s="14" t="str">
        <f>IF(COUNTIFS($AF$3:AF16,"&gt;0",$S$3:S16,S16)&gt;3,"Trừ toàn bộ chuyên cần tháng","")</f>
        <v/>
      </c>
      <c r="AI16" s="14"/>
      <c r="AJ16" s="14"/>
    </row>
    <row r="17" spans="1:36" x14ac:dyDescent="0.25">
      <c r="A17" s="4" t="s">
        <v>18</v>
      </c>
      <c r="B17" s="1" t="s">
        <v>19</v>
      </c>
      <c r="C17" s="1" t="s">
        <v>20</v>
      </c>
      <c r="D17" s="1" t="s">
        <v>75</v>
      </c>
      <c r="E17" s="1" t="s">
        <v>22</v>
      </c>
      <c r="F17" s="1" t="s">
        <v>23</v>
      </c>
      <c r="G17" s="1" t="s">
        <v>29</v>
      </c>
      <c r="H17" s="12" t="s">
        <v>76</v>
      </c>
      <c r="I17" s="1" t="s">
        <v>77</v>
      </c>
      <c r="J17" s="1" t="s">
        <v>25</v>
      </c>
      <c r="K17" s="1" t="s">
        <v>78</v>
      </c>
      <c r="L17" s="1" t="s">
        <v>25</v>
      </c>
      <c r="M17" s="1" t="s">
        <v>26</v>
      </c>
      <c r="N17" s="1" t="s">
        <v>25</v>
      </c>
      <c r="O17" s="1" t="s">
        <v>79</v>
      </c>
      <c r="P17" s="1" t="s">
        <v>25</v>
      </c>
      <c r="Q17" s="1" t="s">
        <v>25</v>
      </c>
      <c r="R17" s="70" t="str">
        <f t="shared" si="0"/>
        <v>145915</v>
      </c>
      <c r="S17" t="str">
        <f>VLOOKUP(A17,Data_NV!$A:$C,3,0)</f>
        <v xml:space="preserve"> Nguyễn Bảo Thạch    </v>
      </c>
      <c r="T17" t="str">
        <f>VLOOKUP(A17,Data_NV!$A:$E,4,0)</f>
        <v>Vận Hành</v>
      </c>
      <c r="U17" s="67">
        <f>DATEVALUE(Table2[[#This Row],[Ngày]])</f>
        <v>45915</v>
      </c>
      <c r="V17" t="str">
        <f>VLOOKUP(A17,Data_NV!$A:$E,5,0)</f>
        <v>Đang làm việc</v>
      </c>
      <c r="W17" s="11">
        <f>VLOOKUP(A17,Data_NV!$A:$I,8,0)</f>
        <v>0.3125</v>
      </c>
      <c r="X17" s="11">
        <f>VLOOKUP(A17,Data_NV!$A:$I,9,0)</f>
        <v>0.6875</v>
      </c>
      <c r="Y17" s="11">
        <f>IFERROR(TIMEVALUE(Table2[[#This Row],[Vào]]),0)</f>
        <v>0.30662037037037038</v>
      </c>
      <c r="Z17" s="11">
        <f>IFERROR(TIMEVALUE(Table2[[#This Row],[Ra]]),0)</f>
        <v>0.7456828703703704</v>
      </c>
      <c r="AA17" t="str">
        <f t="shared" si="3"/>
        <v>x</v>
      </c>
      <c r="AB17" s="14">
        <f t="shared" si="1"/>
        <v>0</v>
      </c>
      <c r="AC17" s="14" t="str">
        <f>IF(VLOOKUP(A17,Data_NV!$A:$I,7,0)="Không","",IF(OR(AND(Y17=0,Z17=0),AND(Y17&lt;&gt;0,Z17&lt;&gt;0)),"","Quên chấm công"))</f>
        <v/>
      </c>
      <c r="AD17" s="14">
        <f>IF(VLOOKUP(A17,Data_NV!$A:$I,7,0)="Không",0,IF(AND(Y17=0,Z17=0),0,IF(X17&lt;=Z17,0,ROUNDDOWN((X17-Z17)*24*60,0))))</f>
        <v>0</v>
      </c>
      <c r="AE17" s="14">
        <f>IF(VLOOKUP(A17,Data_NV!$A:$I,6,0)="Không",0,IF(Z17&lt;=X17,0,ROUNDDOWN((Z17-X17)*24*60,0)))</f>
        <v>0</v>
      </c>
      <c r="AF17" s="29">
        <f t="shared" si="2"/>
        <v>0</v>
      </c>
      <c r="AG17" s="30" t="str">
        <f>IF(AC17="","",IF(COUNTIFS($AC$3:AC17,"Quên chấm công",$S$3:S17,S17)&gt;3,"Không chấm công do vi phạm quá 3 lần",IF(COUNTIFS($AC$3:AC17,"Quên chấm công",$S$3:S17,S17)&gt;2,"Trừ toàn bộ chuyên cần tháng do vi phạm lần 3",IF(COUNTIFS($AC$3:AC17,"Quên chấm công",$S$3:S17,S17)&gt;1,"Trừ 1/2 ngày lương",50000))))</f>
        <v/>
      </c>
      <c r="AH17" s="14" t="str">
        <f>IF(COUNTIFS($AF$3:AF17,"&gt;0",$S$3:S17,S17)&gt;3,"Trừ toàn bộ chuyên cần tháng","")</f>
        <v/>
      </c>
      <c r="AI17" s="14"/>
      <c r="AJ17" s="14"/>
    </row>
    <row r="18" spans="1:36" x14ac:dyDescent="0.25">
      <c r="A18" s="4" t="s">
        <v>18</v>
      </c>
      <c r="B18" s="1" t="s">
        <v>19</v>
      </c>
      <c r="C18" s="1" t="s">
        <v>20</v>
      </c>
      <c r="D18" s="1" t="s">
        <v>80</v>
      </c>
      <c r="E18" s="1" t="s">
        <v>22</v>
      </c>
      <c r="F18" s="1" t="s">
        <v>23</v>
      </c>
      <c r="G18" s="1" t="s">
        <v>29</v>
      </c>
      <c r="H18" s="12" t="s">
        <v>81</v>
      </c>
      <c r="I18" s="1" t="s">
        <v>82</v>
      </c>
      <c r="J18" s="1" t="s">
        <v>25</v>
      </c>
      <c r="K18" s="1" t="s">
        <v>83</v>
      </c>
      <c r="L18" s="1" t="s">
        <v>25</v>
      </c>
      <c r="M18" s="1" t="s">
        <v>26</v>
      </c>
      <c r="N18" s="1" t="s">
        <v>25</v>
      </c>
      <c r="O18" s="1" t="s">
        <v>33</v>
      </c>
      <c r="P18" s="1" t="s">
        <v>84</v>
      </c>
      <c r="Q18" s="1" t="s">
        <v>25</v>
      </c>
      <c r="R18" s="70" t="str">
        <f t="shared" si="0"/>
        <v>145916</v>
      </c>
      <c r="S18" t="str">
        <f>VLOOKUP(A18,Data_NV!$A:$C,3,0)</f>
        <v xml:space="preserve"> Nguyễn Bảo Thạch    </v>
      </c>
      <c r="T18" t="str">
        <f>VLOOKUP(A18,Data_NV!$A:$E,4,0)</f>
        <v>Vận Hành</v>
      </c>
      <c r="U18" s="67">
        <f>DATEVALUE(Table2[[#This Row],[Ngày]])</f>
        <v>45916</v>
      </c>
      <c r="V18" t="str">
        <f>VLOOKUP(A18,Data_NV!$A:$E,5,0)</f>
        <v>Đang làm việc</v>
      </c>
      <c r="W18" s="11">
        <f>VLOOKUP(A18,Data_NV!$A:$I,8,0)</f>
        <v>0.3125</v>
      </c>
      <c r="X18" s="11">
        <f>VLOOKUP(A18,Data_NV!$A:$I,9,0)</f>
        <v>0.6875</v>
      </c>
      <c r="Y18" s="11">
        <f>IFERROR(TIMEVALUE(Table2[[#This Row],[Vào]]),0)</f>
        <v>0.29758101851851854</v>
      </c>
      <c r="Z18" s="11">
        <f>IFERROR(TIMEVALUE(Table2[[#This Row],[Ra]]),0)</f>
        <v>0.80745370370370373</v>
      </c>
      <c r="AA18" t="str">
        <f t="shared" si="3"/>
        <v>x</v>
      </c>
      <c r="AB18" s="14">
        <f t="shared" si="1"/>
        <v>0</v>
      </c>
      <c r="AC18" s="14" t="str">
        <f>IF(VLOOKUP(A18,Data_NV!$A:$I,7,0)="Không","",IF(OR(AND(Y18=0,Z18=0),AND(Y18&lt;&gt;0,Z18&lt;&gt;0)),"","Quên chấm công"))</f>
        <v/>
      </c>
      <c r="AD18" s="14">
        <f>IF(VLOOKUP(A18,Data_NV!$A:$I,7,0)="Không",0,IF(AND(Y18=0,Z18=0),0,IF(X18&lt;=Z18,0,ROUNDDOWN((X18-Z18)*24*60,0))))</f>
        <v>0</v>
      </c>
      <c r="AE18" s="14">
        <f>IF(VLOOKUP(A18,Data_NV!$A:$I,6,0)="Không",0,IF(Z18&lt;=X18,0,ROUNDDOWN((Z18-X18)*24*60,0)))</f>
        <v>0</v>
      </c>
      <c r="AF18" s="29">
        <f t="shared" si="2"/>
        <v>0</v>
      </c>
      <c r="AG18" s="30" t="str">
        <f>IF(AC18="","",IF(COUNTIFS($AC$3:AC18,"Quên chấm công",$S$3:S18,S18)&gt;3,"Không chấm công do vi phạm quá 3 lần",IF(COUNTIFS($AC$3:AC18,"Quên chấm công",$S$3:S18,S18)&gt;2,"Trừ toàn bộ chuyên cần tháng do vi phạm lần 3",IF(COUNTIFS($AC$3:AC18,"Quên chấm công",$S$3:S18,S18)&gt;1,"Trừ 1/2 ngày lương",50000))))</f>
        <v/>
      </c>
      <c r="AH18" s="14" t="str">
        <f>IF(COUNTIFS($AF$3:AF18,"&gt;0",$S$3:S18,S18)&gt;3,"Trừ toàn bộ chuyên cần tháng","")</f>
        <v/>
      </c>
      <c r="AI18" s="14"/>
      <c r="AJ18" s="14"/>
    </row>
    <row r="19" spans="1:36" x14ac:dyDescent="0.25">
      <c r="A19" s="4" t="s">
        <v>18</v>
      </c>
      <c r="B19" s="1" t="s">
        <v>19</v>
      </c>
      <c r="C19" s="1" t="s">
        <v>20</v>
      </c>
      <c r="D19" s="1" t="s">
        <v>85</v>
      </c>
      <c r="E19" s="1" t="s">
        <v>22</v>
      </c>
      <c r="F19" s="1" t="s">
        <v>23</v>
      </c>
      <c r="G19" s="1" t="s">
        <v>29</v>
      </c>
      <c r="H19" s="12" t="s">
        <v>86</v>
      </c>
      <c r="I19" s="1" t="s">
        <v>87</v>
      </c>
      <c r="J19" s="1" t="s">
        <v>25</v>
      </c>
      <c r="K19" s="1" t="s">
        <v>88</v>
      </c>
      <c r="L19" s="1" t="s">
        <v>25</v>
      </c>
      <c r="M19" s="1" t="s">
        <v>26</v>
      </c>
      <c r="N19" s="1" t="s">
        <v>25</v>
      </c>
      <c r="O19" s="1" t="s">
        <v>89</v>
      </c>
      <c r="P19" s="1" t="s">
        <v>25</v>
      </c>
      <c r="Q19" s="1" t="s">
        <v>25</v>
      </c>
      <c r="R19" s="70" t="str">
        <f t="shared" si="0"/>
        <v>145917</v>
      </c>
      <c r="S19" t="str">
        <f>VLOOKUP(A19,Data_NV!$A:$C,3,0)</f>
        <v xml:space="preserve"> Nguyễn Bảo Thạch    </v>
      </c>
      <c r="T19" t="str">
        <f>VLOOKUP(A19,Data_NV!$A:$E,4,0)</f>
        <v>Vận Hành</v>
      </c>
      <c r="U19" s="67">
        <f>DATEVALUE(Table2[[#This Row],[Ngày]])</f>
        <v>45917</v>
      </c>
      <c r="V19" t="str">
        <f>VLOOKUP(A19,Data_NV!$A:$E,5,0)</f>
        <v>Đang làm việc</v>
      </c>
      <c r="W19" s="11">
        <f>VLOOKUP(A19,Data_NV!$A:$I,8,0)</f>
        <v>0.3125</v>
      </c>
      <c r="X19" s="11">
        <f>VLOOKUP(A19,Data_NV!$A:$I,9,0)</f>
        <v>0.6875</v>
      </c>
      <c r="Y19" s="11">
        <f>IFERROR(TIMEVALUE(Table2[[#This Row],[Vào]]),0)</f>
        <v>0.30554398148148149</v>
      </c>
      <c r="Z19" s="11">
        <f>IFERROR(TIMEVALUE(Table2[[#This Row],[Ra]]),0)</f>
        <v>0.77381944444444439</v>
      </c>
      <c r="AA19" t="str">
        <f t="shared" si="3"/>
        <v>x</v>
      </c>
      <c r="AB19" s="14">
        <f t="shared" si="1"/>
        <v>0</v>
      </c>
      <c r="AC19" s="14" t="str">
        <f>IF(VLOOKUP(A19,Data_NV!$A:$I,7,0)="Không","",IF(OR(AND(Y19=0,Z19=0),AND(Y19&lt;&gt;0,Z19&lt;&gt;0)),"","Quên chấm công"))</f>
        <v/>
      </c>
      <c r="AD19" s="14">
        <f>IF(VLOOKUP(A19,Data_NV!$A:$I,7,0)="Không",0,IF(AND(Y19=0,Z19=0),0,IF(X19&lt;=Z19,0,ROUNDDOWN((X19-Z19)*24*60,0))))</f>
        <v>0</v>
      </c>
      <c r="AE19" s="14">
        <f>IF(VLOOKUP(A19,Data_NV!$A:$I,6,0)="Không",0,IF(Z19&lt;=X19,0,ROUNDDOWN((Z19-X19)*24*60,0)))</f>
        <v>0</v>
      </c>
      <c r="AF19" s="29">
        <f t="shared" si="2"/>
        <v>0</v>
      </c>
      <c r="AG19" s="30" t="str">
        <f>IF(AC19="","",IF(COUNTIFS($AC$3:AC19,"Quên chấm công",$S$3:S19,S19)&gt;3,"Không chấm công do vi phạm quá 3 lần",IF(COUNTIFS($AC$3:AC19,"Quên chấm công",$S$3:S19,S19)&gt;2,"Trừ toàn bộ chuyên cần tháng do vi phạm lần 3",IF(COUNTIFS($AC$3:AC19,"Quên chấm công",$S$3:S19,S19)&gt;1,"Trừ 1/2 ngày lương",50000))))</f>
        <v/>
      </c>
      <c r="AH19" s="14" t="str">
        <f>IF(COUNTIFS($AF$3:AF19,"&gt;0",$S$3:S19,S19)&gt;3,"Trừ toàn bộ chuyên cần tháng","")</f>
        <v/>
      </c>
      <c r="AI19" s="14"/>
      <c r="AJ19" s="14"/>
    </row>
    <row r="20" spans="1:36" x14ac:dyDescent="0.25">
      <c r="A20" s="4" t="s">
        <v>18</v>
      </c>
      <c r="B20" s="1" t="s">
        <v>19</v>
      </c>
      <c r="C20" s="1" t="s">
        <v>20</v>
      </c>
      <c r="D20" s="1" t="s">
        <v>90</v>
      </c>
      <c r="E20" s="1" t="s">
        <v>22</v>
      </c>
      <c r="F20" s="1" t="s">
        <v>23</v>
      </c>
      <c r="G20" s="1" t="s">
        <v>29</v>
      </c>
      <c r="H20" s="12" t="s">
        <v>91</v>
      </c>
      <c r="I20" s="1" t="s">
        <v>92</v>
      </c>
      <c r="J20" s="1" t="s">
        <v>25</v>
      </c>
      <c r="K20" s="1" t="s">
        <v>93</v>
      </c>
      <c r="L20" s="1" t="s">
        <v>25</v>
      </c>
      <c r="M20" s="1" t="s">
        <v>26</v>
      </c>
      <c r="N20" s="1" t="s">
        <v>25</v>
      </c>
      <c r="O20" s="1" t="s">
        <v>94</v>
      </c>
      <c r="P20" s="1" t="s">
        <v>25</v>
      </c>
      <c r="Q20" s="1" t="s">
        <v>25</v>
      </c>
      <c r="R20" s="70" t="str">
        <f t="shared" si="0"/>
        <v>145918</v>
      </c>
      <c r="S20" t="str">
        <f>VLOOKUP(A20,Data_NV!$A:$C,3,0)</f>
        <v xml:space="preserve"> Nguyễn Bảo Thạch    </v>
      </c>
      <c r="T20" t="str">
        <f>VLOOKUP(A20,Data_NV!$A:$E,4,0)</f>
        <v>Vận Hành</v>
      </c>
      <c r="U20" s="67">
        <f>DATEVALUE(Table2[[#This Row],[Ngày]])</f>
        <v>45918</v>
      </c>
      <c r="V20" t="str">
        <f>VLOOKUP(A20,Data_NV!$A:$E,5,0)</f>
        <v>Đang làm việc</v>
      </c>
      <c r="W20" s="11">
        <f>VLOOKUP(A20,Data_NV!$A:$I,8,0)</f>
        <v>0.3125</v>
      </c>
      <c r="X20" s="11">
        <f>VLOOKUP(A20,Data_NV!$A:$I,9,0)</f>
        <v>0.6875</v>
      </c>
      <c r="Y20" s="11">
        <f>IFERROR(TIMEVALUE(Table2[[#This Row],[Vào]]),0)</f>
        <v>0.30350694444444443</v>
      </c>
      <c r="Z20" s="11">
        <f>IFERROR(TIMEVALUE(Table2[[#This Row],[Ra]]),0)</f>
        <v>0.76619212962962968</v>
      </c>
      <c r="AA20" t="str">
        <f t="shared" si="3"/>
        <v>x</v>
      </c>
      <c r="AB20" s="14">
        <f t="shared" si="1"/>
        <v>0</v>
      </c>
      <c r="AC20" s="14" t="str">
        <f>IF(VLOOKUP(A20,Data_NV!$A:$I,7,0)="Không","",IF(OR(AND(Y20=0,Z20=0),AND(Y20&lt;&gt;0,Z20&lt;&gt;0)),"","Quên chấm công"))</f>
        <v/>
      </c>
      <c r="AD20" s="14">
        <f>IF(VLOOKUP(A20,Data_NV!$A:$I,7,0)="Không",0,IF(AND(Y20=0,Z20=0),0,IF(X20&lt;=Z20,0,ROUNDDOWN((X20-Z20)*24*60,0))))</f>
        <v>0</v>
      </c>
      <c r="AE20" s="14">
        <f>IF(VLOOKUP(A20,Data_NV!$A:$I,6,0)="Không",0,IF(Z20&lt;=X20,0,ROUNDDOWN((Z20-X20)*24*60,0)))</f>
        <v>0</v>
      </c>
      <c r="AF20" s="29">
        <f t="shared" si="2"/>
        <v>0</v>
      </c>
      <c r="AG20" s="30" t="str">
        <f>IF(AC20="","",IF(COUNTIFS($AC$3:AC20,"Quên chấm công",$S$3:S20,S20)&gt;3,"Không chấm công do vi phạm quá 3 lần",IF(COUNTIFS($AC$3:AC20,"Quên chấm công",$S$3:S20,S20)&gt;2,"Trừ toàn bộ chuyên cần tháng do vi phạm lần 3",IF(COUNTIFS($AC$3:AC20,"Quên chấm công",$S$3:S20,S20)&gt;1,"Trừ 1/2 ngày lương",50000))))</f>
        <v/>
      </c>
      <c r="AH20" s="14" t="str">
        <f>IF(COUNTIFS($AF$3:AF20,"&gt;0",$S$3:S20,S20)&gt;3,"Trừ toàn bộ chuyên cần tháng","")</f>
        <v/>
      </c>
      <c r="AI20" s="14"/>
      <c r="AJ20" s="14"/>
    </row>
    <row r="21" spans="1:36" x14ac:dyDescent="0.25">
      <c r="A21" s="4" t="s">
        <v>18</v>
      </c>
      <c r="B21" s="1" t="s">
        <v>19</v>
      </c>
      <c r="C21" s="1" t="s">
        <v>20</v>
      </c>
      <c r="D21" s="1" t="s">
        <v>95</v>
      </c>
      <c r="E21" s="1" t="s">
        <v>22</v>
      </c>
      <c r="F21" s="1" t="s">
        <v>23</v>
      </c>
      <c r="G21" s="1" t="s">
        <v>29</v>
      </c>
      <c r="H21" s="12" t="s">
        <v>96</v>
      </c>
      <c r="I21" s="1" t="s">
        <v>97</v>
      </c>
      <c r="J21" s="1" t="s">
        <v>25</v>
      </c>
      <c r="K21" s="1" t="s">
        <v>98</v>
      </c>
      <c r="L21" s="1" t="s">
        <v>25</v>
      </c>
      <c r="M21" s="1" t="s">
        <v>26</v>
      </c>
      <c r="N21" s="1" t="s">
        <v>25</v>
      </c>
      <c r="O21" s="1" t="s">
        <v>99</v>
      </c>
      <c r="P21" s="1" t="s">
        <v>25</v>
      </c>
      <c r="Q21" s="1" t="s">
        <v>25</v>
      </c>
      <c r="R21" s="70" t="str">
        <f t="shared" si="0"/>
        <v>145919</v>
      </c>
      <c r="S21" t="str">
        <f>VLOOKUP(A21,Data_NV!$A:$C,3,0)</f>
        <v xml:space="preserve"> Nguyễn Bảo Thạch    </v>
      </c>
      <c r="T21" t="str">
        <f>VLOOKUP(A21,Data_NV!$A:$E,4,0)</f>
        <v>Vận Hành</v>
      </c>
      <c r="U21" s="67">
        <f>DATEVALUE(Table2[[#This Row],[Ngày]])</f>
        <v>45919</v>
      </c>
      <c r="V21" t="str">
        <f>VLOOKUP(A21,Data_NV!$A:$E,5,0)</f>
        <v>Đang làm việc</v>
      </c>
      <c r="W21" s="11">
        <f>VLOOKUP(A21,Data_NV!$A:$I,8,0)</f>
        <v>0.3125</v>
      </c>
      <c r="X21" s="11">
        <f>VLOOKUP(A21,Data_NV!$A:$I,9,0)</f>
        <v>0.6875</v>
      </c>
      <c r="Y21" s="11">
        <f>IFERROR(TIMEVALUE(Table2[[#This Row],[Vào]]),0)</f>
        <v>0.30744212962962963</v>
      </c>
      <c r="Z21" s="11">
        <f>IFERROR(TIMEVALUE(Table2[[#This Row],[Ra]]),0)</f>
        <v>0.76826388888888886</v>
      </c>
      <c r="AA21" t="str">
        <f t="shared" si="3"/>
        <v>x</v>
      </c>
      <c r="AB21" s="14">
        <f t="shared" si="1"/>
        <v>0</v>
      </c>
      <c r="AC21" s="14" t="str">
        <f>IF(VLOOKUP(A21,Data_NV!$A:$I,7,0)="Không","",IF(OR(AND(Y21=0,Z21=0),AND(Y21&lt;&gt;0,Z21&lt;&gt;0)),"","Quên chấm công"))</f>
        <v/>
      </c>
      <c r="AD21" s="14">
        <f>IF(VLOOKUP(A21,Data_NV!$A:$I,7,0)="Không",0,IF(AND(Y21=0,Z21=0),0,IF(X21&lt;=Z21,0,ROUNDDOWN((X21-Z21)*24*60,0))))</f>
        <v>0</v>
      </c>
      <c r="AE21" s="14">
        <f>IF(VLOOKUP(A21,Data_NV!$A:$I,6,0)="Không",0,IF(Z21&lt;=X21,0,ROUNDDOWN((Z21-X21)*24*60,0)))</f>
        <v>0</v>
      </c>
      <c r="AF21" s="29">
        <f t="shared" si="2"/>
        <v>0</v>
      </c>
      <c r="AG21" s="30" t="str">
        <f>IF(AC21="","",IF(COUNTIFS($AC$3:AC21,"Quên chấm công",$S$3:S21,S21)&gt;3,"Không chấm công do vi phạm quá 3 lần",IF(COUNTIFS($AC$3:AC21,"Quên chấm công",$S$3:S21,S21)&gt;2,"Trừ toàn bộ chuyên cần tháng do vi phạm lần 3",IF(COUNTIFS($AC$3:AC21,"Quên chấm công",$S$3:S21,S21)&gt;1,"Trừ 1/2 ngày lương",50000))))</f>
        <v/>
      </c>
      <c r="AH21" s="14" t="str">
        <f>IF(COUNTIFS($AF$3:AF21,"&gt;0",$S$3:S21,S21)&gt;3,"Trừ toàn bộ chuyên cần tháng","")</f>
        <v/>
      </c>
      <c r="AI21" s="14"/>
      <c r="AJ21" s="14"/>
    </row>
    <row r="22" spans="1:36" x14ac:dyDescent="0.25">
      <c r="A22" s="4" t="s">
        <v>18</v>
      </c>
      <c r="B22" s="1" t="s">
        <v>19</v>
      </c>
      <c r="C22" s="1" t="s">
        <v>20</v>
      </c>
      <c r="D22" s="1" t="s">
        <v>100</v>
      </c>
      <c r="E22" s="1" t="s">
        <v>22</v>
      </c>
      <c r="F22" s="1" t="s">
        <v>23</v>
      </c>
      <c r="G22" s="1" t="s">
        <v>29</v>
      </c>
      <c r="H22" s="12" t="s">
        <v>101</v>
      </c>
      <c r="I22" s="1" t="s">
        <v>102</v>
      </c>
      <c r="J22" s="1" t="s">
        <v>25</v>
      </c>
      <c r="K22" s="1" t="s">
        <v>103</v>
      </c>
      <c r="L22" s="1" t="s">
        <v>25</v>
      </c>
      <c r="M22" s="1" t="s">
        <v>26</v>
      </c>
      <c r="N22" s="1" t="s">
        <v>25</v>
      </c>
      <c r="O22" s="1" t="s">
        <v>104</v>
      </c>
      <c r="P22" s="1" t="s">
        <v>25</v>
      </c>
      <c r="Q22" s="1" t="s">
        <v>25</v>
      </c>
      <c r="R22" s="70" t="str">
        <f t="shared" si="0"/>
        <v>145920</v>
      </c>
      <c r="S22" t="str">
        <f>VLOOKUP(A22,Data_NV!$A:$C,3,0)</f>
        <v xml:space="preserve"> Nguyễn Bảo Thạch    </v>
      </c>
      <c r="T22" t="str">
        <f>VLOOKUP(A22,Data_NV!$A:$E,4,0)</f>
        <v>Vận Hành</v>
      </c>
      <c r="U22" s="67">
        <f>DATEVALUE(Table2[[#This Row],[Ngày]])</f>
        <v>45920</v>
      </c>
      <c r="V22" t="str">
        <f>VLOOKUP(A22,Data_NV!$A:$E,5,0)</f>
        <v>Đang làm việc</v>
      </c>
      <c r="W22" s="11">
        <f>VLOOKUP(A22,Data_NV!$A:$I,8,0)</f>
        <v>0.3125</v>
      </c>
      <c r="X22" s="11">
        <f>VLOOKUP(A22,Data_NV!$A:$I,9,0)</f>
        <v>0.6875</v>
      </c>
      <c r="Y22" s="11">
        <f>IFERROR(TIMEVALUE(Table2[[#This Row],[Vào]]),0)</f>
        <v>0.30842592592592594</v>
      </c>
      <c r="Z22" s="11">
        <f>IFERROR(TIMEVALUE(Table2[[#This Row],[Ra]]),0)</f>
        <v>0.74870370370370365</v>
      </c>
      <c r="AA22" t="str">
        <f t="shared" si="3"/>
        <v>x</v>
      </c>
      <c r="AB22" s="14">
        <f t="shared" si="1"/>
        <v>0</v>
      </c>
      <c r="AC22" s="14" t="str">
        <f>IF(VLOOKUP(A22,Data_NV!$A:$I,7,0)="Không","",IF(OR(AND(Y22=0,Z22=0),AND(Y22&lt;&gt;0,Z22&lt;&gt;0)),"","Quên chấm công"))</f>
        <v/>
      </c>
      <c r="AD22" s="14">
        <f>IF(VLOOKUP(A22,Data_NV!$A:$I,7,0)="Không",0,IF(AND(Y22=0,Z22=0),0,IF(X22&lt;=Z22,0,ROUNDDOWN((X22-Z22)*24*60,0))))</f>
        <v>0</v>
      </c>
      <c r="AE22" s="14">
        <f>IF(VLOOKUP(A22,Data_NV!$A:$I,6,0)="Không",0,IF(Z22&lt;=X22,0,ROUNDDOWN((Z22-X22)*24*60,0)))</f>
        <v>0</v>
      </c>
      <c r="AF22" s="29">
        <f t="shared" si="2"/>
        <v>0</v>
      </c>
      <c r="AG22" s="30" t="str">
        <f>IF(AC22="","",IF(COUNTIFS($AC$3:AC22,"Quên chấm công",$S$3:S22,S22)&gt;3,"Không chấm công do vi phạm quá 3 lần",IF(COUNTIFS($AC$3:AC22,"Quên chấm công",$S$3:S22,S22)&gt;2,"Trừ toàn bộ chuyên cần tháng do vi phạm lần 3",IF(COUNTIFS($AC$3:AC22,"Quên chấm công",$S$3:S22,S22)&gt;1,"Trừ 1/2 ngày lương",50000))))</f>
        <v/>
      </c>
      <c r="AH22" s="14" t="str">
        <f>IF(COUNTIFS($AF$3:AF22,"&gt;0",$S$3:S22,S22)&gt;3,"Trừ toàn bộ chuyên cần tháng","")</f>
        <v/>
      </c>
      <c r="AI22" s="14"/>
      <c r="AJ22" s="14"/>
    </row>
    <row r="23" spans="1:36" x14ac:dyDescent="0.25">
      <c r="A23" s="4" t="s">
        <v>18</v>
      </c>
      <c r="B23" s="1" t="s">
        <v>19</v>
      </c>
      <c r="C23" s="1" t="s">
        <v>20</v>
      </c>
      <c r="D23" s="1" t="s">
        <v>105</v>
      </c>
      <c r="E23" s="1" t="s">
        <v>22</v>
      </c>
      <c r="F23" s="1" t="s">
        <v>23</v>
      </c>
      <c r="G23" s="1" t="s">
        <v>12</v>
      </c>
      <c r="H23" s="12" t="s">
        <v>24</v>
      </c>
      <c r="I23" s="1" t="s">
        <v>24</v>
      </c>
      <c r="J23" s="1" t="s">
        <v>25</v>
      </c>
      <c r="K23" s="1" t="s">
        <v>25</v>
      </c>
      <c r="L23" s="1" t="s">
        <v>26</v>
      </c>
      <c r="M23" s="1" t="s">
        <v>25</v>
      </c>
      <c r="N23" s="1" t="s">
        <v>25</v>
      </c>
      <c r="O23" s="1" t="s">
        <v>25</v>
      </c>
      <c r="P23" s="1" t="s">
        <v>25</v>
      </c>
      <c r="Q23" s="1" t="s">
        <v>25</v>
      </c>
      <c r="R23" s="70" t="str">
        <f t="shared" si="0"/>
        <v>145921</v>
      </c>
      <c r="S23" t="str">
        <f>VLOOKUP(A23,Data_NV!$A:$C,3,0)</f>
        <v xml:space="preserve"> Nguyễn Bảo Thạch    </v>
      </c>
      <c r="T23" t="str">
        <f>VLOOKUP(A23,Data_NV!$A:$E,4,0)</f>
        <v>Vận Hành</v>
      </c>
      <c r="U23" s="67">
        <f>DATEVALUE(Table2[[#This Row],[Ngày]])</f>
        <v>45921</v>
      </c>
      <c r="V23" t="str">
        <f>VLOOKUP(A23,Data_NV!$A:$E,5,0)</f>
        <v>Đang làm việc</v>
      </c>
      <c r="W23" s="11">
        <f>VLOOKUP(A23,Data_NV!$A:$I,8,0)</f>
        <v>0.3125</v>
      </c>
      <c r="X23" s="11">
        <f>VLOOKUP(A23,Data_NV!$A:$I,9,0)</f>
        <v>0.6875</v>
      </c>
      <c r="Y23" s="11">
        <f>IFERROR(TIMEVALUE(Table2[[#This Row],[Vào]]),0)</f>
        <v>0</v>
      </c>
      <c r="Z23" s="11">
        <f>IFERROR(TIMEVALUE(Table2[[#This Row],[Ra]]),0)</f>
        <v>0</v>
      </c>
      <c r="AA23" t="str">
        <f t="shared" si="3"/>
        <v/>
      </c>
      <c r="AB23" s="14">
        <f t="shared" si="1"/>
        <v>0</v>
      </c>
      <c r="AC23" s="14" t="str">
        <f>IF(VLOOKUP(A23,Data_NV!$A:$I,7,0)="Không","",IF(OR(AND(Y23=0,Z23=0),AND(Y23&lt;&gt;0,Z23&lt;&gt;0)),"","Quên chấm công"))</f>
        <v/>
      </c>
      <c r="AD23" s="14">
        <f>IF(VLOOKUP(A23,Data_NV!$A:$I,7,0)="Không",0,IF(AND(Y23=0,Z23=0),0,IF(X23&lt;=Z23,0,ROUNDDOWN((X23-Z23)*24*60,0))))</f>
        <v>0</v>
      </c>
      <c r="AE23" s="14">
        <f>IF(VLOOKUP(A23,Data_NV!$A:$I,6,0)="Không",0,IF(Z23&lt;=X23,0,ROUNDDOWN((Z23-X23)*24*60,0)))</f>
        <v>0</v>
      </c>
      <c r="AF23" s="29">
        <f t="shared" si="2"/>
        <v>0</v>
      </c>
      <c r="AG23" s="30" t="str">
        <f>IF(AC23="","",IF(COUNTIFS($AC$3:AC23,"Quên chấm công",$S$3:S23,S23)&gt;3,"Không chấm công do vi phạm quá 3 lần",IF(COUNTIFS($AC$3:AC23,"Quên chấm công",$S$3:S23,S23)&gt;2,"Trừ toàn bộ chuyên cần tháng do vi phạm lần 3",IF(COUNTIFS($AC$3:AC23,"Quên chấm công",$S$3:S23,S23)&gt;1,"Trừ 1/2 ngày lương",50000))))</f>
        <v/>
      </c>
      <c r="AH23" s="14" t="str">
        <f>IF(COUNTIFS($AF$3:AF23,"&gt;0",$S$3:S23,S23)&gt;3,"Trừ toàn bộ chuyên cần tháng","")</f>
        <v/>
      </c>
      <c r="AI23" s="14"/>
      <c r="AJ23" s="14"/>
    </row>
    <row r="24" spans="1:36" x14ac:dyDescent="0.25">
      <c r="A24" s="4" t="s">
        <v>18</v>
      </c>
      <c r="B24" s="1" t="s">
        <v>19</v>
      </c>
      <c r="C24" s="1" t="s">
        <v>20</v>
      </c>
      <c r="D24" s="1" t="s">
        <v>106</v>
      </c>
      <c r="E24" s="1" t="s">
        <v>22</v>
      </c>
      <c r="F24" s="1" t="s">
        <v>23</v>
      </c>
      <c r="G24" s="1" t="s">
        <v>29</v>
      </c>
      <c r="H24" s="12" t="s">
        <v>107</v>
      </c>
      <c r="I24" s="1" t="s">
        <v>108</v>
      </c>
      <c r="J24" s="1" t="s">
        <v>25</v>
      </c>
      <c r="K24" s="1" t="s">
        <v>109</v>
      </c>
      <c r="L24" s="1" t="s">
        <v>25</v>
      </c>
      <c r="M24" s="1" t="s">
        <v>26</v>
      </c>
      <c r="N24" s="1" t="s">
        <v>25</v>
      </c>
      <c r="O24" s="1" t="s">
        <v>110</v>
      </c>
      <c r="P24" s="1" t="s">
        <v>25</v>
      </c>
      <c r="Q24" s="1" t="s">
        <v>25</v>
      </c>
      <c r="R24" s="70" t="str">
        <f t="shared" si="0"/>
        <v>145922</v>
      </c>
      <c r="S24" t="str">
        <f>VLOOKUP(A24,Data_NV!$A:$C,3,0)</f>
        <v xml:space="preserve"> Nguyễn Bảo Thạch    </v>
      </c>
      <c r="T24" t="str">
        <f>VLOOKUP(A24,Data_NV!$A:$E,4,0)</f>
        <v>Vận Hành</v>
      </c>
      <c r="U24" s="67">
        <f>DATEVALUE(Table2[[#This Row],[Ngày]])</f>
        <v>45922</v>
      </c>
      <c r="V24" t="str">
        <f>VLOOKUP(A24,Data_NV!$A:$E,5,0)</f>
        <v>Đang làm việc</v>
      </c>
      <c r="W24" s="11">
        <f>VLOOKUP(A24,Data_NV!$A:$I,8,0)</f>
        <v>0.3125</v>
      </c>
      <c r="X24" s="11">
        <f>VLOOKUP(A24,Data_NV!$A:$I,9,0)</f>
        <v>0.6875</v>
      </c>
      <c r="Y24" s="11">
        <f>IFERROR(TIMEVALUE(Table2[[#This Row],[Vào]]),0)</f>
        <v>0.30527777777777776</v>
      </c>
      <c r="Z24" s="11">
        <f>IFERROR(TIMEVALUE(Table2[[#This Row],[Ra]]),0)</f>
        <v>0.76324074074074078</v>
      </c>
      <c r="AA24" t="str">
        <f t="shared" si="3"/>
        <v>x</v>
      </c>
      <c r="AB24" s="14">
        <f t="shared" si="1"/>
        <v>0</v>
      </c>
      <c r="AC24" s="14" t="str">
        <f>IF(VLOOKUP(A24,Data_NV!$A:$I,7,0)="Không","",IF(OR(AND(Y24=0,Z24=0),AND(Y24&lt;&gt;0,Z24&lt;&gt;0)),"","Quên chấm công"))</f>
        <v/>
      </c>
      <c r="AD24" s="14">
        <f>IF(VLOOKUP(A24,Data_NV!$A:$I,7,0)="Không",0,IF(AND(Y24=0,Z24=0),0,IF(X24&lt;=Z24,0,ROUNDDOWN((X24-Z24)*24*60,0))))</f>
        <v>0</v>
      </c>
      <c r="AE24" s="14">
        <f>IF(VLOOKUP(A24,Data_NV!$A:$I,6,0)="Không",0,IF(Z24&lt;=X24,0,ROUNDDOWN((Z24-X24)*24*60,0)))</f>
        <v>0</v>
      </c>
      <c r="AF24" s="29">
        <f t="shared" si="2"/>
        <v>0</v>
      </c>
      <c r="AG24" s="30" t="str">
        <f>IF(AC24="","",IF(COUNTIFS($AC$3:AC24,"Quên chấm công",$S$3:S24,S24)&gt;3,"Không chấm công do vi phạm quá 3 lần",IF(COUNTIFS($AC$3:AC24,"Quên chấm công",$S$3:S24,S24)&gt;2,"Trừ toàn bộ chuyên cần tháng do vi phạm lần 3",IF(COUNTIFS($AC$3:AC24,"Quên chấm công",$S$3:S24,S24)&gt;1,"Trừ 1/2 ngày lương",50000))))</f>
        <v/>
      </c>
      <c r="AH24" s="14" t="str">
        <f>IF(COUNTIFS($AF$3:AF24,"&gt;0",$S$3:S24,S24)&gt;3,"Trừ toàn bộ chuyên cần tháng","")</f>
        <v/>
      </c>
      <c r="AI24" s="14"/>
      <c r="AJ24" s="14"/>
    </row>
    <row r="25" spans="1:36" x14ac:dyDescent="0.25">
      <c r="A25" s="4" t="s">
        <v>18</v>
      </c>
      <c r="B25" s="1" t="s">
        <v>19</v>
      </c>
      <c r="C25" s="1" t="s">
        <v>20</v>
      </c>
      <c r="D25" s="1" t="s">
        <v>111</v>
      </c>
      <c r="E25" s="1" t="s">
        <v>22</v>
      </c>
      <c r="F25" s="1" t="s">
        <v>23</v>
      </c>
      <c r="G25" s="1" t="s">
        <v>29</v>
      </c>
      <c r="H25" s="12" t="s">
        <v>112</v>
      </c>
      <c r="I25" s="1" t="s">
        <v>113</v>
      </c>
      <c r="J25" s="1" t="s">
        <v>25</v>
      </c>
      <c r="K25" s="1" t="s">
        <v>114</v>
      </c>
      <c r="L25" s="1" t="s">
        <v>25</v>
      </c>
      <c r="M25" s="1" t="s">
        <v>26</v>
      </c>
      <c r="N25" s="1" t="s">
        <v>25</v>
      </c>
      <c r="O25" s="1" t="s">
        <v>115</v>
      </c>
      <c r="P25" s="1" t="s">
        <v>25</v>
      </c>
      <c r="Q25" s="1" t="s">
        <v>25</v>
      </c>
      <c r="R25" s="70" t="str">
        <f t="shared" si="0"/>
        <v>145923</v>
      </c>
      <c r="S25" t="str">
        <f>VLOOKUP(A25,Data_NV!$A:$C,3,0)</f>
        <v xml:space="preserve"> Nguyễn Bảo Thạch    </v>
      </c>
      <c r="T25" t="str">
        <f>VLOOKUP(A25,Data_NV!$A:$E,4,0)</f>
        <v>Vận Hành</v>
      </c>
      <c r="U25" s="67">
        <f>DATEVALUE(Table2[[#This Row],[Ngày]])</f>
        <v>45923</v>
      </c>
      <c r="V25" t="str">
        <f>VLOOKUP(A25,Data_NV!$A:$E,5,0)</f>
        <v>Đang làm việc</v>
      </c>
      <c r="W25" s="11">
        <f>VLOOKUP(A25,Data_NV!$A:$I,8,0)</f>
        <v>0.3125</v>
      </c>
      <c r="X25" s="11">
        <f>VLOOKUP(A25,Data_NV!$A:$I,9,0)</f>
        <v>0.6875</v>
      </c>
      <c r="Y25" s="11">
        <f>IFERROR(TIMEVALUE(Table2[[#This Row],[Vào]]),0)</f>
        <v>0.30601851851851852</v>
      </c>
      <c r="Z25" s="11">
        <f>IFERROR(TIMEVALUE(Table2[[#This Row],[Ra]]),0)</f>
        <v>0.77916666666666667</v>
      </c>
      <c r="AA25" t="str">
        <f t="shared" si="3"/>
        <v>x</v>
      </c>
      <c r="AB25" s="14">
        <f t="shared" si="1"/>
        <v>0</v>
      </c>
      <c r="AC25" s="14" t="str">
        <f>IF(VLOOKUP(A25,Data_NV!$A:$I,7,0)="Không","",IF(OR(AND(Y25=0,Z25=0),AND(Y25&lt;&gt;0,Z25&lt;&gt;0)),"","Quên chấm công"))</f>
        <v/>
      </c>
      <c r="AD25" s="14">
        <f>IF(VLOOKUP(A25,Data_NV!$A:$I,7,0)="Không",0,IF(AND(Y25=0,Z25=0),0,IF(X25&lt;=Z25,0,ROUNDDOWN((X25-Z25)*24*60,0))))</f>
        <v>0</v>
      </c>
      <c r="AE25" s="14">
        <f>IF(VLOOKUP(A25,Data_NV!$A:$I,6,0)="Không",0,IF(Z25&lt;=X25,0,ROUNDDOWN((Z25-X25)*24*60,0)))</f>
        <v>0</v>
      </c>
      <c r="AF25" s="29">
        <f t="shared" si="2"/>
        <v>0</v>
      </c>
      <c r="AG25" s="30" t="str">
        <f>IF(AC25="","",IF(COUNTIFS($AC$3:AC25,"Quên chấm công",$S$3:S25,S25)&gt;3,"Không chấm công do vi phạm quá 3 lần",IF(COUNTIFS($AC$3:AC25,"Quên chấm công",$S$3:S25,S25)&gt;2,"Trừ toàn bộ chuyên cần tháng do vi phạm lần 3",IF(COUNTIFS($AC$3:AC25,"Quên chấm công",$S$3:S25,S25)&gt;1,"Trừ 1/2 ngày lương",50000))))</f>
        <v/>
      </c>
      <c r="AH25" s="14" t="str">
        <f>IF(COUNTIFS($AF$3:AF25,"&gt;0",$S$3:S25,S25)&gt;3,"Trừ toàn bộ chuyên cần tháng","")</f>
        <v/>
      </c>
      <c r="AI25" s="14"/>
      <c r="AJ25" s="14"/>
    </row>
    <row r="26" spans="1:36" x14ac:dyDescent="0.25">
      <c r="A26" s="4" t="s">
        <v>18</v>
      </c>
      <c r="B26" s="1" t="s">
        <v>19</v>
      </c>
      <c r="C26" s="1" t="s">
        <v>20</v>
      </c>
      <c r="D26" s="1" t="s">
        <v>116</v>
      </c>
      <c r="E26" s="1" t="s">
        <v>22</v>
      </c>
      <c r="F26" s="1" t="s">
        <v>23</v>
      </c>
      <c r="G26" s="1" t="s">
        <v>29</v>
      </c>
      <c r="H26" s="12" t="s">
        <v>117</v>
      </c>
      <c r="I26" s="1" t="s">
        <v>118</v>
      </c>
      <c r="J26" s="1" t="s">
        <v>25</v>
      </c>
      <c r="K26" s="1" t="s">
        <v>119</v>
      </c>
      <c r="L26" s="1" t="s">
        <v>25</v>
      </c>
      <c r="M26" s="1" t="s">
        <v>26</v>
      </c>
      <c r="N26" s="1" t="s">
        <v>25</v>
      </c>
      <c r="O26" s="1" t="s">
        <v>120</v>
      </c>
      <c r="P26" s="1" t="s">
        <v>25</v>
      </c>
      <c r="Q26" s="1" t="s">
        <v>25</v>
      </c>
      <c r="R26" s="70" t="str">
        <f t="shared" si="0"/>
        <v>145924</v>
      </c>
      <c r="S26" t="str">
        <f>VLOOKUP(A26,Data_NV!$A:$C,3,0)</f>
        <v xml:space="preserve"> Nguyễn Bảo Thạch    </v>
      </c>
      <c r="T26" t="str">
        <f>VLOOKUP(A26,Data_NV!$A:$E,4,0)</f>
        <v>Vận Hành</v>
      </c>
      <c r="U26" s="67">
        <f>DATEVALUE(Table2[[#This Row],[Ngày]])</f>
        <v>45924</v>
      </c>
      <c r="V26" t="str">
        <f>VLOOKUP(A26,Data_NV!$A:$E,5,0)</f>
        <v>Đang làm việc</v>
      </c>
      <c r="W26" s="11">
        <f>VLOOKUP(A26,Data_NV!$A:$I,8,0)</f>
        <v>0.3125</v>
      </c>
      <c r="X26" s="11">
        <f>VLOOKUP(A26,Data_NV!$A:$I,9,0)</f>
        <v>0.6875</v>
      </c>
      <c r="Y26" s="11">
        <f>IFERROR(TIMEVALUE(Table2[[#This Row],[Vào]]),0)</f>
        <v>0.29784722222222221</v>
      </c>
      <c r="Z26" s="11">
        <f>IFERROR(TIMEVALUE(Table2[[#This Row],[Ra]]),0)</f>
        <v>0.75648148148148153</v>
      </c>
      <c r="AA26" t="str">
        <f t="shared" si="3"/>
        <v>x</v>
      </c>
      <c r="AB26" s="14">
        <f t="shared" si="1"/>
        <v>0</v>
      </c>
      <c r="AC26" s="14" t="str">
        <f>IF(VLOOKUP(A26,Data_NV!$A:$I,7,0)="Không","",IF(OR(AND(Y26=0,Z26=0),AND(Y26&lt;&gt;0,Z26&lt;&gt;0)),"","Quên chấm công"))</f>
        <v/>
      </c>
      <c r="AD26" s="14">
        <f>IF(VLOOKUP(A26,Data_NV!$A:$I,7,0)="Không",0,IF(AND(Y26=0,Z26=0),0,IF(X26&lt;=Z26,0,ROUNDDOWN((X26-Z26)*24*60,0))))</f>
        <v>0</v>
      </c>
      <c r="AE26" s="14">
        <f>IF(VLOOKUP(A26,Data_NV!$A:$I,6,0)="Không",0,IF(Z26&lt;=X26,0,ROUNDDOWN((Z26-X26)*24*60,0)))</f>
        <v>0</v>
      </c>
      <c r="AF26" s="29">
        <f t="shared" si="2"/>
        <v>0</v>
      </c>
      <c r="AG26" s="30" t="str">
        <f>IF(AC26="","",IF(COUNTIFS($AC$3:AC26,"Quên chấm công",$S$3:S26,S26)&gt;3,"Không chấm công do vi phạm quá 3 lần",IF(COUNTIFS($AC$3:AC26,"Quên chấm công",$S$3:S26,S26)&gt;2,"Trừ toàn bộ chuyên cần tháng do vi phạm lần 3",IF(COUNTIFS($AC$3:AC26,"Quên chấm công",$S$3:S26,S26)&gt;1,"Trừ 1/2 ngày lương",50000))))</f>
        <v/>
      </c>
      <c r="AH26" s="14" t="str">
        <f>IF(COUNTIFS($AF$3:AF26,"&gt;0",$S$3:S26,S26)&gt;3,"Trừ toàn bộ chuyên cần tháng","")</f>
        <v/>
      </c>
      <c r="AI26" s="14"/>
      <c r="AJ26" s="14"/>
    </row>
    <row r="27" spans="1:36" x14ac:dyDescent="0.25">
      <c r="A27" s="4" t="s">
        <v>18</v>
      </c>
      <c r="B27" s="1" t="s">
        <v>19</v>
      </c>
      <c r="C27" s="1" t="s">
        <v>20</v>
      </c>
      <c r="D27" s="1" t="s">
        <v>121</v>
      </c>
      <c r="E27" s="1" t="s">
        <v>22</v>
      </c>
      <c r="F27" s="1" t="s">
        <v>23</v>
      </c>
      <c r="G27" s="1" t="s">
        <v>12</v>
      </c>
      <c r="H27" s="12" t="s">
        <v>122</v>
      </c>
      <c r="I27" s="1" t="s">
        <v>24</v>
      </c>
      <c r="J27" s="1" t="s">
        <v>25</v>
      </c>
      <c r="K27" s="1" t="s">
        <v>25</v>
      </c>
      <c r="L27" s="1" t="s">
        <v>26</v>
      </c>
      <c r="M27" s="1" t="s">
        <v>25</v>
      </c>
      <c r="N27" s="1" t="s">
        <v>25</v>
      </c>
      <c r="O27" s="1" t="s">
        <v>25</v>
      </c>
      <c r="P27" s="1" t="s">
        <v>25</v>
      </c>
      <c r="Q27" s="1" t="s">
        <v>25</v>
      </c>
      <c r="R27" s="70" t="str">
        <f t="shared" si="0"/>
        <v>145925</v>
      </c>
      <c r="S27" t="str">
        <f>VLOOKUP(A27,Data_NV!$A:$C,3,0)</f>
        <v xml:space="preserve"> Nguyễn Bảo Thạch    </v>
      </c>
      <c r="T27" t="str">
        <f>VLOOKUP(A27,Data_NV!$A:$E,4,0)</f>
        <v>Vận Hành</v>
      </c>
      <c r="U27" s="67">
        <f>DATEVALUE(Table2[[#This Row],[Ngày]])</f>
        <v>45925</v>
      </c>
      <c r="V27" t="str">
        <f>VLOOKUP(A27,Data_NV!$A:$E,5,0)</f>
        <v>Đang làm việc</v>
      </c>
      <c r="W27" s="11">
        <f>VLOOKUP(A27,Data_NV!$A:$I,8,0)</f>
        <v>0.3125</v>
      </c>
      <c r="X27" s="11">
        <f>VLOOKUP(A27,Data_NV!$A:$I,9,0)</f>
        <v>0.6875</v>
      </c>
      <c r="Y27" s="11">
        <f>IFERROR(TIMEVALUE(Table2[[#This Row],[Vào]]),0)</f>
        <v>0.29663194444444446</v>
      </c>
      <c r="Z27" s="11">
        <f>IFERROR(TIMEVALUE(Table2[[#This Row],[Ra]]),0)</f>
        <v>0</v>
      </c>
      <c r="AA27" t="str">
        <f t="shared" si="3"/>
        <v>x</v>
      </c>
      <c r="AB27" s="14">
        <f t="shared" si="1"/>
        <v>0</v>
      </c>
      <c r="AC27" s="14" t="str">
        <f>IF(VLOOKUP(A27,Data_NV!$A:$I,7,0)="Không","",IF(OR(AND(Y27=0,Z27=0),AND(Y27&lt;&gt;0,Z27&lt;&gt;0)),"","Quên chấm công"))</f>
        <v>Quên chấm công</v>
      </c>
      <c r="AD27" s="14">
        <f>IF(VLOOKUP(A27,Data_NV!$A:$I,7,0)="Không",0,IF(AND(Y27=0,Z27=0),0,IF(X27&lt;=Z27,0,ROUNDDOWN((X27-Z27)*24*60,0))))</f>
        <v>990</v>
      </c>
      <c r="AE27" s="14">
        <f>IF(VLOOKUP(A27,Data_NV!$A:$I,6,0)="Không",0,IF(Z27&lt;=X27,0,ROUNDDOWN((Z27-X27)*24*60,0)))</f>
        <v>0</v>
      </c>
      <c r="AF27" s="29">
        <f t="shared" si="2"/>
        <v>0</v>
      </c>
      <c r="AG27" s="30" t="str">
        <f>IF(AC27="","",IF(COUNTIFS($AC$3:AC27,"Quên chấm công",$S$3:S27,S27)&gt;3,"Không chấm công do vi phạm quá 3 lần",IF(COUNTIFS($AC$3:AC27,"Quên chấm công",$S$3:S27,S27)&gt;2,"Trừ toàn bộ chuyên cần tháng do vi phạm lần 3",IF(COUNTIFS($AC$3:AC27,"Quên chấm công",$S$3:S27,S27)&gt;1,"Trừ 1/2 ngày lương",50000))))</f>
        <v>Trừ toàn bộ chuyên cần tháng do vi phạm lần 3</v>
      </c>
      <c r="AH27" s="14" t="str">
        <f>IF(COUNTIFS($AF$3:AF27,"&gt;0",$S$3:S27,S27)&gt;3,"Trừ toàn bộ chuyên cần tháng","")</f>
        <v/>
      </c>
      <c r="AI27" s="14"/>
      <c r="AJ27" s="14"/>
    </row>
    <row r="28" spans="1:36" x14ac:dyDescent="0.25">
      <c r="A28" s="4" t="s">
        <v>18</v>
      </c>
      <c r="B28" s="1" t="s">
        <v>19</v>
      </c>
      <c r="C28" s="1" t="s">
        <v>20</v>
      </c>
      <c r="D28" s="1" t="s">
        <v>123</v>
      </c>
      <c r="E28" s="1" t="s">
        <v>22</v>
      </c>
      <c r="F28" s="1" t="s">
        <v>23</v>
      </c>
      <c r="G28" s="1" t="s">
        <v>12</v>
      </c>
      <c r="H28" s="12" t="s">
        <v>124</v>
      </c>
      <c r="I28" s="1" t="s">
        <v>24</v>
      </c>
      <c r="J28" s="1" t="s">
        <v>25</v>
      </c>
      <c r="K28" s="1" t="s">
        <v>25</v>
      </c>
      <c r="L28" s="1" t="s">
        <v>26</v>
      </c>
      <c r="M28" s="1" t="s">
        <v>25</v>
      </c>
      <c r="N28" s="1" t="s">
        <v>25</v>
      </c>
      <c r="O28" s="1" t="s">
        <v>25</v>
      </c>
      <c r="P28" s="1" t="s">
        <v>25</v>
      </c>
      <c r="Q28" s="1" t="s">
        <v>25</v>
      </c>
      <c r="R28" s="70" t="str">
        <f t="shared" si="0"/>
        <v>145926</v>
      </c>
      <c r="S28" t="str">
        <f>VLOOKUP(A28,Data_NV!$A:$C,3,0)</f>
        <v xml:space="preserve"> Nguyễn Bảo Thạch    </v>
      </c>
      <c r="T28" t="str">
        <f>VLOOKUP(A28,Data_NV!$A:$E,4,0)</f>
        <v>Vận Hành</v>
      </c>
      <c r="U28" s="67">
        <f>DATEVALUE(Table2[[#This Row],[Ngày]])</f>
        <v>45926</v>
      </c>
      <c r="V28" t="str">
        <f>VLOOKUP(A28,Data_NV!$A:$E,5,0)</f>
        <v>Đang làm việc</v>
      </c>
      <c r="W28" s="11">
        <f>VLOOKUP(A28,Data_NV!$A:$I,8,0)</f>
        <v>0.3125</v>
      </c>
      <c r="X28" s="11">
        <f>VLOOKUP(A28,Data_NV!$A:$I,9,0)</f>
        <v>0.6875</v>
      </c>
      <c r="Y28" s="11">
        <f>IFERROR(TIMEVALUE(Table2[[#This Row],[Vào]]),0)</f>
        <v>0.3056712962962963</v>
      </c>
      <c r="Z28" s="11">
        <f>IFERROR(TIMEVALUE(Table2[[#This Row],[Ra]]),0)</f>
        <v>0</v>
      </c>
      <c r="AA28" t="str">
        <f t="shared" si="3"/>
        <v/>
      </c>
      <c r="AB28" s="14">
        <f t="shared" si="1"/>
        <v>0</v>
      </c>
      <c r="AC28" s="14" t="str">
        <f>IF(VLOOKUP(A28,Data_NV!$A:$I,7,0)="Không","",IF(OR(AND(Y28=0,Z28=0),AND(Y28&lt;&gt;0,Z28&lt;&gt;0)),"","Quên chấm công"))</f>
        <v>Quên chấm công</v>
      </c>
      <c r="AD28" s="14">
        <f>IF(VLOOKUP(A28,Data_NV!$A:$I,7,0)="Không",0,IF(AND(Y28=0,Z28=0),0,IF(X28&lt;=Z28,0,ROUNDDOWN((X28-Z28)*24*60,0))))</f>
        <v>990</v>
      </c>
      <c r="AE28" s="14">
        <f>IF(VLOOKUP(A28,Data_NV!$A:$I,6,0)="Không",0,IF(Z28&lt;=X28,0,ROUNDDOWN((Z28-X28)*24*60,0)))</f>
        <v>0</v>
      </c>
      <c r="AF28" s="29">
        <f t="shared" si="2"/>
        <v>0</v>
      </c>
      <c r="AG28" s="30" t="str">
        <f>IF(AC28="","",IF(COUNTIFS($AC$3:AC28,"Quên chấm công",$S$3:S28,S28)&gt;3,"Không chấm công do vi phạm quá 3 lần",IF(COUNTIFS($AC$3:AC28,"Quên chấm công",$S$3:S28,S28)&gt;2,"Trừ toàn bộ chuyên cần tháng do vi phạm lần 3",IF(COUNTIFS($AC$3:AC28,"Quên chấm công",$S$3:S28,S28)&gt;1,"Trừ 1/2 ngày lương",50000))))</f>
        <v>Không chấm công do vi phạm quá 3 lần</v>
      </c>
      <c r="AH28" s="14" t="str">
        <f>IF(COUNTIFS($AF$3:AF28,"&gt;0",$S$3:S28,S28)&gt;3,"Trừ toàn bộ chuyên cần tháng","")</f>
        <v/>
      </c>
      <c r="AI28" s="14"/>
      <c r="AJ28" s="14"/>
    </row>
    <row r="29" spans="1:36" x14ac:dyDescent="0.25">
      <c r="A29" s="4" t="s">
        <v>18</v>
      </c>
      <c r="B29" s="1" t="s">
        <v>19</v>
      </c>
      <c r="C29" s="1" t="s">
        <v>20</v>
      </c>
      <c r="D29" s="1" t="s">
        <v>125</v>
      </c>
      <c r="E29" s="1" t="s">
        <v>22</v>
      </c>
      <c r="F29" s="1" t="s">
        <v>23</v>
      </c>
      <c r="G29" s="1" t="s">
        <v>29</v>
      </c>
      <c r="H29" s="12" t="s">
        <v>126</v>
      </c>
      <c r="I29" s="1" t="s">
        <v>127</v>
      </c>
      <c r="J29" s="1" t="s">
        <v>25</v>
      </c>
      <c r="K29" s="1" t="s">
        <v>128</v>
      </c>
      <c r="L29" s="1" t="s">
        <v>25</v>
      </c>
      <c r="M29" s="1" t="s">
        <v>26</v>
      </c>
      <c r="N29" s="1" t="s">
        <v>25</v>
      </c>
      <c r="O29" s="1" t="s">
        <v>129</v>
      </c>
      <c r="P29" s="1" t="s">
        <v>25</v>
      </c>
      <c r="Q29" s="1" t="s">
        <v>25</v>
      </c>
      <c r="R29" s="70" t="str">
        <f t="shared" si="0"/>
        <v>145927</v>
      </c>
      <c r="S29" t="str">
        <f>VLOOKUP(A29,Data_NV!$A:$C,3,0)</f>
        <v xml:space="preserve"> Nguyễn Bảo Thạch    </v>
      </c>
      <c r="T29" t="str">
        <f>VLOOKUP(A29,Data_NV!$A:$E,4,0)</f>
        <v>Vận Hành</v>
      </c>
      <c r="U29" s="67">
        <f>DATEVALUE(Table2[[#This Row],[Ngày]])</f>
        <v>45927</v>
      </c>
      <c r="V29" t="str">
        <f>VLOOKUP(A29,Data_NV!$A:$E,5,0)</f>
        <v>Đang làm việc</v>
      </c>
      <c r="W29" s="11">
        <f>VLOOKUP(A29,Data_NV!$A:$I,8,0)</f>
        <v>0.3125</v>
      </c>
      <c r="X29" s="11">
        <f>VLOOKUP(A29,Data_NV!$A:$I,9,0)</f>
        <v>0.6875</v>
      </c>
      <c r="Y29" s="11">
        <f>IFERROR(TIMEVALUE(Table2[[#This Row],[Vào]]),0)</f>
        <v>0.31090277777777775</v>
      </c>
      <c r="Z29" s="11">
        <f>IFERROR(TIMEVALUE(Table2[[#This Row],[Ra]]),0)</f>
        <v>0.73615740740740743</v>
      </c>
      <c r="AA29" t="str">
        <f t="shared" si="3"/>
        <v>x</v>
      </c>
      <c r="AB29" s="14">
        <f t="shared" si="1"/>
        <v>0</v>
      </c>
      <c r="AC29" s="14" t="str">
        <f>IF(VLOOKUP(A29,Data_NV!$A:$I,7,0)="Không","",IF(OR(AND(Y29=0,Z29=0),AND(Y29&lt;&gt;0,Z29&lt;&gt;0)),"","Quên chấm công"))</f>
        <v/>
      </c>
      <c r="AD29" s="14">
        <f>IF(VLOOKUP(A29,Data_NV!$A:$I,7,0)="Không",0,IF(AND(Y29=0,Z29=0),0,IF(X29&lt;=Z29,0,ROUNDDOWN((X29-Z29)*24*60,0))))</f>
        <v>0</v>
      </c>
      <c r="AE29" s="14">
        <f>IF(VLOOKUP(A29,Data_NV!$A:$I,6,0)="Không",0,IF(Z29&lt;=X29,0,ROUNDDOWN((Z29-X29)*24*60,0)))</f>
        <v>0</v>
      </c>
      <c r="AF29" s="29">
        <f t="shared" si="2"/>
        <v>0</v>
      </c>
      <c r="AG29" s="30" t="str">
        <f>IF(AC29="","",IF(COUNTIFS($AC$3:AC29,"Quên chấm công",$S$3:S29,S29)&gt;3,"Không chấm công do vi phạm quá 3 lần",IF(COUNTIFS($AC$3:AC29,"Quên chấm công",$S$3:S29,S29)&gt;2,"Trừ toàn bộ chuyên cần tháng do vi phạm lần 3",IF(COUNTIFS($AC$3:AC29,"Quên chấm công",$S$3:S29,S29)&gt;1,"Trừ 1/2 ngày lương",50000))))</f>
        <v/>
      </c>
      <c r="AH29" s="14" t="str">
        <f>IF(COUNTIFS($AF$3:AF29,"&gt;0",$S$3:S29,S29)&gt;3,"Trừ toàn bộ chuyên cần tháng","")</f>
        <v/>
      </c>
      <c r="AI29" s="14"/>
      <c r="AJ29" s="14"/>
    </row>
    <row r="30" spans="1:36" x14ac:dyDescent="0.25">
      <c r="A30" s="4" t="s">
        <v>18</v>
      </c>
      <c r="B30" s="1" t="s">
        <v>19</v>
      </c>
      <c r="C30" s="1" t="s">
        <v>20</v>
      </c>
      <c r="D30" s="1" t="s">
        <v>130</v>
      </c>
      <c r="E30" s="1" t="s">
        <v>22</v>
      </c>
      <c r="F30" s="1" t="s">
        <v>23</v>
      </c>
      <c r="G30" s="1" t="s">
        <v>12</v>
      </c>
      <c r="H30" s="12" t="s">
        <v>24</v>
      </c>
      <c r="I30" s="1" t="s">
        <v>24</v>
      </c>
      <c r="J30" s="1" t="s">
        <v>25</v>
      </c>
      <c r="K30" s="1" t="s">
        <v>25</v>
      </c>
      <c r="L30" s="1" t="s">
        <v>26</v>
      </c>
      <c r="M30" s="1" t="s">
        <v>25</v>
      </c>
      <c r="N30" s="1" t="s">
        <v>25</v>
      </c>
      <c r="O30" s="1" t="s">
        <v>25</v>
      </c>
      <c r="P30" s="1" t="s">
        <v>25</v>
      </c>
      <c r="Q30" s="1" t="s">
        <v>25</v>
      </c>
      <c r="R30" s="70" t="str">
        <f t="shared" si="0"/>
        <v>145928</v>
      </c>
      <c r="S30" t="str">
        <f>VLOOKUP(A30,Data_NV!$A:$C,3,0)</f>
        <v xml:space="preserve"> Nguyễn Bảo Thạch    </v>
      </c>
      <c r="T30" t="str">
        <f>VLOOKUP(A30,Data_NV!$A:$E,4,0)</f>
        <v>Vận Hành</v>
      </c>
      <c r="U30" s="67">
        <f>DATEVALUE(Table2[[#This Row],[Ngày]])</f>
        <v>45928</v>
      </c>
      <c r="V30" t="str">
        <f>VLOOKUP(A30,Data_NV!$A:$E,5,0)</f>
        <v>Đang làm việc</v>
      </c>
      <c r="W30" s="11">
        <f>VLOOKUP(A30,Data_NV!$A:$I,8,0)</f>
        <v>0.3125</v>
      </c>
      <c r="X30" s="11">
        <f>VLOOKUP(A30,Data_NV!$A:$I,9,0)</f>
        <v>0.6875</v>
      </c>
      <c r="Y30" s="11">
        <f>IFERROR(TIMEVALUE(Table2[[#This Row],[Vào]]),0)</f>
        <v>0</v>
      </c>
      <c r="Z30" s="11">
        <f>IFERROR(TIMEVALUE(Table2[[#This Row],[Ra]]),0)</f>
        <v>0</v>
      </c>
      <c r="AA30" t="str">
        <f t="shared" si="3"/>
        <v/>
      </c>
      <c r="AB30" s="14">
        <f t="shared" si="1"/>
        <v>0</v>
      </c>
      <c r="AC30" s="14" t="str">
        <f>IF(VLOOKUP(A30,Data_NV!$A:$I,7,0)="Không","",IF(OR(AND(Y30=0,Z30=0),AND(Y30&lt;&gt;0,Z30&lt;&gt;0)),"","Quên chấm công"))</f>
        <v/>
      </c>
      <c r="AD30" s="14">
        <f>IF(VLOOKUP(A30,Data_NV!$A:$I,7,0)="Không",0,IF(AND(Y30=0,Z30=0),0,IF(X30&lt;=Z30,0,ROUNDDOWN((X30-Z30)*24*60,0))))</f>
        <v>0</v>
      </c>
      <c r="AE30" s="14">
        <f>IF(VLOOKUP(A30,Data_NV!$A:$I,6,0)="Không",0,IF(Z30&lt;=X30,0,ROUNDDOWN((Z30-X30)*24*60,0)))</f>
        <v>0</v>
      </c>
      <c r="AF30" s="29">
        <f t="shared" si="2"/>
        <v>0</v>
      </c>
      <c r="AG30" s="30" t="str">
        <f>IF(AC30="","",IF(COUNTIFS($AC$3:AC30,"Quên chấm công",$S$3:S30,S30)&gt;3,"Không chấm công do vi phạm quá 3 lần",IF(COUNTIFS($AC$3:AC30,"Quên chấm công",$S$3:S30,S30)&gt;2,"Trừ toàn bộ chuyên cần tháng do vi phạm lần 3",IF(COUNTIFS($AC$3:AC30,"Quên chấm công",$S$3:S30,S30)&gt;1,"Trừ 1/2 ngày lương",50000))))</f>
        <v/>
      </c>
      <c r="AH30" s="14" t="str">
        <f>IF(COUNTIFS($AF$3:AF30,"&gt;0",$S$3:S30,S30)&gt;3,"Trừ toàn bộ chuyên cần tháng","")</f>
        <v/>
      </c>
      <c r="AI30" s="14"/>
      <c r="AJ30" s="14"/>
    </row>
    <row r="31" spans="1:36" x14ac:dyDescent="0.25">
      <c r="A31" s="4" t="s">
        <v>18</v>
      </c>
      <c r="B31" s="1" t="s">
        <v>19</v>
      </c>
      <c r="C31" s="1" t="s">
        <v>20</v>
      </c>
      <c r="D31" s="1" t="s">
        <v>131</v>
      </c>
      <c r="E31" s="1" t="s">
        <v>22</v>
      </c>
      <c r="F31" s="1" t="s">
        <v>23</v>
      </c>
      <c r="G31" s="1" t="s">
        <v>29</v>
      </c>
      <c r="H31" s="12" t="s">
        <v>132</v>
      </c>
      <c r="I31" s="1" t="s">
        <v>133</v>
      </c>
      <c r="J31" s="1" t="s">
        <v>25</v>
      </c>
      <c r="K31" s="1" t="s">
        <v>134</v>
      </c>
      <c r="L31" s="1" t="s">
        <v>25</v>
      </c>
      <c r="M31" s="1" t="s">
        <v>26</v>
      </c>
      <c r="N31" s="1" t="s">
        <v>25</v>
      </c>
      <c r="O31" s="1" t="s">
        <v>135</v>
      </c>
      <c r="P31" s="1" t="s">
        <v>25</v>
      </c>
      <c r="Q31" s="1" t="s">
        <v>25</v>
      </c>
      <c r="R31" s="70" t="str">
        <f t="shared" si="0"/>
        <v>145929</v>
      </c>
      <c r="S31" t="str">
        <f>VLOOKUP(A31,Data_NV!$A:$C,3,0)</f>
        <v xml:space="preserve"> Nguyễn Bảo Thạch    </v>
      </c>
      <c r="T31" t="str">
        <f>VLOOKUP(A31,Data_NV!$A:$E,4,0)</f>
        <v>Vận Hành</v>
      </c>
      <c r="U31" s="67">
        <f>DATEVALUE(Table2[[#This Row],[Ngày]])</f>
        <v>45929</v>
      </c>
      <c r="V31" t="str">
        <f>VLOOKUP(A31,Data_NV!$A:$E,5,0)</f>
        <v>Đang làm việc</v>
      </c>
      <c r="W31" s="11">
        <f>VLOOKUP(A31,Data_NV!$A:$I,8,0)</f>
        <v>0.3125</v>
      </c>
      <c r="X31" s="11">
        <f>VLOOKUP(A31,Data_NV!$A:$I,9,0)</f>
        <v>0.6875</v>
      </c>
      <c r="Y31" s="11">
        <f>IFERROR(TIMEVALUE(Table2[[#This Row],[Vào]]),0)</f>
        <v>0.30114583333333333</v>
      </c>
      <c r="Z31" s="11">
        <f>IFERROR(TIMEVALUE(Table2[[#This Row],[Ra]]),0)</f>
        <v>0.7756481481481482</v>
      </c>
      <c r="AA31" t="str">
        <f t="shared" si="3"/>
        <v>x</v>
      </c>
      <c r="AB31" s="14">
        <f t="shared" si="1"/>
        <v>0</v>
      </c>
      <c r="AC31" s="14" t="str">
        <f>IF(VLOOKUP(A31,Data_NV!$A:$I,7,0)="Không","",IF(OR(AND(Y31=0,Z31=0),AND(Y31&lt;&gt;0,Z31&lt;&gt;0)),"","Quên chấm công"))</f>
        <v/>
      </c>
      <c r="AD31" s="14">
        <f>IF(VLOOKUP(A31,Data_NV!$A:$I,7,0)="Không",0,IF(AND(Y31=0,Z31=0),0,IF(X31&lt;=Z31,0,ROUNDDOWN((X31-Z31)*24*60,0))))</f>
        <v>0</v>
      </c>
      <c r="AE31" s="14">
        <f>IF(VLOOKUP(A31,Data_NV!$A:$I,6,0)="Không",0,IF(Z31&lt;=X31,0,ROUNDDOWN((Z31-X31)*24*60,0)))</f>
        <v>0</v>
      </c>
      <c r="AF31" s="29">
        <f t="shared" si="2"/>
        <v>0</v>
      </c>
      <c r="AG31" s="30" t="str">
        <f>IF(AC31="","",IF(COUNTIFS($AC$3:AC31,"Quên chấm công",$S$3:S31,S31)&gt;3,"Không chấm công do vi phạm quá 3 lần",IF(COUNTIFS($AC$3:AC31,"Quên chấm công",$S$3:S31,S31)&gt;2,"Trừ toàn bộ chuyên cần tháng do vi phạm lần 3",IF(COUNTIFS($AC$3:AC31,"Quên chấm công",$S$3:S31,S31)&gt;1,"Trừ 1/2 ngày lương",50000))))</f>
        <v/>
      </c>
      <c r="AH31" s="14" t="str">
        <f>IF(COUNTIFS($AF$3:AF31,"&gt;0",$S$3:S31,S31)&gt;3,"Trừ toàn bộ chuyên cần tháng","")</f>
        <v/>
      </c>
      <c r="AI31" s="14"/>
      <c r="AJ31" s="14"/>
    </row>
    <row r="32" spans="1:36" x14ac:dyDescent="0.25">
      <c r="A32" s="4" t="s">
        <v>18</v>
      </c>
      <c r="B32" s="1" t="s">
        <v>19</v>
      </c>
      <c r="C32" s="1" t="s">
        <v>20</v>
      </c>
      <c r="D32" s="1" t="s">
        <v>136</v>
      </c>
      <c r="E32" s="1" t="s">
        <v>22</v>
      </c>
      <c r="F32" s="1" t="s">
        <v>23</v>
      </c>
      <c r="G32" s="1" t="s">
        <v>29</v>
      </c>
      <c r="H32" s="12" t="s">
        <v>137</v>
      </c>
      <c r="I32" s="1" t="s">
        <v>138</v>
      </c>
      <c r="J32" s="1" t="s">
        <v>25</v>
      </c>
      <c r="K32" s="1" t="s">
        <v>139</v>
      </c>
      <c r="L32" s="1" t="s">
        <v>25</v>
      </c>
      <c r="M32" s="1" t="s">
        <v>26</v>
      </c>
      <c r="N32" s="1" t="s">
        <v>25</v>
      </c>
      <c r="O32" s="1" t="s">
        <v>140</v>
      </c>
      <c r="P32" s="1" t="s">
        <v>25</v>
      </c>
      <c r="Q32" s="1" t="s">
        <v>25</v>
      </c>
      <c r="R32" s="70" t="str">
        <f t="shared" si="0"/>
        <v>145930</v>
      </c>
      <c r="S32" t="str">
        <f>VLOOKUP(A32,Data_NV!$A:$C,3,0)</f>
        <v xml:space="preserve"> Nguyễn Bảo Thạch    </v>
      </c>
      <c r="T32" t="str">
        <f>VLOOKUP(A32,Data_NV!$A:$E,4,0)</f>
        <v>Vận Hành</v>
      </c>
      <c r="U32" s="67">
        <f>DATEVALUE(Table2[[#This Row],[Ngày]])</f>
        <v>45930</v>
      </c>
      <c r="V32" t="str">
        <f>VLOOKUP(A32,Data_NV!$A:$E,5,0)</f>
        <v>Đang làm việc</v>
      </c>
      <c r="W32" s="11">
        <f>VLOOKUP(A32,Data_NV!$A:$I,8,0)</f>
        <v>0.3125</v>
      </c>
      <c r="X32" s="11">
        <f>VLOOKUP(A32,Data_NV!$A:$I,9,0)</f>
        <v>0.6875</v>
      </c>
      <c r="Y32" s="11">
        <f>IFERROR(TIMEVALUE(Table2[[#This Row],[Vào]]),0)</f>
        <v>0.30518518518518517</v>
      </c>
      <c r="Z32" s="11">
        <f>IFERROR(TIMEVALUE(Table2[[#This Row],[Ra]]),0)</f>
        <v>0.73327546296296298</v>
      </c>
      <c r="AA32" t="str">
        <f t="shared" si="3"/>
        <v>x</v>
      </c>
      <c r="AB32" s="14">
        <f t="shared" si="1"/>
        <v>0</v>
      </c>
      <c r="AC32" s="14" t="str">
        <f>IF(VLOOKUP(A32,Data_NV!$A:$I,7,0)="Không","",IF(OR(AND(Y32=0,Z32=0),AND(Y32&lt;&gt;0,Z32&lt;&gt;0)),"","Quên chấm công"))</f>
        <v/>
      </c>
      <c r="AD32" s="14">
        <f>IF(VLOOKUP(A32,Data_NV!$A:$I,7,0)="Không",0,IF(AND(Y32=0,Z32=0),0,IF(X32&lt;=Z32,0,ROUNDDOWN((X32-Z32)*24*60,0))))</f>
        <v>0</v>
      </c>
      <c r="AE32" s="14">
        <f>IF(VLOOKUP(A32,Data_NV!$A:$I,6,0)="Không",0,IF(Z32&lt;=X32,0,ROUNDDOWN((Z32-X32)*24*60,0)))</f>
        <v>0</v>
      </c>
      <c r="AF32" s="29">
        <f t="shared" si="2"/>
        <v>0</v>
      </c>
      <c r="AG32" s="30" t="str">
        <f>IF(AC32="","",IF(COUNTIFS($AC$3:AC32,"Quên chấm công",$S$3:S32,S32)&gt;3,"Không chấm công do vi phạm quá 3 lần",IF(COUNTIFS($AC$3:AC32,"Quên chấm công",$S$3:S32,S32)&gt;2,"Trừ toàn bộ chuyên cần tháng do vi phạm lần 3",IF(COUNTIFS($AC$3:AC32,"Quên chấm công",$S$3:S32,S32)&gt;1,"Trừ 1/2 ngày lương",50000))))</f>
        <v/>
      </c>
      <c r="AH32" s="14" t="str">
        <f>IF(COUNTIFS($AF$3:AF32,"&gt;0",$S$3:S32,S32)&gt;3,"Trừ toàn bộ chuyên cần tháng","")</f>
        <v/>
      </c>
      <c r="AI32" s="14"/>
      <c r="AJ32" s="14"/>
    </row>
    <row r="33" spans="1:36" x14ac:dyDescent="0.25">
      <c r="A33" s="4" t="s">
        <v>141</v>
      </c>
      <c r="B33" s="1" t="s">
        <v>142</v>
      </c>
      <c r="C33" s="1" t="s">
        <v>20</v>
      </c>
      <c r="D33" s="1" t="s">
        <v>21</v>
      </c>
      <c r="E33" s="1" t="s">
        <v>22</v>
      </c>
      <c r="F33" s="1" t="s">
        <v>23</v>
      </c>
      <c r="G33" s="1" t="s">
        <v>12</v>
      </c>
      <c r="H33" s="12" t="s">
        <v>24</v>
      </c>
      <c r="I33" s="1" t="s">
        <v>24</v>
      </c>
      <c r="J33" s="1" t="s">
        <v>25</v>
      </c>
      <c r="K33" s="1" t="s">
        <v>25</v>
      </c>
      <c r="L33" s="1" t="s">
        <v>26</v>
      </c>
      <c r="M33" s="1" t="s">
        <v>25</v>
      </c>
      <c r="N33" s="1" t="s">
        <v>25</v>
      </c>
      <c r="O33" s="1" t="s">
        <v>25</v>
      </c>
      <c r="P33" s="1" t="s">
        <v>25</v>
      </c>
      <c r="Q33" s="1" t="s">
        <v>25</v>
      </c>
      <c r="R33" s="70" t="str">
        <f t="shared" si="0"/>
        <v>1045901</v>
      </c>
      <c r="S33" t="str">
        <f>VLOOKUP(A33,Data_NV!$A:$C,3,0)</f>
        <v xml:space="preserve"> Lê Kim Đãng   </v>
      </c>
      <c r="T33" t="str">
        <f>VLOOKUP(A33,Data_NV!$A:$E,4,0)</f>
        <v>Vận Hành</v>
      </c>
      <c r="U33" s="67">
        <f>DATEVALUE(Table2[[#This Row],[Ngày]])</f>
        <v>45901</v>
      </c>
      <c r="V33" t="str">
        <f>VLOOKUP(A33,Data_NV!$A:$E,5,0)</f>
        <v>Đang làm việc</v>
      </c>
      <c r="W33" s="11">
        <f>VLOOKUP(A33,Data_NV!$A:$I,8,0)</f>
        <v>0.3125</v>
      </c>
      <c r="X33" s="11">
        <f>VLOOKUP(A33,Data_NV!$A:$I,9,0)</f>
        <v>0.6875</v>
      </c>
      <c r="Y33" s="11">
        <f>IFERROR(TIMEVALUE(Table2[[#This Row],[Vào]]),0)</f>
        <v>0</v>
      </c>
      <c r="Z33" s="11">
        <f>IFERROR(TIMEVALUE(Table2[[#This Row],[Ra]]),0)</f>
        <v>0</v>
      </c>
      <c r="AA33" s="10" t="s">
        <v>771</v>
      </c>
      <c r="AB33" s="14">
        <f t="shared" si="1"/>
        <v>0</v>
      </c>
      <c r="AC33" s="14" t="str">
        <f>IF(VLOOKUP(A33,Data_NV!$A:$I,7,0)="Không","",IF(OR(AND(Y33=0,Z33=0),AND(Y33&lt;&gt;0,Z33&lt;&gt;0)),"","Quên chấm công"))</f>
        <v/>
      </c>
      <c r="AD33" s="14">
        <f>IF(VLOOKUP(A33,Data_NV!$A:$I,7,0)="Không",0,IF(AND(Y33=0,Z33=0),0,IF(X33&lt;=Z33,0,ROUNDDOWN((X33-Z33)*24*60,0))))</f>
        <v>0</v>
      </c>
      <c r="AE33" s="14">
        <f>IF(VLOOKUP(A33,Data_NV!$A:$I,6,0)="Không",0,IF(Z33&lt;=X33,0,ROUNDDOWN((Z33-X33)*24*60,0)))</f>
        <v>0</v>
      </c>
      <c r="AF33" s="29">
        <f t="shared" si="2"/>
        <v>0</v>
      </c>
      <c r="AG33" s="30" t="str">
        <f>IF(AC33="","",IF(COUNTIFS($AC$3:AC33,"Quên chấm công",$S$3:S33,S33)&gt;3,"Không chấm công do vi phạm quá 3 lần",IF(COUNTIFS($AC$3:AC33,"Quên chấm công",$S$3:S33,S33)&gt;2,"Trừ toàn bộ chuyên cần tháng do vi phạm lần 3",IF(COUNTIFS($AC$3:AC33,"Quên chấm công",$S$3:S33,S33)&gt;1,"Trừ 1/2 ngày lương",50000))))</f>
        <v/>
      </c>
      <c r="AH33" s="14" t="str">
        <f>IF(COUNTIFS($AF$3:AF33,"&gt;0",$S$3:S33,S33)&gt;3,"Trừ toàn bộ chuyên cần tháng","")</f>
        <v/>
      </c>
      <c r="AI33" s="14"/>
      <c r="AJ33" s="14"/>
    </row>
    <row r="34" spans="1:36" x14ac:dyDescent="0.25">
      <c r="A34" s="4" t="s">
        <v>141</v>
      </c>
      <c r="B34" s="1" t="s">
        <v>142</v>
      </c>
      <c r="C34" s="1" t="s">
        <v>20</v>
      </c>
      <c r="D34" s="1" t="s">
        <v>27</v>
      </c>
      <c r="E34" s="1" t="s">
        <v>22</v>
      </c>
      <c r="F34" s="1" t="s">
        <v>23</v>
      </c>
      <c r="G34" s="1" t="s">
        <v>12</v>
      </c>
      <c r="H34" s="12" t="s">
        <v>24</v>
      </c>
      <c r="I34" s="1" t="s">
        <v>24</v>
      </c>
      <c r="J34" s="1" t="s">
        <v>25</v>
      </c>
      <c r="K34" s="1" t="s">
        <v>25</v>
      </c>
      <c r="L34" s="1" t="s">
        <v>26</v>
      </c>
      <c r="M34" s="1" t="s">
        <v>25</v>
      </c>
      <c r="N34" s="1" t="s">
        <v>25</v>
      </c>
      <c r="O34" s="1" t="s">
        <v>25</v>
      </c>
      <c r="P34" s="1" t="s">
        <v>25</v>
      </c>
      <c r="Q34" s="1" t="s">
        <v>25</v>
      </c>
      <c r="R34" s="70" t="str">
        <f t="shared" si="0"/>
        <v>1045902</v>
      </c>
      <c r="S34" t="str">
        <f>VLOOKUP(A34,Data_NV!$A:$C,3,0)</f>
        <v xml:space="preserve"> Lê Kim Đãng   </v>
      </c>
      <c r="T34" t="str">
        <f>VLOOKUP(A34,Data_NV!$A:$E,4,0)</f>
        <v>Vận Hành</v>
      </c>
      <c r="U34" s="67">
        <f>DATEVALUE(Table2[[#This Row],[Ngày]])</f>
        <v>45902</v>
      </c>
      <c r="V34" t="str">
        <f>VLOOKUP(A34,Data_NV!$A:$E,5,0)</f>
        <v>Đang làm việc</v>
      </c>
      <c r="W34" s="11">
        <f>VLOOKUP(A34,Data_NV!$A:$I,8,0)</f>
        <v>0.3125</v>
      </c>
      <c r="X34" s="11">
        <f>VLOOKUP(A34,Data_NV!$A:$I,9,0)</f>
        <v>0.6875</v>
      </c>
      <c r="Y34" s="11">
        <f>IFERROR(TIMEVALUE(Table2[[#This Row],[Vào]]),0)</f>
        <v>0</v>
      </c>
      <c r="Z34" s="11">
        <f>IFERROR(TIMEVALUE(Table2[[#This Row],[Ra]]),0)</f>
        <v>0</v>
      </c>
      <c r="AA34" s="10" t="s">
        <v>771</v>
      </c>
      <c r="AB34" s="14">
        <f t="shared" si="1"/>
        <v>0</v>
      </c>
      <c r="AC34" s="14" t="str">
        <f>IF(VLOOKUP(A34,Data_NV!$A:$I,7,0)="Không","",IF(OR(AND(Y34=0,Z34=0),AND(Y34&lt;&gt;0,Z34&lt;&gt;0)),"","Quên chấm công"))</f>
        <v/>
      </c>
      <c r="AD34" s="14">
        <f>IF(VLOOKUP(A34,Data_NV!$A:$I,7,0)="Không",0,IF(AND(Y34=0,Z34=0),0,IF(X34&lt;=Z34,0,ROUNDDOWN((X34-Z34)*24*60,0))))</f>
        <v>0</v>
      </c>
      <c r="AE34" s="14">
        <f>IF(VLOOKUP(A34,Data_NV!$A:$I,6,0)="Không",0,IF(Z34&lt;=X34,0,ROUNDDOWN((Z34-X34)*24*60,0)))</f>
        <v>0</v>
      </c>
      <c r="AF34" s="29">
        <f t="shared" si="2"/>
        <v>0</v>
      </c>
      <c r="AG34" s="30" t="str">
        <f>IF(AC34="","",IF(COUNTIFS($AC$3:AC34,"Quên chấm công",$S$3:S34,S34)&gt;3,"Không chấm công do vi phạm quá 3 lần",IF(COUNTIFS($AC$3:AC34,"Quên chấm công",$S$3:S34,S34)&gt;2,"Trừ toàn bộ chuyên cần tháng do vi phạm lần 3",IF(COUNTIFS($AC$3:AC34,"Quên chấm công",$S$3:S34,S34)&gt;1,"Trừ 1/2 ngày lương",50000))))</f>
        <v/>
      </c>
      <c r="AH34" s="14" t="str">
        <f>IF(COUNTIFS($AF$3:AF34,"&gt;0",$S$3:S34,S34)&gt;3,"Trừ toàn bộ chuyên cần tháng","")</f>
        <v/>
      </c>
      <c r="AI34" s="14"/>
      <c r="AJ34" s="14"/>
    </row>
    <row r="35" spans="1:36" x14ac:dyDescent="0.25">
      <c r="A35" s="4" t="s">
        <v>141</v>
      </c>
      <c r="B35" s="1" t="s">
        <v>142</v>
      </c>
      <c r="C35" s="1" t="s">
        <v>20</v>
      </c>
      <c r="D35" s="1" t="s">
        <v>28</v>
      </c>
      <c r="E35" s="1" t="s">
        <v>22</v>
      </c>
      <c r="F35" s="1" t="s">
        <v>23</v>
      </c>
      <c r="G35" s="1" t="s">
        <v>12</v>
      </c>
      <c r="H35" s="12" t="s">
        <v>143</v>
      </c>
      <c r="I35" s="1" t="s">
        <v>24</v>
      </c>
      <c r="J35" s="1" t="s">
        <v>25</v>
      </c>
      <c r="K35" s="1" t="s">
        <v>25</v>
      </c>
      <c r="L35" s="1" t="s">
        <v>26</v>
      </c>
      <c r="M35" s="1" t="s">
        <v>25</v>
      </c>
      <c r="N35" s="1" t="s">
        <v>25</v>
      </c>
      <c r="O35" s="1" t="s">
        <v>25</v>
      </c>
      <c r="P35" s="1" t="s">
        <v>25</v>
      </c>
      <c r="Q35" s="1" t="s">
        <v>25</v>
      </c>
      <c r="R35" s="70" t="str">
        <f t="shared" si="0"/>
        <v>1045903</v>
      </c>
      <c r="S35" t="str">
        <f>VLOOKUP(A35,Data_NV!$A:$C,3,0)</f>
        <v xml:space="preserve"> Lê Kim Đãng   </v>
      </c>
      <c r="T35" t="str">
        <f>VLOOKUP(A35,Data_NV!$A:$E,4,0)</f>
        <v>Vận Hành</v>
      </c>
      <c r="U35" s="67">
        <f>DATEVALUE(Table2[[#This Row],[Ngày]])</f>
        <v>45903</v>
      </c>
      <c r="V35" t="str">
        <f>VLOOKUP(A35,Data_NV!$A:$E,5,0)</f>
        <v>Đang làm việc</v>
      </c>
      <c r="W35" s="11">
        <f>VLOOKUP(A35,Data_NV!$A:$I,8,0)</f>
        <v>0.3125</v>
      </c>
      <c r="X35" s="11">
        <f>VLOOKUP(A35,Data_NV!$A:$I,9,0)</f>
        <v>0.6875</v>
      </c>
      <c r="Y35" s="11">
        <f>IFERROR(TIMEVALUE(Table2[[#This Row],[Vào]]),0)</f>
        <v>0.27721064814814816</v>
      </c>
      <c r="Z35" s="11">
        <f>IFERROR(TIMEVALUE(Table2[[#This Row],[Ra]]),0)</f>
        <v>0</v>
      </c>
      <c r="AA35" t="str">
        <f t="shared" si="3"/>
        <v>x</v>
      </c>
      <c r="AB35" s="14">
        <f t="shared" si="1"/>
        <v>0</v>
      </c>
      <c r="AC35" s="14" t="str">
        <f>IF(VLOOKUP(A35,Data_NV!$A:$I,7,0)="Không","",IF(OR(AND(Y35=0,Z35=0),AND(Y35&lt;&gt;0,Z35&lt;&gt;0)),"","Quên chấm công"))</f>
        <v/>
      </c>
      <c r="AD35" s="14">
        <f>IF(VLOOKUP(A35,Data_NV!$A:$I,7,0)="Không",0,IF(AND(Y35=0,Z35=0),0,IF(X35&lt;=Z35,0,ROUNDDOWN((X35-Z35)*24*60,0))))</f>
        <v>0</v>
      </c>
      <c r="AE35" s="14">
        <f>IF(VLOOKUP(A35,Data_NV!$A:$I,6,0)="Không",0,IF(Z35&lt;=X35,0,ROUNDDOWN((Z35-X35)*24*60,0)))</f>
        <v>0</v>
      </c>
      <c r="AF35" s="29">
        <f t="shared" si="2"/>
        <v>0</v>
      </c>
      <c r="AG35" s="30" t="str">
        <f>IF(AC35="","",IF(COUNTIFS($AC$3:AC35,"Quên chấm công",$S$3:S35,S35)&gt;3,"Không chấm công do vi phạm quá 3 lần",IF(COUNTIFS($AC$3:AC35,"Quên chấm công",$S$3:S35,S35)&gt;2,"Trừ toàn bộ chuyên cần tháng do vi phạm lần 3",IF(COUNTIFS($AC$3:AC35,"Quên chấm công",$S$3:S35,S35)&gt;1,"Trừ 1/2 ngày lương",50000))))</f>
        <v/>
      </c>
      <c r="AH35" s="14" t="str">
        <f>IF(COUNTIFS($AF$3:AF35,"&gt;0",$S$3:S35,S35)&gt;3,"Trừ toàn bộ chuyên cần tháng","")</f>
        <v/>
      </c>
      <c r="AI35" s="14"/>
      <c r="AJ35" s="14"/>
    </row>
    <row r="36" spans="1:36" x14ac:dyDescent="0.25">
      <c r="A36" s="4" t="s">
        <v>141</v>
      </c>
      <c r="B36" s="1" t="s">
        <v>142</v>
      </c>
      <c r="C36" s="1" t="s">
        <v>20</v>
      </c>
      <c r="D36" s="1" t="s">
        <v>35</v>
      </c>
      <c r="E36" s="1" t="s">
        <v>22</v>
      </c>
      <c r="F36" s="1" t="s">
        <v>23</v>
      </c>
      <c r="G36" s="1" t="s">
        <v>12</v>
      </c>
      <c r="H36" s="12" t="s">
        <v>144</v>
      </c>
      <c r="I36" s="1" t="s">
        <v>24</v>
      </c>
      <c r="J36" s="1" t="s">
        <v>25</v>
      </c>
      <c r="K36" s="1" t="s">
        <v>25</v>
      </c>
      <c r="L36" s="1" t="s">
        <v>26</v>
      </c>
      <c r="M36" s="1" t="s">
        <v>25</v>
      </c>
      <c r="N36" s="1" t="s">
        <v>25</v>
      </c>
      <c r="O36" s="1" t="s">
        <v>25</v>
      </c>
      <c r="P36" s="1" t="s">
        <v>25</v>
      </c>
      <c r="Q36" s="1" t="s">
        <v>25</v>
      </c>
      <c r="R36" s="70" t="str">
        <f t="shared" si="0"/>
        <v>1045904</v>
      </c>
      <c r="S36" t="str">
        <f>VLOOKUP(A36,Data_NV!$A:$C,3,0)</f>
        <v xml:space="preserve"> Lê Kim Đãng   </v>
      </c>
      <c r="T36" t="str">
        <f>VLOOKUP(A36,Data_NV!$A:$E,4,0)</f>
        <v>Vận Hành</v>
      </c>
      <c r="U36" s="67">
        <f>DATEVALUE(Table2[[#This Row],[Ngày]])</f>
        <v>45904</v>
      </c>
      <c r="V36" t="str">
        <f>VLOOKUP(A36,Data_NV!$A:$E,5,0)</f>
        <v>Đang làm việc</v>
      </c>
      <c r="W36" s="11">
        <f>VLOOKUP(A36,Data_NV!$A:$I,8,0)</f>
        <v>0.3125</v>
      </c>
      <c r="X36" s="11">
        <f>VLOOKUP(A36,Data_NV!$A:$I,9,0)</f>
        <v>0.6875</v>
      </c>
      <c r="Y36" s="11">
        <f>IFERROR(TIMEVALUE(Table2[[#This Row],[Vào]]),0)</f>
        <v>0.28098379629629627</v>
      </c>
      <c r="Z36" s="11">
        <f>IFERROR(TIMEVALUE(Table2[[#This Row],[Ra]]),0)</f>
        <v>0</v>
      </c>
      <c r="AA36" t="str">
        <f t="shared" si="3"/>
        <v>x</v>
      </c>
      <c r="AB36" s="14">
        <f t="shared" si="1"/>
        <v>0</v>
      </c>
      <c r="AC36" s="14" t="str">
        <f>IF(VLOOKUP(A36,Data_NV!$A:$I,7,0)="Không","",IF(OR(AND(Y36=0,Z36=0),AND(Y36&lt;&gt;0,Z36&lt;&gt;0)),"","Quên chấm công"))</f>
        <v/>
      </c>
      <c r="AD36" s="14">
        <f>IF(VLOOKUP(A36,Data_NV!$A:$I,7,0)="Không",0,IF(AND(Y36=0,Z36=0),0,IF(X36&lt;=Z36,0,ROUNDDOWN((X36-Z36)*24*60,0))))</f>
        <v>0</v>
      </c>
      <c r="AE36" s="14">
        <f>IF(VLOOKUP(A36,Data_NV!$A:$I,6,0)="Không",0,IF(Z36&lt;=X36,0,ROUNDDOWN((Z36-X36)*24*60,0)))</f>
        <v>0</v>
      </c>
      <c r="AF36" s="29">
        <f t="shared" si="2"/>
        <v>0</v>
      </c>
      <c r="AG36" s="30" t="str">
        <f>IF(AC36="","",IF(COUNTIFS($AC$3:AC36,"Quên chấm công",$S$3:S36,S36)&gt;3,"Không chấm công do vi phạm quá 3 lần",IF(COUNTIFS($AC$3:AC36,"Quên chấm công",$S$3:S36,S36)&gt;2,"Trừ toàn bộ chuyên cần tháng do vi phạm lần 3",IF(COUNTIFS($AC$3:AC36,"Quên chấm công",$S$3:S36,S36)&gt;1,"Trừ 1/2 ngày lương",50000))))</f>
        <v/>
      </c>
      <c r="AH36" s="14" t="str">
        <f>IF(COUNTIFS($AF$3:AF36,"&gt;0",$S$3:S36,S36)&gt;3,"Trừ toàn bộ chuyên cần tháng","")</f>
        <v/>
      </c>
      <c r="AI36" s="14"/>
      <c r="AJ36" s="14"/>
    </row>
    <row r="37" spans="1:36" x14ac:dyDescent="0.25">
      <c r="A37" s="4" t="s">
        <v>141</v>
      </c>
      <c r="B37" s="1" t="s">
        <v>142</v>
      </c>
      <c r="C37" s="1" t="s">
        <v>20</v>
      </c>
      <c r="D37" s="1" t="s">
        <v>37</v>
      </c>
      <c r="E37" s="1" t="s">
        <v>22</v>
      </c>
      <c r="F37" s="1" t="s">
        <v>23</v>
      </c>
      <c r="G37" s="1" t="s">
        <v>12</v>
      </c>
      <c r="H37" s="12" t="s">
        <v>145</v>
      </c>
      <c r="I37" s="1" t="s">
        <v>24</v>
      </c>
      <c r="J37" s="1" t="s">
        <v>25</v>
      </c>
      <c r="K37" s="1" t="s">
        <v>25</v>
      </c>
      <c r="L37" s="1" t="s">
        <v>26</v>
      </c>
      <c r="M37" s="1" t="s">
        <v>25</v>
      </c>
      <c r="N37" s="1" t="s">
        <v>25</v>
      </c>
      <c r="O37" s="1" t="s">
        <v>25</v>
      </c>
      <c r="P37" s="1" t="s">
        <v>25</v>
      </c>
      <c r="Q37" s="1" t="s">
        <v>25</v>
      </c>
      <c r="R37" s="70" t="str">
        <f t="shared" si="0"/>
        <v>1045905</v>
      </c>
      <c r="S37" t="str">
        <f>VLOOKUP(A37,Data_NV!$A:$C,3,0)</f>
        <v xml:space="preserve"> Lê Kim Đãng   </v>
      </c>
      <c r="T37" t="str">
        <f>VLOOKUP(A37,Data_NV!$A:$E,4,0)</f>
        <v>Vận Hành</v>
      </c>
      <c r="U37" s="67">
        <f>DATEVALUE(Table2[[#This Row],[Ngày]])</f>
        <v>45905</v>
      </c>
      <c r="V37" t="str">
        <f>VLOOKUP(A37,Data_NV!$A:$E,5,0)</f>
        <v>Đang làm việc</v>
      </c>
      <c r="W37" s="11">
        <f>VLOOKUP(A37,Data_NV!$A:$I,8,0)</f>
        <v>0.3125</v>
      </c>
      <c r="X37" s="11">
        <f>VLOOKUP(A37,Data_NV!$A:$I,9,0)</f>
        <v>0.6875</v>
      </c>
      <c r="Y37" s="11">
        <f>IFERROR(TIMEVALUE(Table2[[#This Row],[Vào]]),0)</f>
        <v>0.20898148148148149</v>
      </c>
      <c r="Z37" s="11">
        <f>IFERROR(TIMEVALUE(Table2[[#This Row],[Ra]]),0)</f>
        <v>0</v>
      </c>
      <c r="AA37" t="str">
        <f t="shared" si="3"/>
        <v>x</v>
      </c>
      <c r="AB37" s="14">
        <f t="shared" si="1"/>
        <v>0</v>
      </c>
      <c r="AC37" s="14" t="str">
        <f>IF(VLOOKUP(A37,Data_NV!$A:$I,7,0)="Không","",IF(OR(AND(Y37=0,Z37=0),AND(Y37&lt;&gt;0,Z37&lt;&gt;0)),"","Quên chấm công"))</f>
        <v/>
      </c>
      <c r="AD37" s="14">
        <f>IF(VLOOKUP(A37,Data_NV!$A:$I,7,0)="Không",0,IF(AND(Y37=0,Z37=0),0,IF(X37&lt;=Z37,0,ROUNDDOWN((X37-Z37)*24*60,0))))</f>
        <v>0</v>
      </c>
      <c r="AE37" s="14">
        <f>IF(VLOOKUP(A37,Data_NV!$A:$I,6,0)="Không",0,IF(Z37&lt;=X37,0,ROUNDDOWN((Z37-X37)*24*60,0)))</f>
        <v>0</v>
      </c>
      <c r="AF37" s="29">
        <f t="shared" si="2"/>
        <v>0</v>
      </c>
      <c r="AG37" s="30" t="str">
        <f>IF(AC37="","",IF(COUNTIFS($AC$3:AC37,"Quên chấm công",$S$3:S37,S37)&gt;3,"Không chấm công do vi phạm quá 3 lần",IF(COUNTIFS($AC$3:AC37,"Quên chấm công",$S$3:S37,S37)&gt;2,"Trừ toàn bộ chuyên cần tháng do vi phạm lần 3",IF(COUNTIFS($AC$3:AC37,"Quên chấm công",$S$3:S37,S37)&gt;1,"Trừ 1/2 ngày lương",50000))))</f>
        <v/>
      </c>
      <c r="AH37" s="14" t="str">
        <f>IF(COUNTIFS($AF$3:AF37,"&gt;0",$S$3:S37,S37)&gt;3,"Trừ toàn bộ chuyên cần tháng","")</f>
        <v/>
      </c>
      <c r="AI37" s="14"/>
      <c r="AJ37" s="14"/>
    </row>
    <row r="38" spans="1:36" x14ac:dyDescent="0.25">
      <c r="A38" s="4" t="s">
        <v>141</v>
      </c>
      <c r="B38" s="1" t="s">
        <v>142</v>
      </c>
      <c r="C38" s="1" t="s">
        <v>20</v>
      </c>
      <c r="D38" s="1" t="s">
        <v>42</v>
      </c>
      <c r="E38" s="1" t="s">
        <v>22</v>
      </c>
      <c r="F38" s="1" t="s">
        <v>23</v>
      </c>
      <c r="G38" s="1" t="s">
        <v>12</v>
      </c>
      <c r="H38" s="12" t="s">
        <v>24</v>
      </c>
      <c r="I38" s="1" t="s">
        <v>24</v>
      </c>
      <c r="J38" s="1" t="s">
        <v>25</v>
      </c>
      <c r="K38" s="1" t="s">
        <v>25</v>
      </c>
      <c r="L38" s="1" t="s">
        <v>26</v>
      </c>
      <c r="M38" s="1" t="s">
        <v>25</v>
      </c>
      <c r="N38" s="1" t="s">
        <v>25</v>
      </c>
      <c r="O38" s="1" t="s">
        <v>25</v>
      </c>
      <c r="P38" s="1" t="s">
        <v>25</v>
      </c>
      <c r="Q38" s="1" t="s">
        <v>25</v>
      </c>
      <c r="R38" s="70" t="str">
        <f t="shared" si="0"/>
        <v>1045906</v>
      </c>
      <c r="S38" t="str">
        <f>VLOOKUP(A38,Data_NV!$A:$C,3,0)</f>
        <v xml:space="preserve"> Lê Kim Đãng   </v>
      </c>
      <c r="T38" t="str">
        <f>VLOOKUP(A38,Data_NV!$A:$E,4,0)</f>
        <v>Vận Hành</v>
      </c>
      <c r="U38" s="67">
        <f>DATEVALUE(Table2[[#This Row],[Ngày]])</f>
        <v>45906</v>
      </c>
      <c r="V38" t="str">
        <f>VLOOKUP(A38,Data_NV!$A:$E,5,0)</f>
        <v>Đang làm việc</v>
      </c>
      <c r="W38" s="11">
        <f>VLOOKUP(A38,Data_NV!$A:$I,8,0)</f>
        <v>0.3125</v>
      </c>
      <c r="X38" s="11">
        <f>VLOOKUP(A38,Data_NV!$A:$I,9,0)</f>
        <v>0.6875</v>
      </c>
      <c r="Y38" s="11">
        <f>IFERROR(TIMEVALUE(Table2[[#This Row],[Vào]]),0)</f>
        <v>0</v>
      </c>
      <c r="Z38" s="11">
        <f>IFERROR(TIMEVALUE(Table2[[#This Row],[Ra]]),0)</f>
        <v>0</v>
      </c>
      <c r="AA38" t="str">
        <f t="shared" si="3"/>
        <v/>
      </c>
      <c r="AB38" s="14">
        <f t="shared" si="1"/>
        <v>0</v>
      </c>
      <c r="AC38" s="14" t="str">
        <f>IF(VLOOKUP(A38,Data_NV!$A:$I,7,0)="Không","",IF(OR(AND(Y38=0,Z38=0),AND(Y38&lt;&gt;0,Z38&lt;&gt;0)),"","Quên chấm công"))</f>
        <v/>
      </c>
      <c r="AD38" s="14">
        <f>IF(VLOOKUP(A38,Data_NV!$A:$I,7,0)="Không",0,IF(AND(Y38=0,Z38=0),0,IF(X38&lt;=Z38,0,ROUNDDOWN((X38-Z38)*24*60,0))))</f>
        <v>0</v>
      </c>
      <c r="AE38" s="14">
        <f>IF(VLOOKUP(A38,Data_NV!$A:$I,6,0)="Không",0,IF(Z38&lt;=X38,0,ROUNDDOWN((Z38-X38)*24*60,0)))</f>
        <v>0</v>
      </c>
      <c r="AF38" s="29">
        <f t="shared" si="2"/>
        <v>0</v>
      </c>
      <c r="AG38" s="30" t="str">
        <f>IF(AC38="","",IF(COUNTIFS($AC$3:AC38,"Quên chấm công",$S$3:S38,S38)&gt;3,"Không chấm công do vi phạm quá 3 lần",IF(COUNTIFS($AC$3:AC38,"Quên chấm công",$S$3:S38,S38)&gt;2,"Trừ toàn bộ chuyên cần tháng do vi phạm lần 3",IF(COUNTIFS($AC$3:AC38,"Quên chấm công",$S$3:S38,S38)&gt;1,"Trừ 1/2 ngày lương",50000))))</f>
        <v/>
      </c>
      <c r="AH38" s="14" t="str">
        <f>IF(COUNTIFS($AF$3:AF38,"&gt;0",$S$3:S38,S38)&gt;3,"Trừ toàn bộ chuyên cần tháng","")</f>
        <v/>
      </c>
      <c r="AI38" s="14"/>
      <c r="AJ38" s="14"/>
    </row>
    <row r="39" spans="1:36" x14ac:dyDescent="0.25">
      <c r="A39" s="4" t="s">
        <v>141</v>
      </c>
      <c r="B39" s="1" t="s">
        <v>142</v>
      </c>
      <c r="C39" s="1" t="s">
        <v>20</v>
      </c>
      <c r="D39" s="1" t="s">
        <v>47</v>
      </c>
      <c r="E39" s="1" t="s">
        <v>22</v>
      </c>
      <c r="F39" s="1" t="s">
        <v>23</v>
      </c>
      <c r="G39" s="1" t="s">
        <v>12</v>
      </c>
      <c r="H39" s="12" t="s">
        <v>24</v>
      </c>
      <c r="I39" s="1" t="s">
        <v>24</v>
      </c>
      <c r="J39" s="1" t="s">
        <v>25</v>
      </c>
      <c r="K39" s="1" t="s">
        <v>25</v>
      </c>
      <c r="L39" s="1" t="s">
        <v>26</v>
      </c>
      <c r="M39" s="1" t="s">
        <v>25</v>
      </c>
      <c r="N39" s="1" t="s">
        <v>25</v>
      </c>
      <c r="O39" s="1" t="s">
        <v>25</v>
      </c>
      <c r="P39" s="1" t="s">
        <v>25</v>
      </c>
      <c r="Q39" s="1" t="s">
        <v>25</v>
      </c>
      <c r="R39" s="70" t="str">
        <f t="shared" si="0"/>
        <v>1045907</v>
      </c>
      <c r="S39" t="str">
        <f>VLOOKUP(A39,Data_NV!$A:$C,3,0)</f>
        <v xml:space="preserve"> Lê Kim Đãng   </v>
      </c>
      <c r="T39" t="str">
        <f>VLOOKUP(A39,Data_NV!$A:$E,4,0)</f>
        <v>Vận Hành</v>
      </c>
      <c r="U39" s="67">
        <f>DATEVALUE(Table2[[#This Row],[Ngày]])</f>
        <v>45907</v>
      </c>
      <c r="V39" t="str">
        <f>VLOOKUP(A39,Data_NV!$A:$E,5,0)</f>
        <v>Đang làm việc</v>
      </c>
      <c r="W39" s="11">
        <f>VLOOKUP(A39,Data_NV!$A:$I,8,0)</f>
        <v>0.3125</v>
      </c>
      <c r="X39" s="11">
        <f>VLOOKUP(A39,Data_NV!$A:$I,9,0)</f>
        <v>0.6875</v>
      </c>
      <c r="Y39" s="11">
        <f>IFERROR(TIMEVALUE(Table2[[#This Row],[Vào]]),0)</f>
        <v>0</v>
      </c>
      <c r="Z39" s="11">
        <f>IFERROR(TIMEVALUE(Table2[[#This Row],[Ra]]),0)</f>
        <v>0</v>
      </c>
      <c r="AA39" t="str">
        <f t="shared" si="3"/>
        <v/>
      </c>
      <c r="AB39" s="14">
        <f t="shared" si="1"/>
        <v>0</v>
      </c>
      <c r="AC39" s="14" t="str">
        <f>IF(VLOOKUP(A39,Data_NV!$A:$I,7,0)="Không","",IF(OR(AND(Y39=0,Z39=0),AND(Y39&lt;&gt;0,Z39&lt;&gt;0)),"","Quên chấm công"))</f>
        <v/>
      </c>
      <c r="AD39" s="14">
        <f>IF(VLOOKUP(A39,Data_NV!$A:$I,7,0)="Không",0,IF(AND(Y39=0,Z39=0),0,IF(X39&lt;=Z39,0,ROUNDDOWN((X39-Z39)*24*60,0))))</f>
        <v>0</v>
      </c>
      <c r="AE39" s="14">
        <f>IF(VLOOKUP(A39,Data_NV!$A:$I,6,0)="Không",0,IF(Z39&lt;=X39,0,ROUNDDOWN((Z39-X39)*24*60,0)))</f>
        <v>0</v>
      </c>
      <c r="AF39" s="29">
        <f t="shared" si="2"/>
        <v>0</v>
      </c>
      <c r="AG39" s="30" t="str">
        <f>IF(AC39="","",IF(COUNTIFS($AC$3:AC39,"Quên chấm công",$S$3:S39,S39)&gt;3,"Không chấm công do vi phạm quá 3 lần",IF(COUNTIFS($AC$3:AC39,"Quên chấm công",$S$3:S39,S39)&gt;2,"Trừ toàn bộ chuyên cần tháng do vi phạm lần 3",IF(COUNTIFS($AC$3:AC39,"Quên chấm công",$S$3:S39,S39)&gt;1,"Trừ 1/2 ngày lương",50000))))</f>
        <v/>
      </c>
      <c r="AH39" s="14" t="str">
        <f>IF(COUNTIFS($AF$3:AF39,"&gt;0",$S$3:S39,S39)&gt;3,"Trừ toàn bộ chuyên cần tháng","")</f>
        <v/>
      </c>
      <c r="AI39" s="14"/>
      <c r="AJ39" s="14"/>
    </row>
    <row r="40" spans="1:36" x14ac:dyDescent="0.25">
      <c r="A40" s="4" t="s">
        <v>141</v>
      </c>
      <c r="B40" s="1" t="s">
        <v>142</v>
      </c>
      <c r="C40" s="1" t="s">
        <v>20</v>
      </c>
      <c r="D40" s="1" t="s">
        <v>48</v>
      </c>
      <c r="E40" s="1" t="s">
        <v>22</v>
      </c>
      <c r="F40" s="1" t="s">
        <v>23</v>
      </c>
      <c r="G40" s="1" t="s">
        <v>12</v>
      </c>
      <c r="H40" s="12" t="s">
        <v>146</v>
      </c>
      <c r="I40" s="1" t="s">
        <v>24</v>
      </c>
      <c r="J40" s="1" t="s">
        <v>25</v>
      </c>
      <c r="K40" s="1" t="s">
        <v>25</v>
      </c>
      <c r="L40" s="1" t="s">
        <v>26</v>
      </c>
      <c r="M40" s="1" t="s">
        <v>25</v>
      </c>
      <c r="N40" s="1" t="s">
        <v>25</v>
      </c>
      <c r="O40" s="1" t="s">
        <v>25</v>
      </c>
      <c r="P40" s="1" t="s">
        <v>25</v>
      </c>
      <c r="Q40" s="1" t="s">
        <v>25</v>
      </c>
      <c r="R40" s="70" t="str">
        <f t="shared" si="0"/>
        <v>1045908</v>
      </c>
      <c r="S40" t="str">
        <f>VLOOKUP(A40,Data_NV!$A:$C,3,0)</f>
        <v xml:space="preserve"> Lê Kim Đãng   </v>
      </c>
      <c r="T40" t="str">
        <f>VLOOKUP(A40,Data_NV!$A:$E,4,0)</f>
        <v>Vận Hành</v>
      </c>
      <c r="U40" s="67">
        <f>DATEVALUE(Table2[[#This Row],[Ngày]])</f>
        <v>45908</v>
      </c>
      <c r="V40" t="str">
        <f>VLOOKUP(A40,Data_NV!$A:$E,5,0)</f>
        <v>Đang làm việc</v>
      </c>
      <c r="W40" s="11">
        <f>VLOOKUP(A40,Data_NV!$A:$I,8,0)</f>
        <v>0.3125</v>
      </c>
      <c r="X40" s="11">
        <f>VLOOKUP(A40,Data_NV!$A:$I,9,0)</f>
        <v>0.6875</v>
      </c>
      <c r="Y40" s="11">
        <f>IFERROR(TIMEVALUE(Table2[[#This Row],[Vào]]),0)</f>
        <v>0.28466435185185185</v>
      </c>
      <c r="Z40" s="11">
        <f>IFERROR(TIMEVALUE(Table2[[#This Row],[Ra]]),0)</f>
        <v>0</v>
      </c>
      <c r="AA40" t="str">
        <f t="shared" si="3"/>
        <v>x</v>
      </c>
      <c r="AB40" s="14">
        <f t="shared" si="1"/>
        <v>0</v>
      </c>
      <c r="AC40" s="14" t="str">
        <f>IF(VLOOKUP(A40,Data_NV!$A:$I,7,0)="Không","",IF(OR(AND(Y40=0,Z40=0),AND(Y40&lt;&gt;0,Z40&lt;&gt;0)),"","Quên chấm công"))</f>
        <v/>
      </c>
      <c r="AD40" s="14">
        <f>IF(VLOOKUP(A40,Data_NV!$A:$I,7,0)="Không",0,IF(AND(Y40=0,Z40=0),0,IF(X40&lt;=Z40,0,ROUNDDOWN((X40-Z40)*24*60,0))))</f>
        <v>0</v>
      </c>
      <c r="AE40" s="14">
        <f>IF(VLOOKUP(A40,Data_NV!$A:$I,6,0)="Không",0,IF(Z40&lt;=X40,0,ROUNDDOWN((Z40-X40)*24*60,0)))</f>
        <v>0</v>
      </c>
      <c r="AF40" s="29">
        <f t="shared" si="2"/>
        <v>0</v>
      </c>
      <c r="AG40" s="30" t="str">
        <f>IF(AC40="","",IF(COUNTIFS($AC$3:AC40,"Quên chấm công",$S$3:S40,S40)&gt;3,"Không chấm công do vi phạm quá 3 lần",IF(COUNTIFS($AC$3:AC40,"Quên chấm công",$S$3:S40,S40)&gt;2,"Trừ toàn bộ chuyên cần tháng do vi phạm lần 3",IF(COUNTIFS($AC$3:AC40,"Quên chấm công",$S$3:S40,S40)&gt;1,"Trừ 1/2 ngày lương",50000))))</f>
        <v/>
      </c>
      <c r="AH40" s="14" t="str">
        <f>IF(COUNTIFS($AF$3:AF40,"&gt;0",$S$3:S40,S40)&gt;3,"Trừ toàn bộ chuyên cần tháng","")</f>
        <v/>
      </c>
      <c r="AI40" s="14"/>
      <c r="AJ40" s="14"/>
    </row>
    <row r="41" spans="1:36" x14ac:dyDescent="0.25">
      <c r="A41" s="4" t="s">
        <v>141</v>
      </c>
      <c r="B41" s="1" t="s">
        <v>142</v>
      </c>
      <c r="C41" s="1" t="s">
        <v>20</v>
      </c>
      <c r="D41" s="1" t="s">
        <v>53</v>
      </c>
      <c r="E41" s="1" t="s">
        <v>22</v>
      </c>
      <c r="F41" s="1" t="s">
        <v>23</v>
      </c>
      <c r="G41" s="1" t="s">
        <v>12</v>
      </c>
      <c r="H41" s="12" t="s">
        <v>147</v>
      </c>
      <c r="I41" s="1" t="s">
        <v>24</v>
      </c>
      <c r="J41" s="1" t="s">
        <v>25</v>
      </c>
      <c r="K41" s="1" t="s">
        <v>25</v>
      </c>
      <c r="L41" s="1" t="s">
        <v>26</v>
      </c>
      <c r="M41" s="1" t="s">
        <v>25</v>
      </c>
      <c r="N41" s="1" t="s">
        <v>25</v>
      </c>
      <c r="O41" s="1" t="s">
        <v>25</v>
      </c>
      <c r="P41" s="1" t="s">
        <v>25</v>
      </c>
      <c r="Q41" s="1" t="s">
        <v>25</v>
      </c>
      <c r="R41" s="70" t="str">
        <f t="shared" si="0"/>
        <v>1045909</v>
      </c>
      <c r="S41" t="str">
        <f>VLOOKUP(A41,Data_NV!$A:$C,3,0)</f>
        <v xml:space="preserve"> Lê Kim Đãng   </v>
      </c>
      <c r="T41" t="str">
        <f>VLOOKUP(A41,Data_NV!$A:$E,4,0)</f>
        <v>Vận Hành</v>
      </c>
      <c r="U41" s="67">
        <f>DATEVALUE(Table2[[#This Row],[Ngày]])</f>
        <v>45909</v>
      </c>
      <c r="V41" t="str">
        <f>VLOOKUP(A41,Data_NV!$A:$E,5,0)</f>
        <v>Đang làm việc</v>
      </c>
      <c r="W41" s="11">
        <f>VLOOKUP(A41,Data_NV!$A:$I,8,0)</f>
        <v>0.3125</v>
      </c>
      <c r="X41" s="11">
        <f>VLOOKUP(A41,Data_NV!$A:$I,9,0)</f>
        <v>0.6875</v>
      </c>
      <c r="Y41" s="11">
        <f>IFERROR(TIMEVALUE(Table2[[#This Row],[Vào]]),0)</f>
        <v>0.28019675925925924</v>
      </c>
      <c r="Z41" s="11">
        <f>IFERROR(TIMEVALUE(Table2[[#This Row],[Ra]]),0)</f>
        <v>0</v>
      </c>
      <c r="AA41" t="str">
        <f t="shared" si="3"/>
        <v>x</v>
      </c>
      <c r="AB41" s="14">
        <f t="shared" si="1"/>
        <v>0</v>
      </c>
      <c r="AC41" s="14" t="str">
        <f>IF(VLOOKUP(A41,Data_NV!$A:$I,7,0)="Không","",IF(OR(AND(Y41=0,Z41=0),AND(Y41&lt;&gt;0,Z41&lt;&gt;0)),"","Quên chấm công"))</f>
        <v/>
      </c>
      <c r="AD41" s="14">
        <f>IF(VLOOKUP(A41,Data_NV!$A:$I,7,0)="Không",0,IF(AND(Y41=0,Z41=0),0,IF(X41&lt;=Z41,0,ROUNDDOWN((X41-Z41)*24*60,0))))</f>
        <v>0</v>
      </c>
      <c r="AE41" s="14">
        <f>IF(VLOOKUP(A41,Data_NV!$A:$I,6,0)="Không",0,IF(Z41&lt;=X41,0,ROUNDDOWN((Z41-X41)*24*60,0)))</f>
        <v>0</v>
      </c>
      <c r="AF41" s="29">
        <f t="shared" si="2"/>
        <v>0</v>
      </c>
      <c r="AG41" s="30" t="str">
        <f>IF(AC41="","",IF(COUNTIFS($AC$3:AC41,"Quên chấm công",$S$3:S41,S41)&gt;3,"Không chấm công do vi phạm quá 3 lần",IF(COUNTIFS($AC$3:AC41,"Quên chấm công",$S$3:S41,S41)&gt;2,"Trừ toàn bộ chuyên cần tháng do vi phạm lần 3",IF(COUNTIFS($AC$3:AC41,"Quên chấm công",$S$3:S41,S41)&gt;1,"Trừ 1/2 ngày lương",50000))))</f>
        <v/>
      </c>
      <c r="AH41" s="14" t="str">
        <f>IF(COUNTIFS($AF$3:AF41,"&gt;0",$S$3:S41,S41)&gt;3,"Trừ toàn bộ chuyên cần tháng","")</f>
        <v/>
      </c>
      <c r="AI41" s="14"/>
      <c r="AJ41" s="14"/>
    </row>
    <row r="42" spans="1:36" x14ac:dyDescent="0.25">
      <c r="A42" s="4" t="s">
        <v>141</v>
      </c>
      <c r="B42" s="1" t="s">
        <v>142</v>
      </c>
      <c r="C42" s="1" t="s">
        <v>20</v>
      </c>
      <c r="D42" s="1" t="s">
        <v>58</v>
      </c>
      <c r="E42" s="1" t="s">
        <v>22</v>
      </c>
      <c r="F42" s="1" t="s">
        <v>23</v>
      </c>
      <c r="G42" s="1" t="s">
        <v>12</v>
      </c>
      <c r="H42" s="12" t="s">
        <v>148</v>
      </c>
      <c r="I42" s="1" t="s">
        <v>24</v>
      </c>
      <c r="J42" s="1" t="s">
        <v>25</v>
      </c>
      <c r="K42" s="1" t="s">
        <v>25</v>
      </c>
      <c r="L42" s="1" t="s">
        <v>26</v>
      </c>
      <c r="M42" s="1" t="s">
        <v>25</v>
      </c>
      <c r="N42" s="1" t="s">
        <v>25</v>
      </c>
      <c r="O42" s="1" t="s">
        <v>25</v>
      </c>
      <c r="P42" s="1" t="s">
        <v>25</v>
      </c>
      <c r="Q42" s="1" t="s">
        <v>25</v>
      </c>
      <c r="R42" s="70" t="str">
        <f t="shared" si="0"/>
        <v>1045910</v>
      </c>
      <c r="S42" t="str">
        <f>VLOOKUP(A42,Data_NV!$A:$C,3,0)</f>
        <v xml:space="preserve"> Lê Kim Đãng   </v>
      </c>
      <c r="T42" t="str">
        <f>VLOOKUP(A42,Data_NV!$A:$E,4,0)</f>
        <v>Vận Hành</v>
      </c>
      <c r="U42" s="67">
        <f>DATEVALUE(Table2[[#This Row],[Ngày]])</f>
        <v>45910</v>
      </c>
      <c r="V42" t="str">
        <f>VLOOKUP(A42,Data_NV!$A:$E,5,0)</f>
        <v>Đang làm việc</v>
      </c>
      <c r="W42" s="11">
        <f>VLOOKUP(A42,Data_NV!$A:$I,8,0)</f>
        <v>0.3125</v>
      </c>
      <c r="X42" s="11">
        <f>VLOOKUP(A42,Data_NV!$A:$I,9,0)</f>
        <v>0.6875</v>
      </c>
      <c r="Y42" s="11">
        <f>IFERROR(TIMEVALUE(Table2[[#This Row],[Vào]]),0)</f>
        <v>0.27782407407407406</v>
      </c>
      <c r="Z42" s="11">
        <f>IFERROR(TIMEVALUE(Table2[[#This Row],[Ra]]),0)</f>
        <v>0</v>
      </c>
      <c r="AA42" t="str">
        <f t="shared" si="3"/>
        <v>x</v>
      </c>
      <c r="AB42" s="14">
        <f t="shared" si="1"/>
        <v>0</v>
      </c>
      <c r="AC42" s="14" t="str">
        <f>IF(VLOOKUP(A42,Data_NV!$A:$I,7,0)="Không","",IF(OR(AND(Y42=0,Z42=0),AND(Y42&lt;&gt;0,Z42&lt;&gt;0)),"","Quên chấm công"))</f>
        <v/>
      </c>
      <c r="AD42" s="14">
        <f>IF(VLOOKUP(A42,Data_NV!$A:$I,7,0)="Không",0,IF(AND(Y42=0,Z42=0),0,IF(X42&lt;=Z42,0,ROUNDDOWN((X42-Z42)*24*60,0))))</f>
        <v>0</v>
      </c>
      <c r="AE42" s="14">
        <f>IF(VLOOKUP(A42,Data_NV!$A:$I,6,0)="Không",0,IF(Z42&lt;=X42,0,ROUNDDOWN((Z42-X42)*24*60,0)))</f>
        <v>0</v>
      </c>
      <c r="AF42" s="29">
        <f t="shared" si="2"/>
        <v>0</v>
      </c>
      <c r="AG42" s="30" t="str">
        <f>IF(AC42="","",IF(COUNTIFS($AC$3:AC42,"Quên chấm công",$S$3:S42,S42)&gt;3,"Không chấm công do vi phạm quá 3 lần",IF(COUNTIFS($AC$3:AC42,"Quên chấm công",$S$3:S42,S42)&gt;2,"Trừ toàn bộ chuyên cần tháng do vi phạm lần 3",IF(COUNTIFS($AC$3:AC42,"Quên chấm công",$S$3:S42,S42)&gt;1,"Trừ 1/2 ngày lương",50000))))</f>
        <v/>
      </c>
      <c r="AH42" s="14" t="str">
        <f>IF(COUNTIFS($AF$3:AF42,"&gt;0",$S$3:S42,S42)&gt;3,"Trừ toàn bộ chuyên cần tháng","")</f>
        <v/>
      </c>
      <c r="AI42" s="14"/>
      <c r="AJ42" s="14"/>
    </row>
    <row r="43" spans="1:36" x14ac:dyDescent="0.25">
      <c r="A43" s="4" t="s">
        <v>141</v>
      </c>
      <c r="B43" s="1" t="s">
        <v>142</v>
      </c>
      <c r="C43" s="1" t="s">
        <v>20</v>
      </c>
      <c r="D43" s="1" t="s">
        <v>63</v>
      </c>
      <c r="E43" s="1" t="s">
        <v>22</v>
      </c>
      <c r="F43" s="1" t="s">
        <v>23</v>
      </c>
      <c r="G43" s="1" t="s">
        <v>12</v>
      </c>
      <c r="H43" s="12" t="s">
        <v>149</v>
      </c>
      <c r="I43" s="1" t="s">
        <v>24</v>
      </c>
      <c r="J43" s="1" t="s">
        <v>25</v>
      </c>
      <c r="K43" s="1" t="s">
        <v>25</v>
      </c>
      <c r="L43" s="1" t="s">
        <v>26</v>
      </c>
      <c r="M43" s="1" t="s">
        <v>25</v>
      </c>
      <c r="N43" s="1" t="s">
        <v>25</v>
      </c>
      <c r="O43" s="1" t="s">
        <v>25</v>
      </c>
      <c r="P43" s="1" t="s">
        <v>25</v>
      </c>
      <c r="Q43" s="1" t="s">
        <v>25</v>
      </c>
      <c r="R43" s="70" t="str">
        <f t="shared" si="0"/>
        <v>1045911</v>
      </c>
      <c r="S43" t="str">
        <f>VLOOKUP(A43,Data_NV!$A:$C,3,0)</f>
        <v xml:space="preserve"> Lê Kim Đãng   </v>
      </c>
      <c r="T43" t="str">
        <f>VLOOKUP(A43,Data_NV!$A:$E,4,0)</f>
        <v>Vận Hành</v>
      </c>
      <c r="U43" s="67">
        <f>DATEVALUE(Table2[[#This Row],[Ngày]])</f>
        <v>45911</v>
      </c>
      <c r="V43" t="str">
        <f>VLOOKUP(A43,Data_NV!$A:$E,5,0)</f>
        <v>Đang làm việc</v>
      </c>
      <c r="W43" s="11">
        <f>VLOOKUP(A43,Data_NV!$A:$I,8,0)</f>
        <v>0.3125</v>
      </c>
      <c r="X43" s="11">
        <f>VLOOKUP(A43,Data_NV!$A:$I,9,0)</f>
        <v>0.6875</v>
      </c>
      <c r="Y43" s="11">
        <f>IFERROR(TIMEVALUE(Table2[[#This Row],[Vào]]),0)</f>
        <v>0.23337962962962963</v>
      </c>
      <c r="Z43" s="11">
        <f>IFERROR(TIMEVALUE(Table2[[#This Row],[Ra]]),0)</f>
        <v>0</v>
      </c>
      <c r="AA43" t="str">
        <f t="shared" si="3"/>
        <v>x</v>
      </c>
      <c r="AB43" s="14">
        <f t="shared" si="1"/>
        <v>0</v>
      </c>
      <c r="AC43" s="14" t="str">
        <f>IF(VLOOKUP(A43,Data_NV!$A:$I,7,0)="Không","",IF(OR(AND(Y43=0,Z43=0),AND(Y43&lt;&gt;0,Z43&lt;&gt;0)),"","Quên chấm công"))</f>
        <v/>
      </c>
      <c r="AD43" s="14">
        <f>IF(VLOOKUP(A43,Data_NV!$A:$I,7,0)="Không",0,IF(AND(Y43=0,Z43=0),0,IF(X43&lt;=Z43,0,ROUNDDOWN((X43-Z43)*24*60,0))))</f>
        <v>0</v>
      </c>
      <c r="AE43" s="14">
        <f>IF(VLOOKUP(A43,Data_NV!$A:$I,6,0)="Không",0,IF(Z43&lt;=X43,0,ROUNDDOWN((Z43-X43)*24*60,0)))</f>
        <v>0</v>
      </c>
      <c r="AF43" s="29">
        <f t="shared" si="2"/>
        <v>0</v>
      </c>
      <c r="AG43" s="30" t="str">
        <f>IF(AC43="","",IF(COUNTIFS($AC$3:AC43,"Quên chấm công",$S$3:S43,S43)&gt;3,"Không chấm công do vi phạm quá 3 lần",IF(COUNTIFS($AC$3:AC43,"Quên chấm công",$S$3:S43,S43)&gt;2,"Trừ toàn bộ chuyên cần tháng do vi phạm lần 3",IF(COUNTIFS($AC$3:AC43,"Quên chấm công",$S$3:S43,S43)&gt;1,"Trừ 1/2 ngày lương",50000))))</f>
        <v/>
      </c>
      <c r="AH43" s="14" t="str">
        <f>IF(COUNTIFS($AF$3:AF43,"&gt;0",$S$3:S43,S43)&gt;3,"Trừ toàn bộ chuyên cần tháng","")</f>
        <v/>
      </c>
      <c r="AI43" s="14"/>
      <c r="AJ43" s="14"/>
    </row>
    <row r="44" spans="1:36" x14ac:dyDescent="0.25">
      <c r="A44" s="4" t="s">
        <v>141</v>
      </c>
      <c r="B44" s="1" t="s">
        <v>142</v>
      </c>
      <c r="C44" s="1" t="s">
        <v>20</v>
      </c>
      <c r="D44" s="1" t="s">
        <v>67</v>
      </c>
      <c r="E44" s="1" t="s">
        <v>22</v>
      </c>
      <c r="F44" s="1" t="s">
        <v>23</v>
      </c>
      <c r="G44" s="1" t="s">
        <v>12</v>
      </c>
      <c r="H44" s="12" t="s">
        <v>24</v>
      </c>
      <c r="I44" s="1" t="s">
        <v>24</v>
      </c>
      <c r="J44" s="1" t="s">
        <v>25</v>
      </c>
      <c r="K44" s="1" t="s">
        <v>25</v>
      </c>
      <c r="L44" s="1" t="s">
        <v>26</v>
      </c>
      <c r="M44" s="1" t="s">
        <v>25</v>
      </c>
      <c r="N44" s="1" t="s">
        <v>25</v>
      </c>
      <c r="O44" s="1" t="s">
        <v>25</v>
      </c>
      <c r="P44" s="1" t="s">
        <v>25</v>
      </c>
      <c r="Q44" s="1" t="s">
        <v>25</v>
      </c>
      <c r="R44" s="70" t="str">
        <f t="shared" si="0"/>
        <v>1045912</v>
      </c>
      <c r="S44" t="str">
        <f>VLOOKUP(A44,Data_NV!$A:$C,3,0)</f>
        <v xml:space="preserve"> Lê Kim Đãng   </v>
      </c>
      <c r="T44" t="str">
        <f>VLOOKUP(A44,Data_NV!$A:$E,4,0)</f>
        <v>Vận Hành</v>
      </c>
      <c r="U44" s="67">
        <f>DATEVALUE(Table2[[#This Row],[Ngày]])</f>
        <v>45912</v>
      </c>
      <c r="V44" t="str">
        <f>VLOOKUP(A44,Data_NV!$A:$E,5,0)</f>
        <v>Đang làm việc</v>
      </c>
      <c r="W44" s="11">
        <f>VLOOKUP(A44,Data_NV!$A:$I,8,0)</f>
        <v>0.3125</v>
      </c>
      <c r="X44" s="11">
        <f>VLOOKUP(A44,Data_NV!$A:$I,9,0)</f>
        <v>0.6875</v>
      </c>
      <c r="Y44" s="11">
        <f>IFERROR(TIMEVALUE(Table2[[#This Row],[Vào]]),0)</f>
        <v>0</v>
      </c>
      <c r="Z44" s="11">
        <f>IFERROR(TIMEVALUE(Table2[[#This Row],[Ra]]),0)</f>
        <v>0</v>
      </c>
      <c r="AA44" t="str">
        <f t="shared" si="3"/>
        <v/>
      </c>
      <c r="AB44" s="14">
        <f t="shared" si="1"/>
        <v>0</v>
      </c>
      <c r="AC44" s="14" t="str">
        <f>IF(VLOOKUP(A44,Data_NV!$A:$I,7,0)="Không","",IF(OR(AND(Y44=0,Z44=0),AND(Y44&lt;&gt;0,Z44&lt;&gt;0)),"","Quên chấm công"))</f>
        <v/>
      </c>
      <c r="AD44" s="14">
        <f>IF(VLOOKUP(A44,Data_NV!$A:$I,7,0)="Không",0,IF(AND(Y44=0,Z44=0),0,IF(X44&lt;=Z44,0,ROUNDDOWN((X44-Z44)*24*60,0))))</f>
        <v>0</v>
      </c>
      <c r="AE44" s="14">
        <f>IF(VLOOKUP(A44,Data_NV!$A:$I,6,0)="Không",0,IF(Z44&lt;=X44,0,ROUNDDOWN((Z44-X44)*24*60,0)))</f>
        <v>0</v>
      </c>
      <c r="AF44" s="29">
        <f t="shared" si="2"/>
        <v>0</v>
      </c>
      <c r="AG44" s="30" t="str">
        <f>IF(AC44="","",IF(COUNTIFS($AC$3:AC44,"Quên chấm công",$S$3:S44,S44)&gt;3,"Không chấm công do vi phạm quá 3 lần",IF(COUNTIFS($AC$3:AC44,"Quên chấm công",$S$3:S44,S44)&gt;2,"Trừ toàn bộ chuyên cần tháng do vi phạm lần 3",IF(COUNTIFS($AC$3:AC44,"Quên chấm công",$S$3:S44,S44)&gt;1,"Trừ 1/2 ngày lương",50000))))</f>
        <v/>
      </c>
      <c r="AH44" s="14" t="str">
        <f>IF(COUNTIFS($AF$3:AF44,"&gt;0",$S$3:S44,S44)&gt;3,"Trừ toàn bộ chuyên cần tháng","")</f>
        <v/>
      </c>
      <c r="AI44" s="14"/>
      <c r="AJ44" s="14"/>
    </row>
    <row r="45" spans="1:36" x14ac:dyDescent="0.25">
      <c r="A45" s="4" t="s">
        <v>141</v>
      </c>
      <c r="B45" s="1" t="s">
        <v>142</v>
      </c>
      <c r="C45" s="1" t="s">
        <v>20</v>
      </c>
      <c r="D45" s="1" t="s">
        <v>69</v>
      </c>
      <c r="E45" s="1" t="s">
        <v>22</v>
      </c>
      <c r="F45" s="1" t="s">
        <v>23</v>
      </c>
      <c r="G45" s="1" t="s">
        <v>12</v>
      </c>
      <c r="H45" s="12" t="s">
        <v>24</v>
      </c>
      <c r="I45" s="1" t="s">
        <v>24</v>
      </c>
      <c r="J45" s="1" t="s">
        <v>25</v>
      </c>
      <c r="K45" s="1" t="s">
        <v>25</v>
      </c>
      <c r="L45" s="1" t="s">
        <v>26</v>
      </c>
      <c r="M45" s="1" t="s">
        <v>25</v>
      </c>
      <c r="N45" s="1" t="s">
        <v>25</v>
      </c>
      <c r="O45" s="1" t="s">
        <v>25</v>
      </c>
      <c r="P45" s="1" t="s">
        <v>25</v>
      </c>
      <c r="Q45" s="1" t="s">
        <v>25</v>
      </c>
      <c r="R45" s="70" t="str">
        <f t="shared" si="0"/>
        <v>1045913</v>
      </c>
      <c r="S45" t="str">
        <f>VLOOKUP(A45,Data_NV!$A:$C,3,0)</f>
        <v xml:space="preserve"> Lê Kim Đãng   </v>
      </c>
      <c r="T45" t="str">
        <f>VLOOKUP(A45,Data_NV!$A:$E,4,0)</f>
        <v>Vận Hành</v>
      </c>
      <c r="U45" s="67">
        <f>DATEVALUE(Table2[[#This Row],[Ngày]])</f>
        <v>45913</v>
      </c>
      <c r="V45" t="str">
        <f>VLOOKUP(A45,Data_NV!$A:$E,5,0)</f>
        <v>Đang làm việc</v>
      </c>
      <c r="W45" s="11">
        <f>VLOOKUP(A45,Data_NV!$A:$I,8,0)</f>
        <v>0.3125</v>
      </c>
      <c r="X45" s="11">
        <f>VLOOKUP(A45,Data_NV!$A:$I,9,0)</f>
        <v>0.6875</v>
      </c>
      <c r="Y45" s="11">
        <f>IFERROR(TIMEVALUE(Table2[[#This Row],[Vào]]),0)</f>
        <v>0</v>
      </c>
      <c r="Z45" s="11">
        <f>IFERROR(TIMEVALUE(Table2[[#This Row],[Ra]]),0)</f>
        <v>0</v>
      </c>
      <c r="AA45" t="str">
        <f t="shared" si="3"/>
        <v/>
      </c>
      <c r="AB45" s="14">
        <f t="shared" si="1"/>
        <v>0</v>
      </c>
      <c r="AC45" s="14" t="str">
        <f>IF(VLOOKUP(A45,Data_NV!$A:$I,7,0)="Không","",IF(OR(AND(Y45=0,Z45=0),AND(Y45&lt;&gt;0,Z45&lt;&gt;0)),"","Quên chấm công"))</f>
        <v/>
      </c>
      <c r="AD45" s="14">
        <f>IF(VLOOKUP(A45,Data_NV!$A:$I,7,0)="Không",0,IF(AND(Y45=0,Z45=0),0,IF(X45&lt;=Z45,0,ROUNDDOWN((X45-Z45)*24*60,0))))</f>
        <v>0</v>
      </c>
      <c r="AE45" s="14">
        <f>IF(VLOOKUP(A45,Data_NV!$A:$I,6,0)="Không",0,IF(Z45&lt;=X45,0,ROUNDDOWN((Z45-X45)*24*60,0)))</f>
        <v>0</v>
      </c>
      <c r="AF45" s="29">
        <f t="shared" si="2"/>
        <v>0</v>
      </c>
      <c r="AG45" s="30" t="str">
        <f>IF(AC45="","",IF(COUNTIFS($AC$3:AC45,"Quên chấm công",$S$3:S45,S45)&gt;3,"Không chấm công do vi phạm quá 3 lần",IF(COUNTIFS($AC$3:AC45,"Quên chấm công",$S$3:S45,S45)&gt;2,"Trừ toàn bộ chuyên cần tháng do vi phạm lần 3",IF(COUNTIFS($AC$3:AC45,"Quên chấm công",$S$3:S45,S45)&gt;1,"Trừ 1/2 ngày lương",50000))))</f>
        <v/>
      </c>
      <c r="AH45" s="14" t="str">
        <f>IF(COUNTIFS($AF$3:AF45,"&gt;0",$S$3:S45,S45)&gt;3,"Trừ toàn bộ chuyên cần tháng","")</f>
        <v/>
      </c>
      <c r="AI45" s="14"/>
      <c r="AJ45" s="14"/>
    </row>
    <row r="46" spans="1:36" x14ac:dyDescent="0.25">
      <c r="A46" s="4" t="s">
        <v>141</v>
      </c>
      <c r="B46" s="1" t="s">
        <v>142</v>
      </c>
      <c r="C46" s="1" t="s">
        <v>20</v>
      </c>
      <c r="D46" s="1" t="s">
        <v>74</v>
      </c>
      <c r="E46" s="1" t="s">
        <v>22</v>
      </c>
      <c r="F46" s="1" t="s">
        <v>23</v>
      </c>
      <c r="G46" s="1" t="s">
        <v>12</v>
      </c>
      <c r="H46" s="12" t="s">
        <v>24</v>
      </c>
      <c r="I46" s="1" t="s">
        <v>24</v>
      </c>
      <c r="J46" s="1" t="s">
        <v>25</v>
      </c>
      <c r="K46" s="1" t="s">
        <v>25</v>
      </c>
      <c r="L46" s="1" t="s">
        <v>26</v>
      </c>
      <c r="M46" s="1" t="s">
        <v>25</v>
      </c>
      <c r="N46" s="1" t="s">
        <v>25</v>
      </c>
      <c r="O46" s="1" t="s">
        <v>25</v>
      </c>
      <c r="P46" s="1" t="s">
        <v>25</v>
      </c>
      <c r="Q46" s="1" t="s">
        <v>25</v>
      </c>
      <c r="R46" s="70" t="str">
        <f t="shared" si="0"/>
        <v>1045914</v>
      </c>
      <c r="S46" t="str">
        <f>VLOOKUP(A46,Data_NV!$A:$C,3,0)</f>
        <v xml:space="preserve"> Lê Kim Đãng   </v>
      </c>
      <c r="T46" t="str">
        <f>VLOOKUP(A46,Data_NV!$A:$E,4,0)</f>
        <v>Vận Hành</v>
      </c>
      <c r="U46" s="67">
        <f>DATEVALUE(Table2[[#This Row],[Ngày]])</f>
        <v>45914</v>
      </c>
      <c r="V46" t="str">
        <f>VLOOKUP(A46,Data_NV!$A:$E,5,0)</f>
        <v>Đang làm việc</v>
      </c>
      <c r="W46" s="11">
        <f>VLOOKUP(A46,Data_NV!$A:$I,8,0)</f>
        <v>0.3125</v>
      </c>
      <c r="X46" s="11">
        <f>VLOOKUP(A46,Data_NV!$A:$I,9,0)</f>
        <v>0.6875</v>
      </c>
      <c r="Y46" s="11">
        <f>IFERROR(TIMEVALUE(Table2[[#This Row],[Vào]]),0)</f>
        <v>0</v>
      </c>
      <c r="Z46" s="11">
        <f>IFERROR(TIMEVALUE(Table2[[#This Row],[Ra]]),0)</f>
        <v>0</v>
      </c>
      <c r="AA46" t="str">
        <f t="shared" si="3"/>
        <v/>
      </c>
      <c r="AB46" s="14">
        <f t="shared" si="1"/>
        <v>0</v>
      </c>
      <c r="AC46" s="14" t="str">
        <f>IF(VLOOKUP(A46,Data_NV!$A:$I,7,0)="Không","",IF(OR(AND(Y46=0,Z46=0),AND(Y46&lt;&gt;0,Z46&lt;&gt;0)),"","Quên chấm công"))</f>
        <v/>
      </c>
      <c r="AD46" s="14">
        <f>IF(VLOOKUP(A46,Data_NV!$A:$I,7,0)="Không",0,IF(AND(Y46=0,Z46=0),0,IF(X46&lt;=Z46,0,ROUNDDOWN((X46-Z46)*24*60,0))))</f>
        <v>0</v>
      </c>
      <c r="AE46" s="14">
        <f>IF(VLOOKUP(A46,Data_NV!$A:$I,6,0)="Không",0,IF(Z46&lt;=X46,0,ROUNDDOWN((Z46-X46)*24*60,0)))</f>
        <v>0</v>
      </c>
      <c r="AF46" s="29">
        <f t="shared" si="2"/>
        <v>0</v>
      </c>
      <c r="AG46" s="30" t="str">
        <f>IF(AC46="","",IF(COUNTIFS($AC$3:AC46,"Quên chấm công",$S$3:S46,S46)&gt;3,"Không chấm công do vi phạm quá 3 lần",IF(COUNTIFS($AC$3:AC46,"Quên chấm công",$S$3:S46,S46)&gt;2,"Trừ toàn bộ chuyên cần tháng do vi phạm lần 3",IF(COUNTIFS($AC$3:AC46,"Quên chấm công",$S$3:S46,S46)&gt;1,"Trừ 1/2 ngày lương",50000))))</f>
        <v/>
      </c>
      <c r="AH46" s="14" t="str">
        <f>IF(COUNTIFS($AF$3:AF46,"&gt;0",$S$3:S46,S46)&gt;3,"Trừ toàn bộ chuyên cần tháng","")</f>
        <v/>
      </c>
      <c r="AI46" s="14"/>
      <c r="AJ46" s="14"/>
    </row>
    <row r="47" spans="1:36" x14ac:dyDescent="0.25">
      <c r="A47" s="4" t="s">
        <v>141</v>
      </c>
      <c r="B47" s="1" t="s">
        <v>142</v>
      </c>
      <c r="C47" s="1" t="s">
        <v>20</v>
      </c>
      <c r="D47" s="1" t="s">
        <v>75</v>
      </c>
      <c r="E47" s="1" t="s">
        <v>22</v>
      </c>
      <c r="F47" s="1" t="s">
        <v>23</v>
      </c>
      <c r="G47" s="1" t="s">
        <v>12</v>
      </c>
      <c r="H47" s="12" t="s">
        <v>150</v>
      </c>
      <c r="I47" s="1" t="s">
        <v>24</v>
      </c>
      <c r="J47" s="1" t="s">
        <v>25</v>
      </c>
      <c r="K47" s="1" t="s">
        <v>25</v>
      </c>
      <c r="L47" s="1" t="s">
        <v>26</v>
      </c>
      <c r="M47" s="1" t="s">
        <v>25</v>
      </c>
      <c r="N47" s="1" t="s">
        <v>25</v>
      </c>
      <c r="O47" s="1" t="s">
        <v>25</v>
      </c>
      <c r="P47" s="1" t="s">
        <v>25</v>
      </c>
      <c r="Q47" s="1" t="s">
        <v>25</v>
      </c>
      <c r="R47" s="70" t="str">
        <f t="shared" si="0"/>
        <v>1045915</v>
      </c>
      <c r="S47" t="str">
        <f>VLOOKUP(A47,Data_NV!$A:$C,3,0)</f>
        <v xml:space="preserve"> Lê Kim Đãng   </v>
      </c>
      <c r="T47" t="str">
        <f>VLOOKUP(A47,Data_NV!$A:$E,4,0)</f>
        <v>Vận Hành</v>
      </c>
      <c r="U47" s="67">
        <f>DATEVALUE(Table2[[#This Row],[Ngày]])</f>
        <v>45915</v>
      </c>
      <c r="V47" t="str">
        <f>VLOOKUP(A47,Data_NV!$A:$E,5,0)</f>
        <v>Đang làm việc</v>
      </c>
      <c r="W47" s="11">
        <f>VLOOKUP(A47,Data_NV!$A:$I,8,0)</f>
        <v>0.3125</v>
      </c>
      <c r="X47" s="11">
        <f>VLOOKUP(A47,Data_NV!$A:$I,9,0)</f>
        <v>0.6875</v>
      </c>
      <c r="Y47" s="11">
        <f>IFERROR(TIMEVALUE(Table2[[#This Row],[Vào]]),0)</f>
        <v>0.26807870370370368</v>
      </c>
      <c r="Z47" s="11">
        <f>IFERROR(TIMEVALUE(Table2[[#This Row],[Ra]]),0)</f>
        <v>0</v>
      </c>
      <c r="AA47" t="str">
        <f t="shared" si="3"/>
        <v>x</v>
      </c>
      <c r="AB47" s="14">
        <f t="shared" si="1"/>
        <v>0</v>
      </c>
      <c r="AC47" s="14" t="str">
        <f>IF(VLOOKUP(A47,Data_NV!$A:$I,7,0)="Không","",IF(OR(AND(Y47=0,Z47=0),AND(Y47&lt;&gt;0,Z47&lt;&gt;0)),"","Quên chấm công"))</f>
        <v/>
      </c>
      <c r="AD47" s="14">
        <f>IF(VLOOKUP(A47,Data_NV!$A:$I,7,0)="Không",0,IF(AND(Y47=0,Z47=0),0,IF(X47&lt;=Z47,0,ROUNDDOWN((X47-Z47)*24*60,0))))</f>
        <v>0</v>
      </c>
      <c r="AE47" s="14">
        <f>IF(VLOOKUP(A47,Data_NV!$A:$I,6,0)="Không",0,IF(Z47&lt;=X47,0,ROUNDDOWN((Z47-X47)*24*60,0)))</f>
        <v>0</v>
      </c>
      <c r="AF47" s="29">
        <f t="shared" si="2"/>
        <v>0</v>
      </c>
      <c r="AG47" s="30" t="str">
        <f>IF(AC47="","",IF(COUNTIFS($AC$3:AC47,"Quên chấm công",$S$3:S47,S47)&gt;3,"Không chấm công do vi phạm quá 3 lần",IF(COUNTIFS($AC$3:AC47,"Quên chấm công",$S$3:S47,S47)&gt;2,"Trừ toàn bộ chuyên cần tháng do vi phạm lần 3",IF(COUNTIFS($AC$3:AC47,"Quên chấm công",$S$3:S47,S47)&gt;1,"Trừ 1/2 ngày lương",50000))))</f>
        <v/>
      </c>
      <c r="AH47" s="14" t="str">
        <f>IF(COUNTIFS($AF$3:AF47,"&gt;0",$S$3:S47,S47)&gt;3,"Trừ toàn bộ chuyên cần tháng","")</f>
        <v/>
      </c>
      <c r="AI47" s="14"/>
      <c r="AJ47" s="14"/>
    </row>
    <row r="48" spans="1:36" x14ac:dyDescent="0.25">
      <c r="A48" s="4" t="s">
        <v>141</v>
      </c>
      <c r="B48" s="1" t="s">
        <v>142</v>
      </c>
      <c r="C48" s="1" t="s">
        <v>20</v>
      </c>
      <c r="D48" s="1" t="s">
        <v>80</v>
      </c>
      <c r="E48" s="1" t="s">
        <v>22</v>
      </c>
      <c r="F48" s="1" t="s">
        <v>23</v>
      </c>
      <c r="G48" s="1" t="s">
        <v>12</v>
      </c>
      <c r="H48" s="12" t="s">
        <v>151</v>
      </c>
      <c r="I48" s="1" t="s">
        <v>24</v>
      </c>
      <c r="J48" s="1" t="s">
        <v>25</v>
      </c>
      <c r="K48" s="1" t="s">
        <v>25</v>
      </c>
      <c r="L48" s="1" t="s">
        <v>26</v>
      </c>
      <c r="M48" s="1" t="s">
        <v>25</v>
      </c>
      <c r="N48" s="1" t="s">
        <v>25</v>
      </c>
      <c r="O48" s="1" t="s">
        <v>25</v>
      </c>
      <c r="P48" s="1" t="s">
        <v>25</v>
      </c>
      <c r="Q48" s="1" t="s">
        <v>25</v>
      </c>
      <c r="R48" s="70" t="str">
        <f t="shared" si="0"/>
        <v>1045916</v>
      </c>
      <c r="S48" t="str">
        <f>VLOOKUP(A48,Data_NV!$A:$C,3,0)</f>
        <v xml:space="preserve"> Lê Kim Đãng   </v>
      </c>
      <c r="T48" t="str">
        <f>VLOOKUP(A48,Data_NV!$A:$E,4,0)</f>
        <v>Vận Hành</v>
      </c>
      <c r="U48" s="67">
        <f>DATEVALUE(Table2[[#This Row],[Ngày]])</f>
        <v>45916</v>
      </c>
      <c r="V48" t="str">
        <f>VLOOKUP(A48,Data_NV!$A:$E,5,0)</f>
        <v>Đang làm việc</v>
      </c>
      <c r="W48" s="11">
        <f>VLOOKUP(A48,Data_NV!$A:$I,8,0)</f>
        <v>0.3125</v>
      </c>
      <c r="X48" s="11">
        <f>VLOOKUP(A48,Data_NV!$A:$I,9,0)</f>
        <v>0.6875</v>
      </c>
      <c r="Y48" s="11">
        <f>IFERROR(TIMEVALUE(Table2[[#This Row],[Vào]]),0)</f>
        <v>0.28438657407407408</v>
      </c>
      <c r="Z48" s="11">
        <f>IFERROR(TIMEVALUE(Table2[[#This Row],[Ra]]),0)</f>
        <v>0</v>
      </c>
      <c r="AA48" t="str">
        <f t="shared" si="3"/>
        <v>x</v>
      </c>
      <c r="AB48" s="14">
        <f t="shared" si="1"/>
        <v>0</v>
      </c>
      <c r="AC48" s="14" t="str">
        <f>IF(VLOOKUP(A48,Data_NV!$A:$I,7,0)="Không","",IF(OR(AND(Y48=0,Z48=0),AND(Y48&lt;&gt;0,Z48&lt;&gt;0)),"","Quên chấm công"))</f>
        <v/>
      </c>
      <c r="AD48" s="14">
        <f>IF(VLOOKUP(A48,Data_NV!$A:$I,7,0)="Không",0,IF(AND(Y48=0,Z48=0),0,IF(X48&lt;=Z48,0,ROUNDDOWN((X48-Z48)*24*60,0))))</f>
        <v>0</v>
      </c>
      <c r="AE48" s="14">
        <f>IF(VLOOKUP(A48,Data_NV!$A:$I,6,0)="Không",0,IF(Z48&lt;=X48,0,ROUNDDOWN((Z48-X48)*24*60,0)))</f>
        <v>0</v>
      </c>
      <c r="AF48" s="29">
        <f t="shared" si="2"/>
        <v>0</v>
      </c>
      <c r="AG48" s="30" t="str">
        <f>IF(AC48="","",IF(COUNTIFS($AC$3:AC48,"Quên chấm công",$S$3:S48,S48)&gt;3,"Không chấm công do vi phạm quá 3 lần",IF(COUNTIFS($AC$3:AC48,"Quên chấm công",$S$3:S48,S48)&gt;2,"Trừ toàn bộ chuyên cần tháng do vi phạm lần 3",IF(COUNTIFS($AC$3:AC48,"Quên chấm công",$S$3:S48,S48)&gt;1,"Trừ 1/2 ngày lương",50000))))</f>
        <v/>
      </c>
      <c r="AH48" s="14" t="str">
        <f>IF(COUNTIFS($AF$3:AF48,"&gt;0",$S$3:S48,S48)&gt;3,"Trừ toàn bộ chuyên cần tháng","")</f>
        <v/>
      </c>
      <c r="AI48" s="14"/>
      <c r="AJ48" s="14"/>
    </row>
    <row r="49" spans="1:36" x14ac:dyDescent="0.25">
      <c r="A49" s="4" t="s">
        <v>141</v>
      </c>
      <c r="B49" s="1" t="s">
        <v>142</v>
      </c>
      <c r="C49" s="1" t="s">
        <v>20</v>
      </c>
      <c r="D49" s="1" t="s">
        <v>85</v>
      </c>
      <c r="E49" s="1" t="s">
        <v>22</v>
      </c>
      <c r="F49" s="1" t="s">
        <v>23</v>
      </c>
      <c r="G49" s="1" t="s">
        <v>12</v>
      </c>
      <c r="H49" s="12" t="s">
        <v>152</v>
      </c>
      <c r="I49" s="1" t="s">
        <v>24</v>
      </c>
      <c r="J49" s="1" t="s">
        <v>25</v>
      </c>
      <c r="K49" s="1" t="s">
        <v>25</v>
      </c>
      <c r="L49" s="1" t="s">
        <v>26</v>
      </c>
      <c r="M49" s="1" t="s">
        <v>25</v>
      </c>
      <c r="N49" s="1" t="s">
        <v>25</v>
      </c>
      <c r="O49" s="1" t="s">
        <v>25</v>
      </c>
      <c r="P49" s="1" t="s">
        <v>25</v>
      </c>
      <c r="Q49" s="1" t="s">
        <v>25</v>
      </c>
      <c r="R49" s="70" t="str">
        <f t="shared" si="0"/>
        <v>1045917</v>
      </c>
      <c r="S49" t="str">
        <f>VLOOKUP(A49,Data_NV!$A:$C,3,0)</f>
        <v xml:space="preserve"> Lê Kim Đãng   </v>
      </c>
      <c r="T49" t="str">
        <f>VLOOKUP(A49,Data_NV!$A:$E,4,0)</f>
        <v>Vận Hành</v>
      </c>
      <c r="U49" s="67">
        <f>DATEVALUE(Table2[[#This Row],[Ngày]])</f>
        <v>45917</v>
      </c>
      <c r="V49" t="str">
        <f>VLOOKUP(A49,Data_NV!$A:$E,5,0)</f>
        <v>Đang làm việc</v>
      </c>
      <c r="W49" s="11">
        <f>VLOOKUP(A49,Data_NV!$A:$I,8,0)</f>
        <v>0.3125</v>
      </c>
      <c r="X49" s="11">
        <f>VLOOKUP(A49,Data_NV!$A:$I,9,0)</f>
        <v>0.6875</v>
      </c>
      <c r="Y49" s="11">
        <f>IFERROR(TIMEVALUE(Table2[[#This Row],[Vào]]),0)</f>
        <v>0.28311342592592592</v>
      </c>
      <c r="Z49" s="11">
        <f>IFERROR(TIMEVALUE(Table2[[#This Row],[Ra]]),0)</f>
        <v>0</v>
      </c>
      <c r="AA49" t="str">
        <f t="shared" si="3"/>
        <v>x</v>
      </c>
      <c r="AB49" s="14">
        <f t="shared" si="1"/>
        <v>0</v>
      </c>
      <c r="AC49" s="14" t="str">
        <f>IF(VLOOKUP(A49,Data_NV!$A:$I,7,0)="Không","",IF(OR(AND(Y49=0,Z49=0),AND(Y49&lt;&gt;0,Z49&lt;&gt;0)),"","Quên chấm công"))</f>
        <v/>
      </c>
      <c r="AD49" s="14">
        <f>IF(VLOOKUP(A49,Data_NV!$A:$I,7,0)="Không",0,IF(AND(Y49=0,Z49=0),0,IF(X49&lt;=Z49,0,ROUNDDOWN((X49-Z49)*24*60,0))))</f>
        <v>0</v>
      </c>
      <c r="AE49" s="14">
        <f>IF(VLOOKUP(A49,Data_NV!$A:$I,6,0)="Không",0,IF(Z49&lt;=X49,0,ROUNDDOWN((Z49-X49)*24*60,0)))</f>
        <v>0</v>
      </c>
      <c r="AF49" s="29">
        <f t="shared" si="2"/>
        <v>0</v>
      </c>
      <c r="AG49" s="30" t="str">
        <f>IF(AC49="","",IF(COUNTIFS($AC$3:AC49,"Quên chấm công",$S$3:S49,S49)&gt;3,"Không chấm công do vi phạm quá 3 lần",IF(COUNTIFS($AC$3:AC49,"Quên chấm công",$S$3:S49,S49)&gt;2,"Trừ toàn bộ chuyên cần tháng do vi phạm lần 3",IF(COUNTIFS($AC$3:AC49,"Quên chấm công",$S$3:S49,S49)&gt;1,"Trừ 1/2 ngày lương",50000))))</f>
        <v/>
      </c>
      <c r="AH49" s="14" t="str">
        <f>IF(COUNTIFS($AF$3:AF49,"&gt;0",$S$3:S49,S49)&gt;3,"Trừ toàn bộ chuyên cần tháng","")</f>
        <v/>
      </c>
      <c r="AI49" s="14"/>
      <c r="AJ49" s="14"/>
    </row>
    <row r="50" spans="1:36" x14ac:dyDescent="0.25">
      <c r="A50" s="4" t="s">
        <v>141</v>
      </c>
      <c r="B50" s="1" t="s">
        <v>142</v>
      </c>
      <c r="C50" s="1" t="s">
        <v>20</v>
      </c>
      <c r="D50" s="1" t="s">
        <v>90</v>
      </c>
      <c r="E50" s="1" t="s">
        <v>22</v>
      </c>
      <c r="F50" s="1" t="s">
        <v>23</v>
      </c>
      <c r="G50" s="1" t="s">
        <v>12</v>
      </c>
      <c r="H50" s="12" t="s">
        <v>153</v>
      </c>
      <c r="I50" s="1" t="s">
        <v>24</v>
      </c>
      <c r="J50" s="1" t="s">
        <v>25</v>
      </c>
      <c r="K50" s="1" t="s">
        <v>25</v>
      </c>
      <c r="L50" s="1" t="s">
        <v>26</v>
      </c>
      <c r="M50" s="1" t="s">
        <v>25</v>
      </c>
      <c r="N50" s="1" t="s">
        <v>25</v>
      </c>
      <c r="O50" s="1" t="s">
        <v>25</v>
      </c>
      <c r="P50" s="1" t="s">
        <v>25</v>
      </c>
      <c r="Q50" s="1" t="s">
        <v>25</v>
      </c>
      <c r="R50" s="70" t="str">
        <f t="shared" si="0"/>
        <v>1045918</v>
      </c>
      <c r="S50" t="str">
        <f>VLOOKUP(A50,Data_NV!$A:$C,3,0)</f>
        <v xml:space="preserve"> Lê Kim Đãng   </v>
      </c>
      <c r="T50" t="str">
        <f>VLOOKUP(A50,Data_NV!$A:$E,4,0)</f>
        <v>Vận Hành</v>
      </c>
      <c r="U50" s="67">
        <f>DATEVALUE(Table2[[#This Row],[Ngày]])</f>
        <v>45918</v>
      </c>
      <c r="V50" t="str">
        <f>VLOOKUP(A50,Data_NV!$A:$E,5,0)</f>
        <v>Đang làm việc</v>
      </c>
      <c r="W50" s="11">
        <f>VLOOKUP(A50,Data_NV!$A:$I,8,0)</f>
        <v>0.3125</v>
      </c>
      <c r="X50" s="11">
        <f>VLOOKUP(A50,Data_NV!$A:$I,9,0)</f>
        <v>0.6875</v>
      </c>
      <c r="Y50" s="11">
        <f>IFERROR(TIMEVALUE(Table2[[#This Row],[Vào]]),0)</f>
        <v>0.28072916666666664</v>
      </c>
      <c r="Z50" s="11">
        <f>IFERROR(TIMEVALUE(Table2[[#This Row],[Ra]]),0)</f>
        <v>0</v>
      </c>
      <c r="AA50" t="str">
        <f t="shared" si="3"/>
        <v>x</v>
      </c>
      <c r="AB50" s="14">
        <f t="shared" si="1"/>
        <v>0</v>
      </c>
      <c r="AC50" s="14" t="str">
        <f>IF(VLOOKUP(A50,Data_NV!$A:$I,7,0)="Không","",IF(OR(AND(Y50=0,Z50=0),AND(Y50&lt;&gt;0,Z50&lt;&gt;0)),"","Quên chấm công"))</f>
        <v/>
      </c>
      <c r="AD50" s="14">
        <f>IF(VLOOKUP(A50,Data_NV!$A:$I,7,0)="Không",0,IF(AND(Y50=0,Z50=0),0,IF(X50&lt;=Z50,0,ROUNDDOWN((X50-Z50)*24*60,0))))</f>
        <v>0</v>
      </c>
      <c r="AE50" s="14">
        <f>IF(VLOOKUP(A50,Data_NV!$A:$I,6,0)="Không",0,IF(Z50&lt;=X50,0,ROUNDDOWN((Z50-X50)*24*60,0)))</f>
        <v>0</v>
      </c>
      <c r="AF50" s="29">
        <f t="shared" si="2"/>
        <v>0</v>
      </c>
      <c r="AG50" s="30" t="str">
        <f>IF(AC50="","",IF(COUNTIFS($AC$3:AC50,"Quên chấm công",$S$3:S50,S50)&gt;3,"Không chấm công do vi phạm quá 3 lần",IF(COUNTIFS($AC$3:AC50,"Quên chấm công",$S$3:S50,S50)&gt;2,"Trừ toàn bộ chuyên cần tháng do vi phạm lần 3",IF(COUNTIFS($AC$3:AC50,"Quên chấm công",$S$3:S50,S50)&gt;1,"Trừ 1/2 ngày lương",50000))))</f>
        <v/>
      </c>
      <c r="AH50" s="14" t="str">
        <f>IF(COUNTIFS($AF$3:AF50,"&gt;0",$S$3:S50,S50)&gt;3,"Trừ toàn bộ chuyên cần tháng","")</f>
        <v/>
      </c>
      <c r="AI50" s="14"/>
      <c r="AJ50" s="14"/>
    </row>
    <row r="51" spans="1:36" x14ac:dyDescent="0.25">
      <c r="A51" s="4" t="s">
        <v>141</v>
      </c>
      <c r="B51" s="1" t="s">
        <v>142</v>
      </c>
      <c r="C51" s="1" t="s">
        <v>20</v>
      </c>
      <c r="D51" s="1" t="s">
        <v>95</v>
      </c>
      <c r="E51" s="1" t="s">
        <v>22</v>
      </c>
      <c r="F51" s="1" t="s">
        <v>23</v>
      </c>
      <c r="G51" s="1" t="s">
        <v>12</v>
      </c>
      <c r="H51" s="12" t="s">
        <v>154</v>
      </c>
      <c r="I51" s="1" t="s">
        <v>24</v>
      </c>
      <c r="J51" s="1" t="s">
        <v>25</v>
      </c>
      <c r="K51" s="1" t="s">
        <v>25</v>
      </c>
      <c r="L51" s="1" t="s">
        <v>26</v>
      </c>
      <c r="M51" s="1" t="s">
        <v>25</v>
      </c>
      <c r="N51" s="1" t="s">
        <v>25</v>
      </c>
      <c r="O51" s="1" t="s">
        <v>25</v>
      </c>
      <c r="P51" s="1" t="s">
        <v>25</v>
      </c>
      <c r="Q51" s="1" t="s">
        <v>25</v>
      </c>
      <c r="R51" s="70" t="str">
        <f t="shared" si="0"/>
        <v>1045919</v>
      </c>
      <c r="S51" t="str">
        <f>VLOOKUP(A51,Data_NV!$A:$C,3,0)</f>
        <v xml:space="preserve"> Lê Kim Đãng   </v>
      </c>
      <c r="T51" t="str">
        <f>VLOOKUP(A51,Data_NV!$A:$E,4,0)</f>
        <v>Vận Hành</v>
      </c>
      <c r="U51" s="67">
        <f>DATEVALUE(Table2[[#This Row],[Ngày]])</f>
        <v>45919</v>
      </c>
      <c r="V51" t="str">
        <f>VLOOKUP(A51,Data_NV!$A:$E,5,0)</f>
        <v>Đang làm việc</v>
      </c>
      <c r="W51" s="11">
        <f>VLOOKUP(A51,Data_NV!$A:$I,8,0)</f>
        <v>0.3125</v>
      </c>
      <c r="X51" s="11">
        <f>VLOOKUP(A51,Data_NV!$A:$I,9,0)</f>
        <v>0.6875</v>
      </c>
      <c r="Y51" s="11">
        <f>IFERROR(TIMEVALUE(Table2[[#This Row],[Vào]]),0)</f>
        <v>0.27937499999999998</v>
      </c>
      <c r="Z51" s="11">
        <f>IFERROR(TIMEVALUE(Table2[[#This Row],[Ra]]),0)</f>
        <v>0</v>
      </c>
      <c r="AA51" t="str">
        <f t="shared" si="3"/>
        <v>x</v>
      </c>
      <c r="AB51" s="14">
        <f t="shared" si="1"/>
        <v>0</v>
      </c>
      <c r="AC51" s="14" t="str">
        <f>IF(VLOOKUP(A51,Data_NV!$A:$I,7,0)="Không","",IF(OR(AND(Y51=0,Z51=0),AND(Y51&lt;&gt;0,Z51&lt;&gt;0)),"","Quên chấm công"))</f>
        <v/>
      </c>
      <c r="AD51" s="14">
        <f>IF(VLOOKUP(A51,Data_NV!$A:$I,7,0)="Không",0,IF(AND(Y51=0,Z51=0),0,IF(X51&lt;=Z51,0,ROUNDDOWN((X51-Z51)*24*60,0))))</f>
        <v>0</v>
      </c>
      <c r="AE51" s="14">
        <f>IF(VLOOKUP(A51,Data_NV!$A:$I,6,0)="Không",0,IF(Z51&lt;=X51,0,ROUNDDOWN((Z51-X51)*24*60,0)))</f>
        <v>0</v>
      </c>
      <c r="AF51" s="29">
        <f t="shared" si="2"/>
        <v>0</v>
      </c>
      <c r="AG51" s="30" t="str">
        <f>IF(AC51="","",IF(COUNTIFS($AC$3:AC51,"Quên chấm công",$S$3:S51,S51)&gt;3,"Không chấm công do vi phạm quá 3 lần",IF(COUNTIFS($AC$3:AC51,"Quên chấm công",$S$3:S51,S51)&gt;2,"Trừ toàn bộ chuyên cần tháng do vi phạm lần 3",IF(COUNTIFS($AC$3:AC51,"Quên chấm công",$S$3:S51,S51)&gt;1,"Trừ 1/2 ngày lương",50000))))</f>
        <v/>
      </c>
      <c r="AH51" s="14" t="str">
        <f>IF(COUNTIFS($AF$3:AF51,"&gt;0",$S$3:S51,S51)&gt;3,"Trừ toàn bộ chuyên cần tháng","")</f>
        <v/>
      </c>
      <c r="AI51" s="14"/>
      <c r="AJ51" s="14"/>
    </row>
    <row r="52" spans="1:36" x14ac:dyDescent="0.25">
      <c r="A52" s="4" t="s">
        <v>141</v>
      </c>
      <c r="B52" s="1" t="s">
        <v>142</v>
      </c>
      <c r="C52" s="1" t="s">
        <v>20</v>
      </c>
      <c r="D52" s="1" t="s">
        <v>100</v>
      </c>
      <c r="E52" s="1" t="s">
        <v>22</v>
      </c>
      <c r="F52" s="1" t="s">
        <v>23</v>
      </c>
      <c r="G52" s="1" t="s">
        <v>12</v>
      </c>
      <c r="H52" s="12" t="s">
        <v>155</v>
      </c>
      <c r="I52" s="1" t="s">
        <v>24</v>
      </c>
      <c r="J52" s="1" t="s">
        <v>25</v>
      </c>
      <c r="K52" s="1" t="s">
        <v>25</v>
      </c>
      <c r="L52" s="1" t="s">
        <v>26</v>
      </c>
      <c r="M52" s="1" t="s">
        <v>25</v>
      </c>
      <c r="N52" s="1" t="s">
        <v>25</v>
      </c>
      <c r="O52" s="1" t="s">
        <v>25</v>
      </c>
      <c r="P52" s="1" t="s">
        <v>25</v>
      </c>
      <c r="Q52" s="1" t="s">
        <v>25</v>
      </c>
      <c r="R52" s="70" t="str">
        <f t="shared" si="0"/>
        <v>1045920</v>
      </c>
      <c r="S52" t="str">
        <f>VLOOKUP(A52,Data_NV!$A:$C,3,0)</f>
        <v xml:space="preserve"> Lê Kim Đãng   </v>
      </c>
      <c r="T52" t="str">
        <f>VLOOKUP(A52,Data_NV!$A:$E,4,0)</f>
        <v>Vận Hành</v>
      </c>
      <c r="U52" s="67">
        <f>DATEVALUE(Table2[[#This Row],[Ngày]])</f>
        <v>45920</v>
      </c>
      <c r="V52" t="str">
        <f>VLOOKUP(A52,Data_NV!$A:$E,5,0)</f>
        <v>Đang làm việc</v>
      </c>
      <c r="W52" s="11">
        <f>VLOOKUP(A52,Data_NV!$A:$I,8,0)</f>
        <v>0.3125</v>
      </c>
      <c r="X52" s="11">
        <f>VLOOKUP(A52,Data_NV!$A:$I,9,0)</f>
        <v>0.6875</v>
      </c>
      <c r="Y52" s="11">
        <f>IFERROR(TIMEVALUE(Table2[[#This Row],[Vào]]),0)</f>
        <v>0.27914351851851854</v>
      </c>
      <c r="Z52" s="11">
        <f>IFERROR(TIMEVALUE(Table2[[#This Row],[Ra]]),0)</f>
        <v>0</v>
      </c>
      <c r="AA52" t="str">
        <f t="shared" si="3"/>
        <v>x</v>
      </c>
      <c r="AB52" s="14">
        <f t="shared" si="1"/>
        <v>0</v>
      </c>
      <c r="AC52" s="14" t="str">
        <f>IF(VLOOKUP(A52,Data_NV!$A:$I,7,0)="Không","",IF(OR(AND(Y52=0,Z52=0),AND(Y52&lt;&gt;0,Z52&lt;&gt;0)),"","Quên chấm công"))</f>
        <v/>
      </c>
      <c r="AD52" s="14">
        <f>IF(VLOOKUP(A52,Data_NV!$A:$I,7,0)="Không",0,IF(AND(Y52=0,Z52=0),0,IF(X52&lt;=Z52,0,ROUNDDOWN((X52-Z52)*24*60,0))))</f>
        <v>0</v>
      </c>
      <c r="AE52" s="14">
        <f>IF(VLOOKUP(A52,Data_NV!$A:$I,6,0)="Không",0,IF(Z52&lt;=X52,0,ROUNDDOWN((Z52-X52)*24*60,0)))</f>
        <v>0</v>
      </c>
      <c r="AF52" s="29">
        <f t="shared" si="2"/>
        <v>0</v>
      </c>
      <c r="AG52" s="30" t="str">
        <f>IF(AC52="","",IF(COUNTIFS($AC$3:AC52,"Quên chấm công",$S$3:S52,S52)&gt;3,"Không chấm công do vi phạm quá 3 lần",IF(COUNTIFS($AC$3:AC52,"Quên chấm công",$S$3:S52,S52)&gt;2,"Trừ toàn bộ chuyên cần tháng do vi phạm lần 3",IF(COUNTIFS($AC$3:AC52,"Quên chấm công",$S$3:S52,S52)&gt;1,"Trừ 1/2 ngày lương",50000))))</f>
        <v/>
      </c>
      <c r="AH52" s="14" t="str">
        <f>IF(COUNTIFS($AF$3:AF52,"&gt;0",$S$3:S52,S52)&gt;3,"Trừ toàn bộ chuyên cần tháng","")</f>
        <v/>
      </c>
      <c r="AI52" s="14"/>
      <c r="AJ52" s="14"/>
    </row>
    <row r="53" spans="1:36" x14ac:dyDescent="0.25">
      <c r="A53" s="4" t="s">
        <v>141</v>
      </c>
      <c r="B53" s="1" t="s">
        <v>142</v>
      </c>
      <c r="C53" s="1" t="s">
        <v>20</v>
      </c>
      <c r="D53" s="1" t="s">
        <v>105</v>
      </c>
      <c r="E53" s="1" t="s">
        <v>22</v>
      </c>
      <c r="F53" s="1" t="s">
        <v>23</v>
      </c>
      <c r="G53" s="1" t="s">
        <v>12</v>
      </c>
      <c r="H53" s="12" t="s">
        <v>24</v>
      </c>
      <c r="I53" s="1" t="s">
        <v>24</v>
      </c>
      <c r="J53" s="1" t="s">
        <v>25</v>
      </c>
      <c r="K53" s="1" t="s">
        <v>25</v>
      </c>
      <c r="L53" s="1" t="s">
        <v>26</v>
      </c>
      <c r="M53" s="1" t="s">
        <v>25</v>
      </c>
      <c r="N53" s="1" t="s">
        <v>25</v>
      </c>
      <c r="O53" s="1" t="s">
        <v>25</v>
      </c>
      <c r="P53" s="1" t="s">
        <v>25</v>
      </c>
      <c r="Q53" s="1" t="s">
        <v>25</v>
      </c>
      <c r="R53" s="70" t="str">
        <f t="shared" si="0"/>
        <v>1045921</v>
      </c>
      <c r="S53" t="str">
        <f>VLOOKUP(A53,Data_NV!$A:$C,3,0)</f>
        <v xml:space="preserve"> Lê Kim Đãng   </v>
      </c>
      <c r="T53" t="str">
        <f>VLOOKUP(A53,Data_NV!$A:$E,4,0)</f>
        <v>Vận Hành</v>
      </c>
      <c r="U53" s="67">
        <f>DATEVALUE(Table2[[#This Row],[Ngày]])</f>
        <v>45921</v>
      </c>
      <c r="V53" t="str">
        <f>VLOOKUP(A53,Data_NV!$A:$E,5,0)</f>
        <v>Đang làm việc</v>
      </c>
      <c r="W53" s="11">
        <f>VLOOKUP(A53,Data_NV!$A:$I,8,0)</f>
        <v>0.3125</v>
      </c>
      <c r="X53" s="11">
        <f>VLOOKUP(A53,Data_NV!$A:$I,9,0)</f>
        <v>0.6875</v>
      </c>
      <c r="Y53" s="11">
        <f>IFERROR(TIMEVALUE(Table2[[#This Row],[Vào]]),0)</f>
        <v>0</v>
      </c>
      <c r="Z53" s="11">
        <f>IFERROR(TIMEVALUE(Table2[[#This Row],[Ra]]),0)</f>
        <v>0</v>
      </c>
      <c r="AA53" t="str">
        <f t="shared" si="3"/>
        <v/>
      </c>
      <c r="AB53" s="14">
        <f t="shared" si="1"/>
        <v>0</v>
      </c>
      <c r="AC53" s="14" t="str">
        <f>IF(VLOOKUP(A53,Data_NV!$A:$I,7,0)="Không","",IF(OR(AND(Y53=0,Z53=0),AND(Y53&lt;&gt;0,Z53&lt;&gt;0)),"","Quên chấm công"))</f>
        <v/>
      </c>
      <c r="AD53" s="14">
        <f>IF(VLOOKUP(A53,Data_NV!$A:$I,7,0)="Không",0,IF(AND(Y53=0,Z53=0),0,IF(X53&lt;=Z53,0,ROUNDDOWN((X53-Z53)*24*60,0))))</f>
        <v>0</v>
      </c>
      <c r="AE53" s="14">
        <f>IF(VLOOKUP(A53,Data_NV!$A:$I,6,0)="Không",0,IF(Z53&lt;=X53,0,ROUNDDOWN((Z53-X53)*24*60,0)))</f>
        <v>0</v>
      </c>
      <c r="AF53" s="29">
        <f t="shared" si="2"/>
        <v>0</v>
      </c>
      <c r="AG53" s="30" t="str">
        <f>IF(AC53="","",IF(COUNTIFS($AC$3:AC53,"Quên chấm công",$S$3:S53,S53)&gt;3,"Không chấm công do vi phạm quá 3 lần",IF(COUNTIFS($AC$3:AC53,"Quên chấm công",$S$3:S53,S53)&gt;2,"Trừ toàn bộ chuyên cần tháng do vi phạm lần 3",IF(COUNTIFS($AC$3:AC53,"Quên chấm công",$S$3:S53,S53)&gt;1,"Trừ 1/2 ngày lương",50000))))</f>
        <v/>
      </c>
      <c r="AH53" s="14" t="str">
        <f>IF(COUNTIFS($AF$3:AF53,"&gt;0",$S$3:S53,S53)&gt;3,"Trừ toàn bộ chuyên cần tháng","")</f>
        <v/>
      </c>
      <c r="AI53" s="14"/>
      <c r="AJ53" s="14"/>
    </row>
    <row r="54" spans="1:36" x14ac:dyDescent="0.25">
      <c r="A54" s="4" t="s">
        <v>141</v>
      </c>
      <c r="B54" s="1" t="s">
        <v>142</v>
      </c>
      <c r="C54" s="1" t="s">
        <v>20</v>
      </c>
      <c r="D54" s="1" t="s">
        <v>106</v>
      </c>
      <c r="E54" s="1" t="s">
        <v>22</v>
      </c>
      <c r="F54" s="1" t="s">
        <v>23</v>
      </c>
      <c r="G54" s="1" t="s">
        <v>12</v>
      </c>
      <c r="H54" s="12" t="s">
        <v>24</v>
      </c>
      <c r="I54" s="1" t="s">
        <v>24</v>
      </c>
      <c r="J54" s="1" t="s">
        <v>25</v>
      </c>
      <c r="K54" s="1" t="s">
        <v>25</v>
      </c>
      <c r="L54" s="1" t="s">
        <v>26</v>
      </c>
      <c r="M54" s="1" t="s">
        <v>25</v>
      </c>
      <c r="N54" s="1" t="s">
        <v>25</v>
      </c>
      <c r="O54" s="1" t="s">
        <v>25</v>
      </c>
      <c r="P54" s="1" t="s">
        <v>25</v>
      </c>
      <c r="Q54" s="1" t="s">
        <v>25</v>
      </c>
      <c r="R54" s="70" t="str">
        <f t="shared" si="0"/>
        <v>1045922</v>
      </c>
      <c r="S54" t="str">
        <f>VLOOKUP(A54,Data_NV!$A:$C,3,0)</f>
        <v xml:space="preserve"> Lê Kim Đãng   </v>
      </c>
      <c r="T54" t="str">
        <f>VLOOKUP(A54,Data_NV!$A:$E,4,0)</f>
        <v>Vận Hành</v>
      </c>
      <c r="U54" s="67">
        <f>DATEVALUE(Table2[[#This Row],[Ngày]])</f>
        <v>45922</v>
      </c>
      <c r="V54" t="str">
        <f>VLOOKUP(A54,Data_NV!$A:$E,5,0)</f>
        <v>Đang làm việc</v>
      </c>
      <c r="W54" s="11">
        <f>VLOOKUP(A54,Data_NV!$A:$I,8,0)</f>
        <v>0.3125</v>
      </c>
      <c r="X54" s="11">
        <f>VLOOKUP(A54,Data_NV!$A:$I,9,0)</f>
        <v>0.6875</v>
      </c>
      <c r="Y54" s="11">
        <f>IFERROR(TIMEVALUE(Table2[[#This Row],[Vào]]),0)</f>
        <v>0</v>
      </c>
      <c r="Z54" s="11">
        <f>IFERROR(TIMEVALUE(Table2[[#This Row],[Ra]]),0)</f>
        <v>0</v>
      </c>
      <c r="AA54" t="str">
        <f t="shared" si="3"/>
        <v/>
      </c>
      <c r="AB54" s="14">
        <f t="shared" si="1"/>
        <v>0</v>
      </c>
      <c r="AC54" s="14" t="str">
        <f>IF(VLOOKUP(A54,Data_NV!$A:$I,7,0)="Không","",IF(OR(AND(Y54=0,Z54=0),AND(Y54&lt;&gt;0,Z54&lt;&gt;0)),"","Quên chấm công"))</f>
        <v/>
      </c>
      <c r="AD54" s="14">
        <f>IF(VLOOKUP(A54,Data_NV!$A:$I,7,0)="Không",0,IF(AND(Y54=0,Z54=0),0,IF(X54&lt;=Z54,0,ROUNDDOWN((X54-Z54)*24*60,0))))</f>
        <v>0</v>
      </c>
      <c r="AE54" s="14">
        <f>IF(VLOOKUP(A54,Data_NV!$A:$I,6,0)="Không",0,IF(Z54&lt;=X54,0,ROUNDDOWN((Z54-X54)*24*60,0)))</f>
        <v>0</v>
      </c>
      <c r="AF54" s="29">
        <f t="shared" si="2"/>
        <v>0</v>
      </c>
      <c r="AG54" s="30" t="str">
        <f>IF(AC54="","",IF(COUNTIFS($AC$3:AC54,"Quên chấm công",$S$3:S54,S54)&gt;3,"Không chấm công do vi phạm quá 3 lần",IF(COUNTIFS($AC$3:AC54,"Quên chấm công",$S$3:S54,S54)&gt;2,"Trừ toàn bộ chuyên cần tháng do vi phạm lần 3",IF(COUNTIFS($AC$3:AC54,"Quên chấm công",$S$3:S54,S54)&gt;1,"Trừ 1/2 ngày lương",50000))))</f>
        <v/>
      </c>
      <c r="AH54" s="14" t="str">
        <f>IF(COUNTIFS($AF$3:AF54,"&gt;0",$S$3:S54,S54)&gt;3,"Trừ toàn bộ chuyên cần tháng","")</f>
        <v/>
      </c>
      <c r="AI54" s="14"/>
      <c r="AJ54" s="14"/>
    </row>
    <row r="55" spans="1:36" x14ac:dyDescent="0.25">
      <c r="A55" s="4" t="s">
        <v>141</v>
      </c>
      <c r="B55" s="1" t="s">
        <v>142</v>
      </c>
      <c r="C55" s="1" t="s">
        <v>20</v>
      </c>
      <c r="D55" s="1" t="s">
        <v>111</v>
      </c>
      <c r="E55" s="1" t="s">
        <v>22</v>
      </c>
      <c r="F55" s="1" t="s">
        <v>23</v>
      </c>
      <c r="G55" s="1" t="s">
        <v>12</v>
      </c>
      <c r="H55" s="12" t="s">
        <v>156</v>
      </c>
      <c r="I55" s="1" t="s">
        <v>24</v>
      </c>
      <c r="J55" s="1" t="s">
        <v>25</v>
      </c>
      <c r="K55" s="1" t="s">
        <v>25</v>
      </c>
      <c r="L55" s="1" t="s">
        <v>26</v>
      </c>
      <c r="M55" s="1" t="s">
        <v>25</v>
      </c>
      <c r="N55" s="1" t="s">
        <v>25</v>
      </c>
      <c r="O55" s="1" t="s">
        <v>25</v>
      </c>
      <c r="P55" s="1" t="s">
        <v>25</v>
      </c>
      <c r="Q55" s="1" t="s">
        <v>25</v>
      </c>
      <c r="R55" s="70" t="str">
        <f t="shared" si="0"/>
        <v>1045923</v>
      </c>
      <c r="S55" t="str">
        <f>VLOOKUP(A55,Data_NV!$A:$C,3,0)</f>
        <v xml:space="preserve"> Lê Kim Đãng   </v>
      </c>
      <c r="T55" t="str">
        <f>VLOOKUP(A55,Data_NV!$A:$E,4,0)</f>
        <v>Vận Hành</v>
      </c>
      <c r="U55" s="67">
        <f>DATEVALUE(Table2[[#This Row],[Ngày]])</f>
        <v>45923</v>
      </c>
      <c r="V55" t="str">
        <f>VLOOKUP(A55,Data_NV!$A:$E,5,0)</f>
        <v>Đang làm việc</v>
      </c>
      <c r="W55" s="11">
        <f>VLOOKUP(A55,Data_NV!$A:$I,8,0)</f>
        <v>0.3125</v>
      </c>
      <c r="X55" s="11">
        <f>VLOOKUP(A55,Data_NV!$A:$I,9,0)</f>
        <v>0.6875</v>
      </c>
      <c r="Y55" s="11">
        <f>IFERROR(TIMEVALUE(Table2[[#This Row],[Vào]]),0)</f>
        <v>0.28267361111111111</v>
      </c>
      <c r="Z55" s="11">
        <f>IFERROR(TIMEVALUE(Table2[[#This Row],[Ra]]),0)</f>
        <v>0</v>
      </c>
      <c r="AA55" t="str">
        <f t="shared" si="3"/>
        <v>x</v>
      </c>
      <c r="AB55" s="14">
        <f t="shared" si="1"/>
        <v>0</v>
      </c>
      <c r="AC55" s="14" t="str">
        <f>IF(VLOOKUP(A55,Data_NV!$A:$I,7,0)="Không","",IF(OR(AND(Y55=0,Z55=0),AND(Y55&lt;&gt;0,Z55&lt;&gt;0)),"","Quên chấm công"))</f>
        <v/>
      </c>
      <c r="AD55" s="14">
        <f>IF(VLOOKUP(A55,Data_NV!$A:$I,7,0)="Không",0,IF(AND(Y55=0,Z55=0),0,IF(X55&lt;=Z55,0,ROUNDDOWN((X55-Z55)*24*60,0))))</f>
        <v>0</v>
      </c>
      <c r="AE55" s="14">
        <f>IF(VLOOKUP(A55,Data_NV!$A:$I,6,0)="Không",0,IF(Z55&lt;=X55,0,ROUNDDOWN((Z55-X55)*24*60,0)))</f>
        <v>0</v>
      </c>
      <c r="AF55" s="29">
        <f t="shared" si="2"/>
        <v>0</v>
      </c>
      <c r="AG55" s="30" t="str">
        <f>IF(AC55="","",IF(COUNTIFS($AC$3:AC55,"Quên chấm công",$S$3:S55,S55)&gt;3,"Không chấm công do vi phạm quá 3 lần",IF(COUNTIFS($AC$3:AC55,"Quên chấm công",$S$3:S55,S55)&gt;2,"Trừ toàn bộ chuyên cần tháng do vi phạm lần 3",IF(COUNTIFS($AC$3:AC55,"Quên chấm công",$S$3:S55,S55)&gt;1,"Trừ 1/2 ngày lương",50000))))</f>
        <v/>
      </c>
      <c r="AH55" s="14" t="str">
        <f>IF(COUNTIFS($AF$3:AF55,"&gt;0",$S$3:S55,S55)&gt;3,"Trừ toàn bộ chuyên cần tháng","")</f>
        <v/>
      </c>
      <c r="AI55" s="14"/>
      <c r="AJ55" s="14"/>
    </row>
    <row r="56" spans="1:36" x14ac:dyDescent="0.25">
      <c r="A56" s="4" t="s">
        <v>141</v>
      </c>
      <c r="B56" s="1" t="s">
        <v>142</v>
      </c>
      <c r="C56" s="1" t="s">
        <v>20</v>
      </c>
      <c r="D56" s="1" t="s">
        <v>116</v>
      </c>
      <c r="E56" s="1" t="s">
        <v>22</v>
      </c>
      <c r="F56" s="1" t="s">
        <v>23</v>
      </c>
      <c r="G56" s="1" t="s">
        <v>12</v>
      </c>
      <c r="H56" s="12" t="s">
        <v>157</v>
      </c>
      <c r="I56" s="1" t="s">
        <v>24</v>
      </c>
      <c r="J56" s="1" t="s">
        <v>25</v>
      </c>
      <c r="K56" s="1" t="s">
        <v>25</v>
      </c>
      <c r="L56" s="1" t="s">
        <v>26</v>
      </c>
      <c r="M56" s="1" t="s">
        <v>25</v>
      </c>
      <c r="N56" s="1" t="s">
        <v>25</v>
      </c>
      <c r="O56" s="1" t="s">
        <v>25</v>
      </c>
      <c r="P56" s="1" t="s">
        <v>25</v>
      </c>
      <c r="Q56" s="1" t="s">
        <v>25</v>
      </c>
      <c r="R56" s="70" t="str">
        <f t="shared" si="0"/>
        <v>1045924</v>
      </c>
      <c r="S56" t="str">
        <f>VLOOKUP(A56,Data_NV!$A:$C,3,0)</f>
        <v xml:space="preserve"> Lê Kim Đãng   </v>
      </c>
      <c r="T56" t="str">
        <f>VLOOKUP(A56,Data_NV!$A:$E,4,0)</f>
        <v>Vận Hành</v>
      </c>
      <c r="U56" s="67">
        <f>DATEVALUE(Table2[[#This Row],[Ngày]])</f>
        <v>45924</v>
      </c>
      <c r="V56" t="str">
        <f>VLOOKUP(A56,Data_NV!$A:$E,5,0)</f>
        <v>Đang làm việc</v>
      </c>
      <c r="W56" s="11">
        <f>VLOOKUP(A56,Data_NV!$A:$I,8,0)</f>
        <v>0.3125</v>
      </c>
      <c r="X56" s="11">
        <f>VLOOKUP(A56,Data_NV!$A:$I,9,0)</f>
        <v>0.6875</v>
      </c>
      <c r="Y56" s="11">
        <f>IFERROR(TIMEVALUE(Table2[[#This Row],[Vào]]),0)</f>
        <v>0.28760416666666666</v>
      </c>
      <c r="Z56" s="11">
        <f>IFERROR(TIMEVALUE(Table2[[#This Row],[Ra]]),0)</f>
        <v>0</v>
      </c>
      <c r="AA56" t="str">
        <f t="shared" si="3"/>
        <v>x</v>
      </c>
      <c r="AB56" s="14">
        <f t="shared" si="1"/>
        <v>0</v>
      </c>
      <c r="AC56" s="14" t="str">
        <f>IF(VLOOKUP(A56,Data_NV!$A:$I,7,0)="Không","",IF(OR(AND(Y56=0,Z56=0),AND(Y56&lt;&gt;0,Z56&lt;&gt;0)),"","Quên chấm công"))</f>
        <v/>
      </c>
      <c r="AD56" s="14">
        <f>IF(VLOOKUP(A56,Data_NV!$A:$I,7,0)="Không",0,IF(AND(Y56=0,Z56=0),0,IF(X56&lt;=Z56,0,ROUNDDOWN((X56-Z56)*24*60,0))))</f>
        <v>0</v>
      </c>
      <c r="AE56" s="14">
        <f>IF(VLOOKUP(A56,Data_NV!$A:$I,6,0)="Không",0,IF(Z56&lt;=X56,0,ROUNDDOWN((Z56-X56)*24*60,0)))</f>
        <v>0</v>
      </c>
      <c r="AF56" s="29">
        <f t="shared" si="2"/>
        <v>0</v>
      </c>
      <c r="AG56" s="30" t="str">
        <f>IF(AC56="","",IF(COUNTIFS($AC$3:AC56,"Quên chấm công",$S$3:S56,S56)&gt;3,"Không chấm công do vi phạm quá 3 lần",IF(COUNTIFS($AC$3:AC56,"Quên chấm công",$S$3:S56,S56)&gt;2,"Trừ toàn bộ chuyên cần tháng do vi phạm lần 3",IF(COUNTIFS($AC$3:AC56,"Quên chấm công",$S$3:S56,S56)&gt;1,"Trừ 1/2 ngày lương",50000))))</f>
        <v/>
      </c>
      <c r="AH56" s="14" t="str">
        <f>IF(COUNTIFS($AF$3:AF56,"&gt;0",$S$3:S56,S56)&gt;3,"Trừ toàn bộ chuyên cần tháng","")</f>
        <v/>
      </c>
      <c r="AI56" s="14"/>
      <c r="AJ56" s="14"/>
    </row>
    <row r="57" spans="1:36" x14ac:dyDescent="0.25">
      <c r="A57" s="4" t="s">
        <v>141</v>
      </c>
      <c r="B57" s="1" t="s">
        <v>142</v>
      </c>
      <c r="C57" s="1" t="s">
        <v>20</v>
      </c>
      <c r="D57" s="1" t="s">
        <v>121</v>
      </c>
      <c r="E57" s="1" t="s">
        <v>22</v>
      </c>
      <c r="F57" s="1" t="s">
        <v>23</v>
      </c>
      <c r="G57" s="1" t="s">
        <v>12</v>
      </c>
      <c r="H57" s="12" t="s">
        <v>158</v>
      </c>
      <c r="I57" s="1" t="s">
        <v>24</v>
      </c>
      <c r="J57" s="1" t="s">
        <v>25</v>
      </c>
      <c r="K57" s="1" t="s">
        <v>25</v>
      </c>
      <c r="L57" s="1" t="s">
        <v>26</v>
      </c>
      <c r="M57" s="1" t="s">
        <v>25</v>
      </c>
      <c r="N57" s="1" t="s">
        <v>25</v>
      </c>
      <c r="O57" s="1" t="s">
        <v>25</v>
      </c>
      <c r="P57" s="1" t="s">
        <v>25</v>
      </c>
      <c r="Q57" s="1" t="s">
        <v>25</v>
      </c>
      <c r="R57" s="70" t="str">
        <f t="shared" si="0"/>
        <v>1045925</v>
      </c>
      <c r="S57" t="str">
        <f>VLOOKUP(A57,Data_NV!$A:$C,3,0)</f>
        <v xml:space="preserve"> Lê Kim Đãng   </v>
      </c>
      <c r="T57" t="str">
        <f>VLOOKUP(A57,Data_NV!$A:$E,4,0)</f>
        <v>Vận Hành</v>
      </c>
      <c r="U57" s="67">
        <f>DATEVALUE(Table2[[#This Row],[Ngày]])</f>
        <v>45925</v>
      </c>
      <c r="V57" t="str">
        <f>VLOOKUP(A57,Data_NV!$A:$E,5,0)</f>
        <v>Đang làm việc</v>
      </c>
      <c r="W57" s="11">
        <f>VLOOKUP(A57,Data_NV!$A:$I,8,0)</f>
        <v>0.3125</v>
      </c>
      <c r="X57" s="11">
        <f>VLOOKUP(A57,Data_NV!$A:$I,9,0)</f>
        <v>0.6875</v>
      </c>
      <c r="Y57" s="11">
        <f>IFERROR(TIMEVALUE(Table2[[#This Row],[Vào]]),0)</f>
        <v>0.28554398148148147</v>
      </c>
      <c r="Z57" s="11">
        <f>IFERROR(TIMEVALUE(Table2[[#This Row],[Ra]]),0)</f>
        <v>0</v>
      </c>
      <c r="AA57" t="str">
        <f t="shared" si="3"/>
        <v>x</v>
      </c>
      <c r="AB57" s="14">
        <f t="shared" si="1"/>
        <v>0</v>
      </c>
      <c r="AC57" s="14" t="str">
        <f>IF(VLOOKUP(A57,Data_NV!$A:$I,7,0)="Không","",IF(OR(AND(Y57=0,Z57=0),AND(Y57&lt;&gt;0,Z57&lt;&gt;0)),"","Quên chấm công"))</f>
        <v/>
      </c>
      <c r="AD57" s="14">
        <f>IF(VLOOKUP(A57,Data_NV!$A:$I,7,0)="Không",0,IF(AND(Y57=0,Z57=0),0,IF(X57&lt;=Z57,0,ROUNDDOWN((X57-Z57)*24*60,0))))</f>
        <v>0</v>
      </c>
      <c r="AE57" s="14">
        <f>IF(VLOOKUP(A57,Data_NV!$A:$I,6,0)="Không",0,IF(Z57&lt;=X57,0,ROUNDDOWN((Z57-X57)*24*60,0)))</f>
        <v>0</v>
      </c>
      <c r="AF57" s="29">
        <f t="shared" si="2"/>
        <v>0</v>
      </c>
      <c r="AG57" s="30" t="str">
        <f>IF(AC57="","",IF(COUNTIFS($AC$3:AC57,"Quên chấm công",$S$3:S57,S57)&gt;3,"Không chấm công do vi phạm quá 3 lần",IF(COUNTIFS($AC$3:AC57,"Quên chấm công",$S$3:S57,S57)&gt;2,"Trừ toàn bộ chuyên cần tháng do vi phạm lần 3",IF(COUNTIFS($AC$3:AC57,"Quên chấm công",$S$3:S57,S57)&gt;1,"Trừ 1/2 ngày lương",50000))))</f>
        <v/>
      </c>
      <c r="AH57" s="14" t="str">
        <f>IF(COUNTIFS($AF$3:AF57,"&gt;0",$S$3:S57,S57)&gt;3,"Trừ toàn bộ chuyên cần tháng","")</f>
        <v/>
      </c>
      <c r="AI57" s="14"/>
      <c r="AJ57" s="14"/>
    </row>
    <row r="58" spans="1:36" x14ac:dyDescent="0.25">
      <c r="A58" s="4" t="s">
        <v>141</v>
      </c>
      <c r="B58" s="1" t="s">
        <v>142</v>
      </c>
      <c r="C58" s="1" t="s">
        <v>20</v>
      </c>
      <c r="D58" s="1" t="s">
        <v>123</v>
      </c>
      <c r="E58" s="1" t="s">
        <v>22</v>
      </c>
      <c r="F58" s="1" t="s">
        <v>23</v>
      </c>
      <c r="G58" s="1" t="s">
        <v>12</v>
      </c>
      <c r="H58" s="12" t="s">
        <v>159</v>
      </c>
      <c r="I58" s="1" t="s">
        <v>24</v>
      </c>
      <c r="J58" s="1" t="s">
        <v>25</v>
      </c>
      <c r="K58" s="1" t="s">
        <v>25</v>
      </c>
      <c r="L58" s="1" t="s">
        <v>26</v>
      </c>
      <c r="M58" s="1" t="s">
        <v>25</v>
      </c>
      <c r="N58" s="1" t="s">
        <v>25</v>
      </c>
      <c r="O58" s="1" t="s">
        <v>25</v>
      </c>
      <c r="P58" s="1" t="s">
        <v>25</v>
      </c>
      <c r="Q58" s="1" t="s">
        <v>25</v>
      </c>
      <c r="R58" s="70" t="str">
        <f t="shared" si="0"/>
        <v>1045926</v>
      </c>
      <c r="S58" t="str">
        <f>VLOOKUP(A58,Data_NV!$A:$C,3,0)</f>
        <v xml:space="preserve"> Lê Kim Đãng   </v>
      </c>
      <c r="T58" t="str">
        <f>VLOOKUP(A58,Data_NV!$A:$E,4,0)</f>
        <v>Vận Hành</v>
      </c>
      <c r="U58" s="67">
        <f>DATEVALUE(Table2[[#This Row],[Ngày]])</f>
        <v>45926</v>
      </c>
      <c r="V58" t="str">
        <f>VLOOKUP(A58,Data_NV!$A:$E,5,0)</f>
        <v>Đang làm việc</v>
      </c>
      <c r="W58" s="11">
        <f>VLOOKUP(A58,Data_NV!$A:$I,8,0)</f>
        <v>0.3125</v>
      </c>
      <c r="X58" s="11">
        <f>VLOOKUP(A58,Data_NV!$A:$I,9,0)</f>
        <v>0.6875</v>
      </c>
      <c r="Y58" s="11">
        <f>IFERROR(TIMEVALUE(Table2[[#This Row],[Vào]]),0)</f>
        <v>0.28515046296296298</v>
      </c>
      <c r="Z58" s="11">
        <f>IFERROR(TIMEVALUE(Table2[[#This Row],[Ra]]),0)</f>
        <v>0</v>
      </c>
      <c r="AA58" t="str">
        <f t="shared" si="3"/>
        <v>x</v>
      </c>
      <c r="AB58" s="14">
        <f t="shared" si="1"/>
        <v>0</v>
      </c>
      <c r="AC58" s="14" t="str">
        <f>IF(VLOOKUP(A58,Data_NV!$A:$I,7,0)="Không","",IF(OR(AND(Y58=0,Z58=0),AND(Y58&lt;&gt;0,Z58&lt;&gt;0)),"","Quên chấm công"))</f>
        <v/>
      </c>
      <c r="AD58" s="14">
        <f>IF(VLOOKUP(A58,Data_NV!$A:$I,7,0)="Không",0,IF(AND(Y58=0,Z58=0),0,IF(X58&lt;=Z58,0,ROUNDDOWN((X58-Z58)*24*60,0))))</f>
        <v>0</v>
      </c>
      <c r="AE58" s="14">
        <f>IF(VLOOKUP(A58,Data_NV!$A:$I,6,0)="Không",0,IF(Z58&lt;=X58,0,ROUNDDOWN((Z58-X58)*24*60,0)))</f>
        <v>0</v>
      </c>
      <c r="AF58" s="29">
        <f t="shared" si="2"/>
        <v>0</v>
      </c>
      <c r="AG58" s="30" t="str">
        <f>IF(AC58="","",IF(COUNTIFS($AC$3:AC58,"Quên chấm công",$S$3:S58,S58)&gt;3,"Không chấm công do vi phạm quá 3 lần",IF(COUNTIFS($AC$3:AC58,"Quên chấm công",$S$3:S58,S58)&gt;2,"Trừ toàn bộ chuyên cần tháng do vi phạm lần 3",IF(COUNTIFS($AC$3:AC58,"Quên chấm công",$S$3:S58,S58)&gt;1,"Trừ 1/2 ngày lương",50000))))</f>
        <v/>
      </c>
      <c r="AH58" s="14" t="str">
        <f>IF(COUNTIFS($AF$3:AF58,"&gt;0",$S$3:S58,S58)&gt;3,"Trừ toàn bộ chuyên cần tháng","")</f>
        <v/>
      </c>
      <c r="AI58" s="14"/>
      <c r="AJ58" s="14"/>
    </row>
    <row r="59" spans="1:36" x14ac:dyDescent="0.25">
      <c r="A59" s="4" t="s">
        <v>141</v>
      </c>
      <c r="B59" s="1" t="s">
        <v>142</v>
      </c>
      <c r="C59" s="1" t="s">
        <v>20</v>
      </c>
      <c r="D59" s="1" t="s">
        <v>125</v>
      </c>
      <c r="E59" s="1" t="s">
        <v>22</v>
      </c>
      <c r="F59" s="1" t="s">
        <v>23</v>
      </c>
      <c r="G59" s="1" t="s">
        <v>12</v>
      </c>
      <c r="H59" s="12" t="s">
        <v>160</v>
      </c>
      <c r="I59" s="1" t="s">
        <v>24</v>
      </c>
      <c r="J59" s="1" t="s">
        <v>25</v>
      </c>
      <c r="K59" s="1" t="s">
        <v>25</v>
      </c>
      <c r="L59" s="1" t="s">
        <v>26</v>
      </c>
      <c r="M59" s="1" t="s">
        <v>25</v>
      </c>
      <c r="N59" s="1" t="s">
        <v>25</v>
      </c>
      <c r="O59" s="1" t="s">
        <v>25</v>
      </c>
      <c r="P59" s="1" t="s">
        <v>25</v>
      </c>
      <c r="Q59" s="1" t="s">
        <v>25</v>
      </c>
      <c r="R59" s="70" t="str">
        <f t="shared" si="0"/>
        <v>1045927</v>
      </c>
      <c r="S59" t="str">
        <f>VLOOKUP(A59,Data_NV!$A:$C,3,0)</f>
        <v xml:space="preserve"> Lê Kim Đãng   </v>
      </c>
      <c r="T59" t="str">
        <f>VLOOKUP(A59,Data_NV!$A:$E,4,0)</f>
        <v>Vận Hành</v>
      </c>
      <c r="U59" s="67">
        <f>DATEVALUE(Table2[[#This Row],[Ngày]])</f>
        <v>45927</v>
      </c>
      <c r="V59" t="str">
        <f>VLOOKUP(A59,Data_NV!$A:$E,5,0)</f>
        <v>Đang làm việc</v>
      </c>
      <c r="W59" s="11">
        <f>VLOOKUP(A59,Data_NV!$A:$I,8,0)</f>
        <v>0.3125</v>
      </c>
      <c r="X59" s="11">
        <f>VLOOKUP(A59,Data_NV!$A:$I,9,0)</f>
        <v>0.6875</v>
      </c>
      <c r="Y59" s="11">
        <f>IFERROR(TIMEVALUE(Table2[[#This Row],[Vào]]),0)</f>
        <v>0.28037037037037038</v>
      </c>
      <c r="Z59" s="11">
        <f>IFERROR(TIMEVALUE(Table2[[#This Row],[Ra]]),0)</f>
        <v>0</v>
      </c>
      <c r="AA59" t="str">
        <f t="shared" si="3"/>
        <v>x</v>
      </c>
      <c r="AB59" s="14">
        <f t="shared" si="1"/>
        <v>0</v>
      </c>
      <c r="AC59" s="14" t="str">
        <f>IF(VLOOKUP(A59,Data_NV!$A:$I,7,0)="Không","",IF(OR(AND(Y59=0,Z59=0),AND(Y59&lt;&gt;0,Z59&lt;&gt;0)),"","Quên chấm công"))</f>
        <v/>
      </c>
      <c r="AD59" s="14">
        <f>IF(VLOOKUP(A59,Data_NV!$A:$I,7,0)="Không",0,IF(AND(Y59=0,Z59=0),0,IF(X59&lt;=Z59,0,ROUNDDOWN((X59-Z59)*24*60,0))))</f>
        <v>0</v>
      </c>
      <c r="AE59" s="14">
        <f>IF(VLOOKUP(A59,Data_NV!$A:$I,6,0)="Không",0,IF(Z59&lt;=X59,0,ROUNDDOWN((Z59-X59)*24*60,0)))</f>
        <v>0</v>
      </c>
      <c r="AF59" s="29">
        <f t="shared" si="2"/>
        <v>0</v>
      </c>
      <c r="AG59" s="30" t="str">
        <f>IF(AC59="","",IF(COUNTIFS($AC$3:AC59,"Quên chấm công",$S$3:S59,S59)&gt;3,"Không chấm công do vi phạm quá 3 lần",IF(COUNTIFS($AC$3:AC59,"Quên chấm công",$S$3:S59,S59)&gt;2,"Trừ toàn bộ chuyên cần tháng do vi phạm lần 3",IF(COUNTIFS($AC$3:AC59,"Quên chấm công",$S$3:S59,S59)&gt;1,"Trừ 1/2 ngày lương",50000))))</f>
        <v/>
      </c>
      <c r="AH59" s="14" t="str">
        <f>IF(COUNTIFS($AF$3:AF59,"&gt;0",$S$3:S59,S59)&gt;3,"Trừ toàn bộ chuyên cần tháng","")</f>
        <v/>
      </c>
      <c r="AI59" s="14"/>
      <c r="AJ59" s="14"/>
    </row>
    <row r="60" spans="1:36" x14ac:dyDescent="0.25">
      <c r="A60" s="4" t="s">
        <v>141</v>
      </c>
      <c r="B60" s="1" t="s">
        <v>142</v>
      </c>
      <c r="C60" s="1" t="s">
        <v>20</v>
      </c>
      <c r="D60" s="1" t="s">
        <v>130</v>
      </c>
      <c r="E60" s="1" t="s">
        <v>22</v>
      </c>
      <c r="F60" s="1" t="s">
        <v>23</v>
      </c>
      <c r="G60" s="1" t="s">
        <v>12</v>
      </c>
      <c r="H60" s="12" t="s">
        <v>24</v>
      </c>
      <c r="I60" s="1" t="s">
        <v>24</v>
      </c>
      <c r="J60" s="1" t="s">
        <v>25</v>
      </c>
      <c r="K60" s="1" t="s">
        <v>25</v>
      </c>
      <c r="L60" s="1" t="s">
        <v>26</v>
      </c>
      <c r="M60" s="1" t="s">
        <v>25</v>
      </c>
      <c r="N60" s="1" t="s">
        <v>25</v>
      </c>
      <c r="O60" s="1" t="s">
        <v>25</v>
      </c>
      <c r="P60" s="1" t="s">
        <v>25</v>
      </c>
      <c r="Q60" s="1" t="s">
        <v>25</v>
      </c>
      <c r="R60" s="70" t="str">
        <f t="shared" si="0"/>
        <v>1045928</v>
      </c>
      <c r="S60" t="str">
        <f>VLOOKUP(A60,Data_NV!$A:$C,3,0)</f>
        <v xml:space="preserve"> Lê Kim Đãng   </v>
      </c>
      <c r="T60" t="str">
        <f>VLOOKUP(A60,Data_NV!$A:$E,4,0)</f>
        <v>Vận Hành</v>
      </c>
      <c r="U60" s="67">
        <f>DATEVALUE(Table2[[#This Row],[Ngày]])</f>
        <v>45928</v>
      </c>
      <c r="V60" t="str">
        <f>VLOOKUP(A60,Data_NV!$A:$E,5,0)</f>
        <v>Đang làm việc</v>
      </c>
      <c r="W60" s="11">
        <f>VLOOKUP(A60,Data_NV!$A:$I,8,0)</f>
        <v>0.3125</v>
      </c>
      <c r="X60" s="11">
        <f>VLOOKUP(A60,Data_NV!$A:$I,9,0)</f>
        <v>0.6875</v>
      </c>
      <c r="Y60" s="11">
        <f>IFERROR(TIMEVALUE(Table2[[#This Row],[Vào]]),0)</f>
        <v>0</v>
      </c>
      <c r="Z60" s="11">
        <f>IFERROR(TIMEVALUE(Table2[[#This Row],[Ra]]),0)</f>
        <v>0</v>
      </c>
      <c r="AA60" t="str">
        <f t="shared" si="3"/>
        <v/>
      </c>
      <c r="AB60" s="14">
        <f t="shared" si="1"/>
        <v>0</v>
      </c>
      <c r="AC60" s="14" t="str">
        <f>IF(VLOOKUP(A60,Data_NV!$A:$I,7,0)="Không","",IF(OR(AND(Y60=0,Z60=0),AND(Y60&lt;&gt;0,Z60&lt;&gt;0)),"","Quên chấm công"))</f>
        <v/>
      </c>
      <c r="AD60" s="14">
        <f>IF(VLOOKUP(A60,Data_NV!$A:$I,7,0)="Không",0,IF(AND(Y60=0,Z60=0),0,IF(X60&lt;=Z60,0,ROUNDDOWN((X60-Z60)*24*60,0))))</f>
        <v>0</v>
      </c>
      <c r="AE60" s="14">
        <f>IF(VLOOKUP(A60,Data_NV!$A:$I,6,0)="Không",0,IF(Z60&lt;=X60,0,ROUNDDOWN((Z60-X60)*24*60,0)))</f>
        <v>0</v>
      </c>
      <c r="AF60" s="29">
        <f t="shared" si="2"/>
        <v>0</v>
      </c>
      <c r="AG60" s="30" t="str">
        <f>IF(AC60="","",IF(COUNTIFS($AC$3:AC60,"Quên chấm công",$S$3:S60,S60)&gt;3,"Không chấm công do vi phạm quá 3 lần",IF(COUNTIFS($AC$3:AC60,"Quên chấm công",$S$3:S60,S60)&gt;2,"Trừ toàn bộ chuyên cần tháng do vi phạm lần 3",IF(COUNTIFS($AC$3:AC60,"Quên chấm công",$S$3:S60,S60)&gt;1,"Trừ 1/2 ngày lương",50000))))</f>
        <v/>
      </c>
      <c r="AH60" s="14" t="str">
        <f>IF(COUNTIFS($AF$3:AF60,"&gt;0",$S$3:S60,S60)&gt;3,"Trừ toàn bộ chuyên cần tháng","")</f>
        <v/>
      </c>
      <c r="AI60" s="14"/>
      <c r="AJ60" s="14"/>
    </row>
    <row r="61" spans="1:36" x14ac:dyDescent="0.25">
      <c r="A61" s="4" t="s">
        <v>141</v>
      </c>
      <c r="B61" s="1" t="s">
        <v>142</v>
      </c>
      <c r="C61" s="1" t="s">
        <v>20</v>
      </c>
      <c r="D61" s="1" t="s">
        <v>131</v>
      </c>
      <c r="E61" s="1" t="s">
        <v>22</v>
      </c>
      <c r="F61" s="1" t="s">
        <v>23</v>
      </c>
      <c r="G61" s="1" t="s">
        <v>12</v>
      </c>
      <c r="H61" s="12" t="s">
        <v>161</v>
      </c>
      <c r="I61" s="1" t="s">
        <v>24</v>
      </c>
      <c r="J61" s="1" t="s">
        <v>25</v>
      </c>
      <c r="K61" s="1" t="s">
        <v>25</v>
      </c>
      <c r="L61" s="1" t="s">
        <v>26</v>
      </c>
      <c r="M61" s="1" t="s">
        <v>25</v>
      </c>
      <c r="N61" s="1" t="s">
        <v>25</v>
      </c>
      <c r="O61" s="1" t="s">
        <v>25</v>
      </c>
      <c r="P61" s="1" t="s">
        <v>25</v>
      </c>
      <c r="Q61" s="1" t="s">
        <v>25</v>
      </c>
      <c r="R61" s="70" t="str">
        <f t="shared" si="0"/>
        <v>1045929</v>
      </c>
      <c r="S61" t="str">
        <f>VLOOKUP(A61,Data_NV!$A:$C,3,0)</f>
        <v xml:space="preserve"> Lê Kim Đãng   </v>
      </c>
      <c r="T61" t="str">
        <f>VLOOKUP(A61,Data_NV!$A:$E,4,0)</f>
        <v>Vận Hành</v>
      </c>
      <c r="U61" s="67">
        <f>DATEVALUE(Table2[[#This Row],[Ngày]])</f>
        <v>45929</v>
      </c>
      <c r="V61" t="str">
        <f>VLOOKUP(A61,Data_NV!$A:$E,5,0)</f>
        <v>Đang làm việc</v>
      </c>
      <c r="W61" s="11">
        <f>VLOOKUP(A61,Data_NV!$A:$I,8,0)</f>
        <v>0.3125</v>
      </c>
      <c r="X61" s="11">
        <f>VLOOKUP(A61,Data_NV!$A:$I,9,0)</f>
        <v>0.6875</v>
      </c>
      <c r="Y61" s="11">
        <f>IFERROR(TIMEVALUE(Table2[[#This Row],[Vào]]),0)</f>
        <v>0.28583333333333333</v>
      </c>
      <c r="Z61" s="11">
        <f>IFERROR(TIMEVALUE(Table2[[#This Row],[Ra]]),0)</f>
        <v>0</v>
      </c>
      <c r="AA61" t="str">
        <f t="shared" si="3"/>
        <v>x</v>
      </c>
      <c r="AB61" s="14">
        <f t="shared" si="1"/>
        <v>0</v>
      </c>
      <c r="AC61" s="14" t="str">
        <f>IF(VLOOKUP(A61,Data_NV!$A:$I,7,0)="Không","",IF(OR(AND(Y61=0,Z61=0),AND(Y61&lt;&gt;0,Z61&lt;&gt;0)),"","Quên chấm công"))</f>
        <v/>
      </c>
      <c r="AD61" s="14">
        <f>IF(VLOOKUP(A61,Data_NV!$A:$I,7,0)="Không",0,IF(AND(Y61=0,Z61=0),0,IF(X61&lt;=Z61,0,ROUNDDOWN((X61-Z61)*24*60,0))))</f>
        <v>0</v>
      </c>
      <c r="AE61" s="14">
        <f>IF(VLOOKUP(A61,Data_NV!$A:$I,6,0)="Không",0,IF(Z61&lt;=X61,0,ROUNDDOWN((Z61-X61)*24*60,0)))</f>
        <v>0</v>
      </c>
      <c r="AF61" s="29">
        <f t="shared" si="2"/>
        <v>0</v>
      </c>
      <c r="AG61" s="30" t="str">
        <f>IF(AC61="","",IF(COUNTIFS($AC$3:AC61,"Quên chấm công",$S$3:S61,S61)&gt;3,"Không chấm công do vi phạm quá 3 lần",IF(COUNTIFS($AC$3:AC61,"Quên chấm công",$S$3:S61,S61)&gt;2,"Trừ toàn bộ chuyên cần tháng do vi phạm lần 3",IF(COUNTIFS($AC$3:AC61,"Quên chấm công",$S$3:S61,S61)&gt;1,"Trừ 1/2 ngày lương",50000))))</f>
        <v/>
      </c>
      <c r="AH61" s="14" t="str">
        <f>IF(COUNTIFS($AF$3:AF61,"&gt;0",$S$3:S61,S61)&gt;3,"Trừ toàn bộ chuyên cần tháng","")</f>
        <v/>
      </c>
      <c r="AI61" s="14"/>
      <c r="AJ61" s="14"/>
    </row>
    <row r="62" spans="1:36" x14ac:dyDescent="0.25">
      <c r="A62" s="4" t="s">
        <v>141</v>
      </c>
      <c r="B62" s="1" t="s">
        <v>142</v>
      </c>
      <c r="C62" s="1" t="s">
        <v>20</v>
      </c>
      <c r="D62" s="1" t="s">
        <v>136</v>
      </c>
      <c r="E62" s="1" t="s">
        <v>22</v>
      </c>
      <c r="F62" s="1" t="s">
        <v>23</v>
      </c>
      <c r="G62" s="1" t="s">
        <v>12</v>
      </c>
      <c r="H62" s="12" t="s">
        <v>162</v>
      </c>
      <c r="I62" s="1" t="s">
        <v>24</v>
      </c>
      <c r="J62" s="1" t="s">
        <v>25</v>
      </c>
      <c r="K62" s="1" t="s">
        <v>25</v>
      </c>
      <c r="L62" s="1" t="s">
        <v>26</v>
      </c>
      <c r="M62" s="1" t="s">
        <v>25</v>
      </c>
      <c r="N62" s="1" t="s">
        <v>25</v>
      </c>
      <c r="O62" s="1" t="s">
        <v>25</v>
      </c>
      <c r="P62" s="1" t="s">
        <v>25</v>
      </c>
      <c r="Q62" s="1" t="s">
        <v>25</v>
      </c>
      <c r="R62" s="70" t="str">
        <f t="shared" si="0"/>
        <v>1045930</v>
      </c>
      <c r="S62" t="str">
        <f>VLOOKUP(A62,Data_NV!$A:$C,3,0)</f>
        <v xml:space="preserve"> Lê Kim Đãng   </v>
      </c>
      <c r="T62" t="str">
        <f>VLOOKUP(A62,Data_NV!$A:$E,4,0)</f>
        <v>Vận Hành</v>
      </c>
      <c r="U62" s="67">
        <f>DATEVALUE(Table2[[#This Row],[Ngày]])</f>
        <v>45930</v>
      </c>
      <c r="V62" t="str">
        <f>VLOOKUP(A62,Data_NV!$A:$E,5,0)</f>
        <v>Đang làm việc</v>
      </c>
      <c r="W62" s="11">
        <f>VLOOKUP(A62,Data_NV!$A:$I,8,0)</f>
        <v>0.3125</v>
      </c>
      <c r="X62" s="11">
        <f>VLOOKUP(A62,Data_NV!$A:$I,9,0)</f>
        <v>0.6875</v>
      </c>
      <c r="Y62" s="11">
        <f>IFERROR(TIMEVALUE(Table2[[#This Row],[Vào]]),0)</f>
        <v>0.28903935185185187</v>
      </c>
      <c r="Z62" s="11">
        <f>IFERROR(TIMEVALUE(Table2[[#This Row],[Ra]]),0)</f>
        <v>0</v>
      </c>
      <c r="AA62" t="str">
        <f t="shared" si="3"/>
        <v>x</v>
      </c>
      <c r="AB62" s="14">
        <f t="shared" si="1"/>
        <v>0</v>
      </c>
      <c r="AC62" s="14" t="str">
        <f>IF(VLOOKUP(A62,Data_NV!$A:$I,7,0)="Không","",IF(OR(AND(Y62=0,Z62=0),AND(Y62&lt;&gt;0,Z62&lt;&gt;0)),"","Quên chấm công"))</f>
        <v/>
      </c>
      <c r="AD62" s="14">
        <f>IF(VLOOKUP(A62,Data_NV!$A:$I,7,0)="Không",0,IF(AND(Y62=0,Z62=0),0,IF(X62&lt;=Z62,0,ROUNDDOWN((X62-Z62)*24*60,0))))</f>
        <v>0</v>
      </c>
      <c r="AE62" s="14">
        <f>IF(VLOOKUP(A62,Data_NV!$A:$I,6,0)="Không",0,IF(Z62&lt;=X62,0,ROUNDDOWN((Z62-X62)*24*60,0)))</f>
        <v>0</v>
      </c>
      <c r="AF62" s="29">
        <f t="shared" si="2"/>
        <v>0</v>
      </c>
      <c r="AG62" s="30" t="str">
        <f>IF(AC62="","",IF(COUNTIFS($AC$3:AC62,"Quên chấm công",$S$3:S62,S62)&gt;3,"Không chấm công do vi phạm quá 3 lần",IF(COUNTIFS($AC$3:AC62,"Quên chấm công",$S$3:S62,S62)&gt;2,"Trừ toàn bộ chuyên cần tháng do vi phạm lần 3",IF(COUNTIFS($AC$3:AC62,"Quên chấm công",$S$3:S62,S62)&gt;1,"Trừ 1/2 ngày lương",50000))))</f>
        <v/>
      </c>
      <c r="AH62" s="14" t="str">
        <f>IF(COUNTIFS($AF$3:AF62,"&gt;0",$S$3:S62,S62)&gt;3,"Trừ toàn bộ chuyên cần tháng","")</f>
        <v/>
      </c>
      <c r="AI62" s="14"/>
      <c r="AJ62" s="14"/>
    </row>
    <row r="63" spans="1:36" x14ac:dyDescent="0.25">
      <c r="A63" s="4" t="s">
        <v>163</v>
      </c>
      <c r="B63" s="1" t="s">
        <v>164</v>
      </c>
      <c r="C63" s="1" t="s">
        <v>20</v>
      </c>
      <c r="D63" s="1" t="s">
        <v>21</v>
      </c>
      <c r="E63" s="1" t="s">
        <v>22</v>
      </c>
      <c r="F63" s="1" t="s">
        <v>23</v>
      </c>
      <c r="G63" s="1" t="s">
        <v>12</v>
      </c>
      <c r="H63" s="12" t="s">
        <v>24</v>
      </c>
      <c r="I63" s="1" t="s">
        <v>24</v>
      </c>
      <c r="J63" s="1" t="s">
        <v>25</v>
      </c>
      <c r="K63" s="1" t="s">
        <v>25</v>
      </c>
      <c r="L63" s="1" t="s">
        <v>26</v>
      </c>
      <c r="M63" s="1" t="s">
        <v>25</v>
      </c>
      <c r="N63" s="1" t="s">
        <v>25</v>
      </c>
      <c r="O63" s="1" t="s">
        <v>25</v>
      </c>
      <c r="P63" s="1" t="s">
        <v>25</v>
      </c>
      <c r="Q63" s="1" t="s">
        <v>25</v>
      </c>
      <c r="R63" s="70" t="str">
        <f t="shared" si="0"/>
        <v>1145901</v>
      </c>
      <c r="S63" t="str">
        <f>VLOOKUP(A63,Data_NV!$A:$C,3,0)</f>
        <v xml:space="preserve"> Trần Cao Hoàng Tâm    </v>
      </c>
      <c r="T63" t="str">
        <f>VLOOKUP(A63,Data_NV!$A:$E,4,0)</f>
        <v>Vận Hành</v>
      </c>
      <c r="U63" s="67">
        <f>DATEVALUE(Table2[[#This Row],[Ngày]])</f>
        <v>45901</v>
      </c>
      <c r="V63" t="str">
        <f>VLOOKUP(A63,Data_NV!$A:$E,5,0)</f>
        <v>Đang làm việc</v>
      </c>
      <c r="W63" s="11">
        <f>VLOOKUP(A63,Data_NV!$A:$I,8,0)</f>
        <v>0.3125</v>
      </c>
      <c r="X63" s="11">
        <f>VLOOKUP(A63,Data_NV!$A:$I,9,0)</f>
        <v>0.6875</v>
      </c>
      <c r="Y63" s="11">
        <f>IFERROR(TIMEVALUE(Table2[[#This Row],[Vào]]),0)</f>
        <v>0</v>
      </c>
      <c r="Z63" s="11">
        <f>IFERROR(TIMEVALUE(Table2[[#This Row],[Ra]]),0)</f>
        <v>0</v>
      </c>
      <c r="AA63" s="10" t="s">
        <v>771</v>
      </c>
      <c r="AB63" s="14">
        <f t="shared" si="1"/>
        <v>0</v>
      </c>
      <c r="AC63" s="14" t="str">
        <f>IF(VLOOKUP(A63,Data_NV!$A:$I,7,0)="Không","",IF(OR(AND(Y63=0,Z63=0),AND(Y63&lt;&gt;0,Z63&lt;&gt;0)),"","Quên chấm công"))</f>
        <v/>
      </c>
      <c r="AD63" s="14">
        <f>IF(VLOOKUP(A63,Data_NV!$A:$I,7,0)="Không",0,IF(AND(Y63=0,Z63=0),0,IF(X63&lt;=Z63,0,ROUNDDOWN((X63-Z63)*24*60,0))))</f>
        <v>0</v>
      </c>
      <c r="AE63" s="14">
        <f>IF(VLOOKUP(A63,Data_NV!$A:$I,6,0)="Không",0,IF(Z63&lt;=X63,0,ROUNDDOWN((Z63-X63)*24*60,0)))</f>
        <v>0</v>
      </c>
      <c r="AF63" s="29">
        <f t="shared" si="2"/>
        <v>0</v>
      </c>
      <c r="AG63" s="30" t="str">
        <f>IF(AC63="","",IF(COUNTIFS($AC$3:AC63,"Quên chấm công",$S$3:S63,S63)&gt;3,"Không chấm công do vi phạm quá 3 lần",IF(COUNTIFS($AC$3:AC63,"Quên chấm công",$S$3:S63,S63)&gt;2,"Trừ toàn bộ chuyên cần tháng do vi phạm lần 3",IF(COUNTIFS($AC$3:AC63,"Quên chấm công",$S$3:S63,S63)&gt;1,"Trừ 1/2 ngày lương",50000))))</f>
        <v/>
      </c>
      <c r="AH63" s="14" t="str">
        <f>IF(COUNTIFS($AF$3:AF63,"&gt;0",$S$3:S63,S63)&gt;3,"Trừ toàn bộ chuyên cần tháng","")</f>
        <v/>
      </c>
      <c r="AI63" s="14"/>
      <c r="AJ63" s="14"/>
    </row>
    <row r="64" spans="1:36" x14ac:dyDescent="0.25">
      <c r="A64" s="4" t="s">
        <v>163</v>
      </c>
      <c r="B64" s="1" t="s">
        <v>164</v>
      </c>
      <c r="C64" s="1" t="s">
        <v>20</v>
      </c>
      <c r="D64" s="1" t="s">
        <v>27</v>
      </c>
      <c r="E64" s="1" t="s">
        <v>22</v>
      </c>
      <c r="F64" s="1" t="s">
        <v>23</v>
      </c>
      <c r="G64" s="1" t="s">
        <v>12</v>
      </c>
      <c r="H64" s="12" t="s">
        <v>24</v>
      </c>
      <c r="I64" s="1" t="s">
        <v>24</v>
      </c>
      <c r="J64" s="1" t="s">
        <v>25</v>
      </c>
      <c r="K64" s="1" t="s">
        <v>25</v>
      </c>
      <c r="L64" s="1" t="s">
        <v>26</v>
      </c>
      <c r="M64" s="1" t="s">
        <v>25</v>
      </c>
      <c r="N64" s="1" t="s">
        <v>25</v>
      </c>
      <c r="O64" s="1" t="s">
        <v>25</v>
      </c>
      <c r="P64" s="1" t="s">
        <v>25</v>
      </c>
      <c r="Q64" s="1" t="s">
        <v>25</v>
      </c>
      <c r="R64" s="70" t="str">
        <f t="shared" si="0"/>
        <v>1145902</v>
      </c>
      <c r="S64" t="str">
        <f>VLOOKUP(A64,Data_NV!$A:$C,3,0)</f>
        <v xml:space="preserve"> Trần Cao Hoàng Tâm    </v>
      </c>
      <c r="T64" t="str">
        <f>VLOOKUP(A64,Data_NV!$A:$E,4,0)</f>
        <v>Vận Hành</v>
      </c>
      <c r="U64" s="67">
        <f>DATEVALUE(Table2[[#This Row],[Ngày]])</f>
        <v>45902</v>
      </c>
      <c r="V64" t="str">
        <f>VLOOKUP(A64,Data_NV!$A:$E,5,0)</f>
        <v>Đang làm việc</v>
      </c>
      <c r="W64" s="11">
        <f>VLOOKUP(A64,Data_NV!$A:$I,8,0)</f>
        <v>0.3125</v>
      </c>
      <c r="X64" s="11">
        <f>VLOOKUP(A64,Data_NV!$A:$I,9,0)</f>
        <v>0.6875</v>
      </c>
      <c r="Y64" s="11">
        <f>IFERROR(TIMEVALUE(Table2[[#This Row],[Vào]]),0)</f>
        <v>0</v>
      </c>
      <c r="Z64" s="11">
        <f>IFERROR(TIMEVALUE(Table2[[#This Row],[Ra]]),0)</f>
        <v>0</v>
      </c>
      <c r="AA64" s="10" t="s">
        <v>771</v>
      </c>
      <c r="AB64" s="14">
        <f t="shared" si="1"/>
        <v>0</v>
      </c>
      <c r="AC64" s="14" t="str">
        <f>IF(VLOOKUP(A64,Data_NV!$A:$I,7,0)="Không","",IF(OR(AND(Y64=0,Z64=0),AND(Y64&lt;&gt;0,Z64&lt;&gt;0)),"","Quên chấm công"))</f>
        <v/>
      </c>
      <c r="AD64" s="14">
        <f>IF(VLOOKUP(A64,Data_NV!$A:$I,7,0)="Không",0,IF(AND(Y64=0,Z64=0),0,IF(X64&lt;=Z64,0,ROUNDDOWN((X64-Z64)*24*60,0))))</f>
        <v>0</v>
      </c>
      <c r="AE64" s="14">
        <f>IF(VLOOKUP(A64,Data_NV!$A:$I,6,0)="Không",0,IF(Z64&lt;=X64,0,ROUNDDOWN((Z64-X64)*24*60,0)))</f>
        <v>0</v>
      </c>
      <c r="AF64" s="29">
        <f t="shared" si="2"/>
        <v>0</v>
      </c>
      <c r="AG64" s="30" t="str">
        <f>IF(AC64="","",IF(COUNTIFS($AC$3:AC64,"Quên chấm công",$S$3:S64,S64)&gt;3,"Không chấm công do vi phạm quá 3 lần",IF(COUNTIFS($AC$3:AC64,"Quên chấm công",$S$3:S64,S64)&gt;2,"Trừ toàn bộ chuyên cần tháng do vi phạm lần 3",IF(COUNTIFS($AC$3:AC64,"Quên chấm công",$S$3:S64,S64)&gt;1,"Trừ 1/2 ngày lương",50000))))</f>
        <v/>
      </c>
      <c r="AH64" s="14" t="str">
        <f>IF(COUNTIFS($AF$3:AF64,"&gt;0",$S$3:S64,S64)&gt;3,"Trừ toàn bộ chuyên cần tháng","")</f>
        <v/>
      </c>
      <c r="AI64" s="14"/>
      <c r="AJ64" s="14"/>
    </row>
    <row r="65" spans="1:36" x14ac:dyDescent="0.25">
      <c r="A65" s="4" t="s">
        <v>163</v>
      </c>
      <c r="B65" s="1" t="s">
        <v>164</v>
      </c>
      <c r="C65" s="1" t="s">
        <v>20</v>
      </c>
      <c r="D65" s="1" t="s">
        <v>28</v>
      </c>
      <c r="E65" s="1" t="s">
        <v>22</v>
      </c>
      <c r="F65" s="1" t="s">
        <v>23</v>
      </c>
      <c r="G65" s="1" t="s">
        <v>12</v>
      </c>
      <c r="H65" s="12" t="s">
        <v>24</v>
      </c>
      <c r="I65" s="1" t="s">
        <v>24</v>
      </c>
      <c r="J65" s="1" t="s">
        <v>25</v>
      </c>
      <c r="K65" s="1" t="s">
        <v>25</v>
      </c>
      <c r="L65" s="1" t="s">
        <v>26</v>
      </c>
      <c r="M65" s="1" t="s">
        <v>25</v>
      </c>
      <c r="N65" s="1" t="s">
        <v>25</v>
      </c>
      <c r="O65" s="1" t="s">
        <v>25</v>
      </c>
      <c r="P65" s="1" t="s">
        <v>25</v>
      </c>
      <c r="Q65" s="1" t="s">
        <v>25</v>
      </c>
      <c r="R65" s="70" t="str">
        <f t="shared" si="0"/>
        <v>1145903</v>
      </c>
      <c r="S65" t="str">
        <f>VLOOKUP(A65,Data_NV!$A:$C,3,0)</f>
        <v xml:space="preserve"> Trần Cao Hoàng Tâm    </v>
      </c>
      <c r="T65" t="str">
        <f>VLOOKUP(A65,Data_NV!$A:$E,4,0)</f>
        <v>Vận Hành</v>
      </c>
      <c r="U65" s="67">
        <f>DATEVALUE(Table2[[#This Row],[Ngày]])</f>
        <v>45903</v>
      </c>
      <c r="V65" t="str">
        <f>VLOOKUP(A65,Data_NV!$A:$E,5,0)</f>
        <v>Đang làm việc</v>
      </c>
      <c r="W65" s="11">
        <f>VLOOKUP(A65,Data_NV!$A:$I,8,0)</f>
        <v>0.3125</v>
      </c>
      <c r="X65" s="11">
        <f>VLOOKUP(A65,Data_NV!$A:$I,9,0)</f>
        <v>0.6875</v>
      </c>
      <c r="Y65" s="11">
        <f>IFERROR(TIMEVALUE(Table2[[#This Row],[Vào]]),0)</f>
        <v>0</v>
      </c>
      <c r="Z65" s="11">
        <f>IFERROR(TIMEVALUE(Table2[[#This Row],[Ra]]),0)</f>
        <v>0</v>
      </c>
      <c r="AA65" t="str">
        <f t="shared" si="3"/>
        <v/>
      </c>
      <c r="AB65" s="14">
        <f t="shared" si="1"/>
        <v>0</v>
      </c>
      <c r="AC65" s="14" t="str">
        <f>IF(VLOOKUP(A65,Data_NV!$A:$I,7,0)="Không","",IF(OR(AND(Y65=0,Z65=0),AND(Y65&lt;&gt;0,Z65&lt;&gt;0)),"","Quên chấm công"))</f>
        <v/>
      </c>
      <c r="AD65" s="14">
        <f>IF(VLOOKUP(A65,Data_NV!$A:$I,7,0)="Không",0,IF(AND(Y65=0,Z65=0),0,IF(X65&lt;=Z65,0,ROUNDDOWN((X65-Z65)*24*60,0))))</f>
        <v>0</v>
      </c>
      <c r="AE65" s="14">
        <f>IF(VLOOKUP(A65,Data_NV!$A:$I,6,0)="Không",0,IF(Z65&lt;=X65,0,ROUNDDOWN((Z65-X65)*24*60,0)))</f>
        <v>0</v>
      </c>
      <c r="AF65" s="29">
        <f t="shared" si="2"/>
        <v>0</v>
      </c>
      <c r="AG65" s="30" t="str">
        <f>IF(AC65="","",IF(COUNTIFS($AC$3:AC65,"Quên chấm công",$S$3:S65,S65)&gt;3,"Không chấm công do vi phạm quá 3 lần",IF(COUNTIFS($AC$3:AC65,"Quên chấm công",$S$3:S65,S65)&gt;2,"Trừ toàn bộ chuyên cần tháng do vi phạm lần 3",IF(COUNTIFS($AC$3:AC65,"Quên chấm công",$S$3:S65,S65)&gt;1,"Trừ 1/2 ngày lương",50000))))</f>
        <v/>
      </c>
      <c r="AH65" s="14" t="str">
        <f>IF(COUNTIFS($AF$3:AF65,"&gt;0",$S$3:S65,S65)&gt;3,"Trừ toàn bộ chuyên cần tháng","")</f>
        <v/>
      </c>
      <c r="AI65" s="14"/>
      <c r="AJ65" s="14"/>
    </row>
    <row r="66" spans="1:36" x14ac:dyDescent="0.25">
      <c r="A66" s="4" t="s">
        <v>163</v>
      </c>
      <c r="B66" s="1" t="s">
        <v>164</v>
      </c>
      <c r="C66" s="1" t="s">
        <v>20</v>
      </c>
      <c r="D66" s="1" t="s">
        <v>35</v>
      </c>
      <c r="E66" s="1" t="s">
        <v>22</v>
      </c>
      <c r="F66" s="1" t="s">
        <v>23</v>
      </c>
      <c r="G66" s="1" t="s">
        <v>12</v>
      </c>
      <c r="H66" s="12" t="s">
        <v>165</v>
      </c>
      <c r="I66" s="1" t="s">
        <v>24</v>
      </c>
      <c r="J66" s="1" t="s">
        <v>25</v>
      </c>
      <c r="K66" s="1" t="s">
        <v>25</v>
      </c>
      <c r="L66" s="1" t="s">
        <v>26</v>
      </c>
      <c r="M66" s="1" t="s">
        <v>25</v>
      </c>
      <c r="N66" s="1" t="s">
        <v>25</v>
      </c>
      <c r="O66" s="1" t="s">
        <v>25</v>
      </c>
      <c r="P66" s="1" t="s">
        <v>25</v>
      </c>
      <c r="Q66" s="1" t="s">
        <v>25</v>
      </c>
      <c r="R66" s="70" t="str">
        <f t="shared" si="0"/>
        <v>1145904</v>
      </c>
      <c r="S66" t="str">
        <f>VLOOKUP(A66,Data_NV!$A:$C,3,0)</f>
        <v xml:space="preserve"> Trần Cao Hoàng Tâm    </v>
      </c>
      <c r="T66" t="str">
        <f>VLOOKUP(A66,Data_NV!$A:$E,4,0)</f>
        <v>Vận Hành</v>
      </c>
      <c r="U66" s="67">
        <f>DATEVALUE(Table2[[#This Row],[Ngày]])</f>
        <v>45904</v>
      </c>
      <c r="V66" t="str">
        <f>VLOOKUP(A66,Data_NV!$A:$E,5,0)</f>
        <v>Đang làm việc</v>
      </c>
      <c r="W66" s="11">
        <f>VLOOKUP(A66,Data_NV!$A:$I,8,0)</f>
        <v>0.3125</v>
      </c>
      <c r="X66" s="11">
        <f>VLOOKUP(A66,Data_NV!$A:$I,9,0)</f>
        <v>0.6875</v>
      </c>
      <c r="Y66" s="11">
        <f>IFERROR(TIMEVALUE(Table2[[#This Row],[Vào]]),0)</f>
        <v>0.31233796296296296</v>
      </c>
      <c r="Z66" s="11">
        <f>IFERROR(TIMEVALUE(Table2[[#This Row],[Ra]]),0)</f>
        <v>0</v>
      </c>
      <c r="AA66" t="str">
        <f t="shared" si="3"/>
        <v>x</v>
      </c>
      <c r="AB66" s="14">
        <f t="shared" si="1"/>
        <v>0</v>
      </c>
      <c r="AC66" s="14" t="str">
        <f>IF(VLOOKUP(A66,Data_NV!$A:$I,7,0)="Không","",IF(OR(AND(Y66=0,Z66=0),AND(Y66&lt;&gt;0,Z66&lt;&gt;0)),"","Quên chấm công"))</f>
        <v/>
      </c>
      <c r="AD66" s="14">
        <f>IF(VLOOKUP(A66,Data_NV!$A:$I,7,0)="Không",0,IF(AND(Y66=0,Z66=0),0,IF(X66&lt;=Z66,0,ROUNDDOWN((X66-Z66)*24*60,0))))</f>
        <v>0</v>
      </c>
      <c r="AE66" s="14">
        <f>IF(VLOOKUP(A66,Data_NV!$A:$I,6,0)="Không",0,IF(Z66&lt;=X66,0,ROUNDDOWN((Z66-X66)*24*60,0)))</f>
        <v>0</v>
      </c>
      <c r="AF66" s="29">
        <f t="shared" si="2"/>
        <v>0</v>
      </c>
      <c r="AG66" s="30" t="str">
        <f>IF(AC66="","",IF(COUNTIFS($AC$3:AC66,"Quên chấm công",$S$3:S66,S66)&gt;3,"Không chấm công do vi phạm quá 3 lần",IF(COUNTIFS($AC$3:AC66,"Quên chấm công",$S$3:S66,S66)&gt;2,"Trừ toàn bộ chuyên cần tháng do vi phạm lần 3",IF(COUNTIFS($AC$3:AC66,"Quên chấm công",$S$3:S66,S66)&gt;1,"Trừ 1/2 ngày lương",50000))))</f>
        <v/>
      </c>
      <c r="AH66" s="14" t="str">
        <f>IF(COUNTIFS($AF$3:AF66,"&gt;0",$S$3:S66,S66)&gt;3,"Trừ toàn bộ chuyên cần tháng","")</f>
        <v/>
      </c>
      <c r="AI66" s="14"/>
      <c r="AJ66" s="14"/>
    </row>
    <row r="67" spans="1:36" x14ac:dyDescent="0.25">
      <c r="A67" s="4" t="s">
        <v>163</v>
      </c>
      <c r="B67" s="1" t="s">
        <v>164</v>
      </c>
      <c r="C67" s="1" t="s">
        <v>20</v>
      </c>
      <c r="D67" s="1" t="s">
        <v>37</v>
      </c>
      <c r="E67" s="1" t="s">
        <v>22</v>
      </c>
      <c r="F67" s="1" t="s">
        <v>23</v>
      </c>
      <c r="G67" s="1" t="s">
        <v>12</v>
      </c>
      <c r="H67" s="12" t="s">
        <v>24</v>
      </c>
      <c r="I67" s="1" t="s">
        <v>24</v>
      </c>
      <c r="J67" s="1" t="s">
        <v>25</v>
      </c>
      <c r="K67" s="1" t="s">
        <v>25</v>
      </c>
      <c r="L67" s="1" t="s">
        <v>26</v>
      </c>
      <c r="M67" s="1" t="s">
        <v>25</v>
      </c>
      <c r="N67" s="1" t="s">
        <v>25</v>
      </c>
      <c r="O67" s="1" t="s">
        <v>25</v>
      </c>
      <c r="P67" s="1" t="s">
        <v>25</v>
      </c>
      <c r="Q67" s="1" t="s">
        <v>25</v>
      </c>
      <c r="R67" s="70" t="str">
        <f t="shared" ref="R67:R130" si="4">A67&amp;U67</f>
        <v>1145905</v>
      </c>
      <c r="S67" t="str">
        <f>VLOOKUP(A67,Data_NV!$A:$C,3,0)</f>
        <v xml:space="preserve"> Trần Cao Hoàng Tâm    </v>
      </c>
      <c r="T67" t="str">
        <f>VLOOKUP(A67,Data_NV!$A:$E,4,0)</f>
        <v>Vận Hành</v>
      </c>
      <c r="U67" s="67">
        <f>DATEVALUE(Table2[[#This Row],[Ngày]])</f>
        <v>45905</v>
      </c>
      <c r="V67" t="str">
        <f>VLOOKUP(A67,Data_NV!$A:$E,5,0)</f>
        <v>Đang làm việc</v>
      </c>
      <c r="W67" s="11">
        <f>VLOOKUP(A67,Data_NV!$A:$I,8,0)</f>
        <v>0.3125</v>
      </c>
      <c r="X67" s="11">
        <f>VLOOKUP(A67,Data_NV!$A:$I,9,0)</f>
        <v>0.6875</v>
      </c>
      <c r="Y67" s="11">
        <f>IFERROR(TIMEVALUE(Table2[[#This Row],[Vào]]),0)</f>
        <v>0</v>
      </c>
      <c r="Z67" s="11">
        <f>IFERROR(TIMEVALUE(Table2[[#This Row],[Ra]]),0)</f>
        <v>0</v>
      </c>
      <c r="AA67" t="str">
        <f t="shared" ref="AA67:AA130" si="5">IF(OR(AND(Y67=0,Z67=0),AG67="Không chấm công do vi phạm quá 3 lần"),"",IF(OR(AG67="Trừ 1/2 ngày lương",AF67="Trừ 1/2 ngày lương",AB67&gt;=60),"1/2","x"))</f>
        <v/>
      </c>
      <c r="AB67" s="14">
        <f t="shared" ref="AB67:AB130" si="6">IF(Y67&lt;=W67,0,ROUNDDOWN((Y67-W67)*24*60,0))</f>
        <v>0</v>
      </c>
      <c r="AC67" s="14" t="str">
        <f>IF(VLOOKUP(A67,Data_NV!$A:$I,7,0)="Không","",IF(OR(AND(Y67=0,Z67=0),AND(Y67&lt;&gt;0,Z67&lt;&gt;0)),"","Quên chấm công"))</f>
        <v/>
      </c>
      <c r="AD67" s="14">
        <f>IF(VLOOKUP(A67,Data_NV!$A:$I,7,0)="Không",0,IF(AND(Y67=0,Z67=0),0,IF(X67&lt;=Z67,0,ROUNDDOWN((X67-Z67)*24*60,0))))</f>
        <v>0</v>
      </c>
      <c r="AE67" s="14">
        <f>IF(VLOOKUP(A67,Data_NV!$A:$I,6,0)="Không",0,IF(Z67&lt;=X67,0,ROUNDDOWN((Z67-X67)*24*60,0)))</f>
        <v>0</v>
      </c>
      <c r="AF67" s="29">
        <f t="shared" ref="AF67:AF130" si="7">IF(AB67&gt;60,"Trừ 1/2 ngày lương",IF(AB67&gt;15,50000,IF(AB67&gt;6,30000,0)))</f>
        <v>0</v>
      </c>
      <c r="AG67" s="30" t="str">
        <f>IF(AC67="","",IF(COUNTIFS($AC$3:AC67,"Quên chấm công",$S$3:S67,S67)&gt;3,"Không chấm công do vi phạm quá 3 lần",IF(COUNTIFS($AC$3:AC67,"Quên chấm công",$S$3:S67,S67)&gt;2,"Trừ toàn bộ chuyên cần tháng do vi phạm lần 3",IF(COUNTIFS($AC$3:AC67,"Quên chấm công",$S$3:S67,S67)&gt;1,"Trừ 1/2 ngày lương",50000))))</f>
        <v/>
      </c>
      <c r="AH67" s="14" t="str">
        <f>IF(COUNTIFS($AF$3:AF67,"&gt;0",$S$3:S67,S67)&gt;3,"Trừ toàn bộ chuyên cần tháng","")</f>
        <v/>
      </c>
      <c r="AI67" s="14"/>
      <c r="AJ67" s="14"/>
    </row>
    <row r="68" spans="1:36" x14ac:dyDescent="0.25">
      <c r="A68" s="4" t="s">
        <v>163</v>
      </c>
      <c r="B68" s="1" t="s">
        <v>164</v>
      </c>
      <c r="C68" s="1" t="s">
        <v>20</v>
      </c>
      <c r="D68" s="1" t="s">
        <v>42</v>
      </c>
      <c r="E68" s="1" t="s">
        <v>22</v>
      </c>
      <c r="F68" s="1" t="s">
        <v>23</v>
      </c>
      <c r="G68" s="1" t="s">
        <v>12</v>
      </c>
      <c r="H68" s="12" t="s">
        <v>24</v>
      </c>
      <c r="I68" s="1" t="s">
        <v>24</v>
      </c>
      <c r="J68" s="1" t="s">
        <v>25</v>
      </c>
      <c r="K68" s="1" t="s">
        <v>25</v>
      </c>
      <c r="L68" s="1" t="s">
        <v>26</v>
      </c>
      <c r="M68" s="1" t="s">
        <v>25</v>
      </c>
      <c r="N68" s="1" t="s">
        <v>25</v>
      </c>
      <c r="O68" s="1" t="s">
        <v>25</v>
      </c>
      <c r="P68" s="1" t="s">
        <v>25</v>
      </c>
      <c r="Q68" s="1" t="s">
        <v>25</v>
      </c>
      <c r="R68" s="70" t="str">
        <f t="shared" si="4"/>
        <v>1145906</v>
      </c>
      <c r="S68" t="str">
        <f>VLOOKUP(A68,Data_NV!$A:$C,3,0)</f>
        <v xml:space="preserve"> Trần Cao Hoàng Tâm    </v>
      </c>
      <c r="T68" t="str">
        <f>VLOOKUP(A68,Data_NV!$A:$E,4,0)</f>
        <v>Vận Hành</v>
      </c>
      <c r="U68" s="67">
        <f>DATEVALUE(Table2[[#This Row],[Ngày]])</f>
        <v>45906</v>
      </c>
      <c r="V68" t="str">
        <f>VLOOKUP(A68,Data_NV!$A:$E,5,0)</f>
        <v>Đang làm việc</v>
      </c>
      <c r="W68" s="11">
        <f>VLOOKUP(A68,Data_NV!$A:$I,8,0)</f>
        <v>0.3125</v>
      </c>
      <c r="X68" s="11">
        <f>VLOOKUP(A68,Data_NV!$A:$I,9,0)</f>
        <v>0.6875</v>
      </c>
      <c r="Y68" s="11">
        <f>IFERROR(TIMEVALUE(Table2[[#This Row],[Vào]]),0)</f>
        <v>0</v>
      </c>
      <c r="Z68" s="11">
        <f>IFERROR(TIMEVALUE(Table2[[#This Row],[Ra]]),0)</f>
        <v>0</v>
      </c>
      <c r="AA68" t="str">
        <f t="shared" si="5"/>
        <v/>
      </c>
      <c r="AB68" s="14">
        <f t="shared" si="6"/>
        <v>0</v>
      </c>
      <c r="AC68" s="14" t="str">
        <f>IF(VLOOKUP(A68,Data_NV!$A:$I,7,0)="Không","",IF(OR(AND(Y68=0,Z68=0),AND(Y68&lt;&gt;0,Z68&lt;&gt;0)),"","Quên chấm công"))</f>
        <v/>
      </c>
      <c r="AD68" s="14">
        <f>IF(VLOOKUP(A68,Data_NV!$A:$I,7,0)="Không",0,IF(AND(Y68=0,Z68=0),0,IF(X68&lt;=Z68,0,ROUNDDOWN((X68-Z68)*24*60,0))))</f>
        <v>0</v>
      </c>
      <c r="AE68" s="14">
        <f>IF(VLOOKUP(A68,Data_NV!$A:$I,6,0)="Không",0,IF(Z68&lt;=X68,0,ROUNDDOWN((Z68-X68)*24*60,0)))</f>
        <v>0</v>
      </c>
      <c r="AF68" s="29">
        <f t="shared" si="7"/>
        <v>0</v>
      </c>
      <c r="AG68" s="30" t="str">
        <f>IF(AC68="","",IF(COUNTIFS($AC$3:AC68,"Quên chấm công",$S$3:S68,S68)&gt;3,"Không chấm công do vi phạm quá 3 lần",IF(COUNTIFS($AC$3:AC68,"Quên chấm công",$S$3:S68,S68)&gt;2,"Trừ toàn bộ chuyên cần tháng do vi phạm lần 3",IF(COUNTIFS($AC$3:AC68,"Quên chấm công",$S$3:S68,S68)&gt;1,"Trừ 1/2 ngày lương",50000))))</f>
        <v/>
      </c>
      <c r="AH68" s="14" t="str">
        <f>IF(COUNTIFS($AF$3:AF68,"&gt;0",$S$3:S68,S68)&gt;3,"Trừ toàn bộ chuyên cần tháng","")</f>
        <v/>
      </c>
      <c r="AI68" s="14"/>
      <c r="AJ68" s="14"/>
    </row>
    <row r="69" spans="1:36" x14ac:dyDescent="0.25">
      <c r="A69" s="4" t="s">
        <v>163</v>
      </c>
      <c r="B69" s="1" t="s">
        <v>164</v>
      </c>
      <c r="C69" s="1" t="s">
        <v>20</v>
      </c>
      <c r="D69" s="1" t="s">
        <v>47</v>
      </c>
      <c r="E69" s="1" t="s">
        <v>22</v>
      </c>
      <c r="F69" s="1" t="s">
        <v>23</v>
      </c>
      <c r="G69" s="1" t="s">
        <v>12</v>
      </c>
      <c r="H69" s="12" t="s">
        <v>24</v>
      </c>
      <c r="I69" s="1" t="s">
        <v>24</v>
      </c>
      <c r="J69" s="1" t="s">
        <v>25</v>
      </c>
      <c r="K69" s="1" t="s">
        <v>25</v>
      </c>
      <c r="L69" s="1" t="s">
        <v>26</v>
      </c>
      <c r="M69" s="1" t="s">
        <v>25</v>
      </c>
      <c r="N69" s="1" t="s">
        <v>25</v>
      </c>
      <c r="O69" s="1" t="s">
        <v>25</v>
      </c>
      <c r="P69" s="1" t="s">
        <v>25</v>
      </c>
      <c r="Q69" s="1" t="s">
        <v>25</v>
      </c>
      <c r="R69" s="70" t="str">
        <f t="shared" si="4"/>
        <v>1145907</v>
      </c>
      <c r="S69" t="str">
        <f>VLOOKUP(A69,Data_NV!$A:$C,3,0)</f>
        <v xml:space="preserve"> Trần Cao Hoàng Tâm    </v>
      </c>
      <c r="T69" t="str">
        <f>VLOOKUP(A69,Data_NV!$A:$E,4,0)</f>
        <v>Vận Hành</v>
      </c>
      <c r="U69" s="67">
        <f>DATEVALUE(Table2[[#This Row],[Ngày]])</f>
        <v>45907</v>
      </c>
      <c r="V69" t="str">
        <f>VLOOKUP(A69,Data_NV!$A:$E,5,0)</f>
        <v>Đang làm việc</v>
      </c>
      <c r="W69" s="11">
        <f>VLOOKUP(A69,Data_NV!$A:$I,8,0)</f>
        <v>0.3125</v>
      </c>
      <c r="X69" s="11">
        <f>VLOOKUP(A69,Data_NV!$A:$I,9,0)</f>
        <v>0.6875</v>
      </c>
      <c r="Y69" s="11">
        <f>IFERROR(TIMEVALUE(Table2[[#This Row],[Vào]]),0)</f>
        <v>0</v>
      </c>
      <c r="Z69" s="11">
        <f>IFERROR(TIMEVALUE(Table2[[#This Row],[Ra]]),0)</f>
        <v>0</v>
      </c>
      <c r="AA69" t="str">
        <f t="shared" si="5"/>
        <v/>
      </c>
      <c r="AB69" s="14">
        <f t="shared" si="6"/>
        <v>0</v>
      </c>
      <c r="AC69" s="14" t="str">
        <f>IF(VLOOKUP(A69,Data_NV!$A:$I,7,0)="Không","",IF(OR(AND(Y69=0,Z69=0),AND(Y69&lt;&gt;0,Z69&lt;&gt;0)),"","Quên chấm công"))</f>
        <v/>
      </c>
      <c r="AD69" s="14">
        <f>IF(VLOOKUP(A69,Data_NV!$A:$I,7,0)="Không",0,IF(AND(Y69=0,Z69=0),0,IF(X69&lt;=Z69,0,ROUNDDOWN((X69-Z69)*24*60,0))))</f>
        <v>0</v>
      </c>
      <c r="AE69" s="14">
        <f>IF(VLOOKUP(A69,Data_NV!$A:$I,6,0)="Không",0,IF(Z69&lt;=X69,0,ROUNDDOWN((Z69-X69)*24*60,0)))</f>
        <v>0</v>
      </c>
      <c r="AF69" s="29">
        <f t="shared" si="7"/>
        <v>0</v>
      </c>
      <c r="AG69" s="30" t="str">
        <f>IF(AC69="","",IF(COUNTIFS($AC$3:AC69,"Quên chấm công",$S$3:S69,S69)&gt;3,"Không chấm công do vi phạm quá 3 lần",IF(COUNTIFS($AC$3:AC69,"Quên chấm công",$S$3:S69,S69)&gt;2,"Trừ toàn bộ chuyên cần tháng do vi phạm lần 3",IF(COUNTIFS($AC$3:AC69,"Quên chấm công",$S$3:S69,S69)&gt;1,"Trừ 1/2 ngày lương",50000))))</f>
        <v/>
      </c>
      <c r="AH69" s="14" t="str">
        <f>IF(COUNTIFS($AF$3:AF69,"&gt;0",$S$3:S69,S69)&gt;3,"Trừ toàn bộ chuyên cần tháng","")</f>
        <v/>
      </c>
      <c r="AI69" s="14"/>
      <c r="AJ69" s="14"/>
    </row>
    <row r="70" spans="1:36" x14ac:dyDescent="0.25">
      <c r="A70" s="4" t="s">
        <v>163</v>
      </c>
      <c r="B70" s="1" t="s">
        <v>164</v>
      </c>
      <c r="C70" s="1" t="s">
        <v>20</v>
      </c>
      <c r="D70" s="1" t="s">
        <v>48</v>
      </c>
      <c r="E70" s="1" t="s">
        <v>22</v>
      </c>
      <c r="F70" s="1" t="s">
        <v>23</v>
      </c>
      <c r="G70" s="1" t="s">
        <v>12</v>
      </c>
      <c r="H70" s="12" t="s">
        <v>24</v>
      </c>
      <c r="I70" s="1" t="s">
        <v>24</v>
      </c>
      <c r="J70" s="1" t="s">
        <v>25</v>
      </c>
      <c r="K70" s="1" t="s">
        <v>25</v>
      </c>
      <c r="L70" s="1" t="s">
        <v>26</v>
      </c>
      <c r="M70" s="1" t="s">
        <v>25</v>
      </c>
      <c r="N70" s="1" t="s">
        <v>25</v>
      </c>
      <c r="O70" s="1" t="s">
        <v>25</v>
      </c>
      <c r="P70" s="1" t="s">
        <v>25</v>
      </c>
      <c r="Q70" s="1" t="s">
        <v>25</v>
      </c>
      <c r="R70" s="70" t="str">
        <f t="shared" si="4"/>
        <v>1145908</v>
      </c>
      <c r="S70" t="str">
        <f>VLOOKUP(A70,Data_NV!$A:$C,3,0)</f>
        <v xml:space="preserve"> Trần Cao Hoàng Tâm    </v>
      </c>
      <c r="T70" t="str">
        <f>VLOOKUP(A70,Data_NV!$A:$E,4,0)</f>
        <v>Vận Hành</v>
      </c>
      <c r="U70" s="67">
        <f>DATEVALUE(Table2[[#This Row],[Ngày]])</f>
        <v>45908</v>
      </c>
      <c r="V70" t="str">
        <f>VLOOKUP(A70,Data_NV!$A:$E,5,0)</f>
        <v>Đang làm việc</v>
      </c>
      <c r="W70" s="11">
        <f>VLOOKUP(A70,Data_NV!$A:$I,8,0)</f>
        <v>0.3125</v>
      </c>
      <c r="X70" s="11">
        <f>VLOOKUP(A70,Data_NV!$A:$I,9,0)</f>
        <v>0.6875</v>
      </c>
      <c r="Y70" s="11">
        <f>IFERROR(TIMEVALUE(Table2[[#This Row],[Vào]]),0)</f>
        <v>0</v>
      </c>
      <c r="Z70" s="11">
        <f>IFERROR(TIMEVALUE(Table2[[#This Row],[Ra]]),0)</f>
        <v>0</v>
      </c>
      <c r="AA70" t="str">
        <f t="shared" si="5"/>
        <v/>
      </c>
      <c r="AB70" s="14">
        <f t="shared" si="6"/>
        <v>0</v>
      </c>
      <c r="AC70" s="14" t="str">
        <f>IF(VLOOKUP(A70,Data_NV!$A:$I,7,0)="Không","",IF(OR(AND(Y70=0,Z70=0),AND(Y70&lt;&gt;0,Z70&lt;&gt;0)),"","Quên chấm công"))</f>
        <v/>
      </c>
      <c r="AD70" s="14">
        <f>IF(VLOOKUP(A70,Data_NV!$A:$I,7,0)="Không",0,IF(AND(Y70=0,Z70=0),0,IF(X70&lt;=Z70,0,ROUNDDOWN((X70-Z70)*24*60,0))))</f>
        <v>0</v>
      </c>
      <c r="AE70" s="14">
        <f>IF(VLOOKUP(A70,Data_NV!$A:$I,6,0)="Không",0,IF(Z70&lt;=X70,0,ROUNDDOWN((Z70-X70)*24*60,0)))</f>
        <v>0</v>
      </c>
      <c r="AF70" s="29">
        <f t="shared" si="7"/>
        <v>0</v>
      </c>
      <c r="AG70" s="30" t="str">
        <f>IF(AC70="","",IF(COUNTIFS($AC$3:AC70,"Quên chấm công",$S$3:S70,S70)&gt;3,"Không chấm công do vi phạm quá 3 lần",IF(COUNTIFS($AC$3:AC70,"Quên chấm công",$S$3:S70,S70)&gt;2,"Trừ toàn bộ chuyên cần tháng do vi phạm lần 3",IF(COUNTIFS($AC$3:AC70,"Quên chấm công",$S$3:S70,S70)&gt;1,"Trừ 1/2 ngày lương",50000))))</f>
        <v/>
      </c>
      <c r="AH70" s="14" t="str">
        <f>IF(COUNTIFS($AF$3:AF70,"&gt;0",$S$3:S70,S70)&gt;3,"Trừ toàn bộ chuyên cần tháng","")</f>
        <v/>
      </c>
      <c r="AI70" s="14"/>
      <c r="AJ70" s="14"/>
    </row>
    <row r="71" spans="1:36" x14ac:dyDescent="0.25">
      <c r="A71" s="4" t="s">
        <v>163</v>
      </c>
      <c r="B71" s="1" t="s">
        <v>164</v>
      </c>
      <c r="C71" s="1" t="s">
        <v>20</v>
      </c>
      <c r="D71" s="1" t="s">
        <v>53</v>
      </c>
      <c r="E71" s="1" t="s">
        <v>22</v>
      </c>
      <c r="F71" s="1" t="s">
        <v>23</v>
      </c>
      <c r="G71" s="1" t="s">
        <v>12</v>
      </c>
      <c r="H71" s="12" t="s">
        <v>24</v>
      </c>
      <c r="I71" s="1" t="s">
        <v>24</v>
      </c>
      <c r="J71" s="1" t="s">
        <v>25</v>
      </c>
      <c r="K71" s="1" t="s">
        <v>25</v>
      </c>
      <c r="L71" s="1" t="s">
        <v>26</v>
      </c>
      <c r="M71" s="1" t="s">
        <v>25</v>
      </c>
      <c r="N71" s="1" t="s">
        <v>25</v>
      </c>
      <c r="O71" s="1" t="s">
        <v>25</v>
      </c>
      <c r="P71" s="1" t="s">
        <v>25</v>
      </c>
      <c r="Q71" s="1" t="s">
        <v>25</v>
      </c>
      <c r="R71" s="70" t="str">
        <f t="shared" si="4"/>
        <v>1145909</v>
      </c>
      <c r="S71" t="str">
        <f>VLOOKUP(A71,Data_NV!$A:$C,3,0)</f>
        <v xml:space="preserve"> Trần Cao Hoàng Tâm    </v>
      </c>
      <c r="T71" t="str">
        <f>VLOOKUP(A71,Data_NV!$A:$E,4,0)</f>
        <v>Vận Hành</v>
      </c>
      <c r="U71" s="67">
        <f>DATEVALUE(Table2[[#This Row],[Ngày]])</f>
        <v>45909</v>
      </c>
      <c r="V71" t="str">
        <f>VLOOKUP(A71,Data_NV!$A:$E,5,0)</f>
        <v>Đang làm việc</v>
      </c>
      <c r="W71" s="11">
        <f>VLOOKUP(A71,Data_NV!$A:$I,8,0)</f>
        <v>0.3125</v>
      </c>
      <c r="X71" s="11">
        <f>VLOOKUP(A71,Data_NV!$A:$I,9,0)</f>
        <v>0.6875</v>
      </c>
      <c r="Y71" s="11">
        <f>IFERROR(TIMEVALUE(Table2[[#This Row],[Vào]]),0)</f>
        <v>0</v>
      </c>
      <c r="Z71" s="11">
        <f>IFERROR(TIMEVALUE(Table2[[#This Row],[Ra]]),0)</f>
        <v>0</v>
      </c>
      <c r="AA71" t="str">
        <f t="shared" si="5"/>
        <v/>
      </c>
      <c r="AB71" s="14">
        <f t="shared" si="6"/>
        <v>0</v>
      </c>
      <c r="AC71" s="14" t="str">
        <f>IF(VLOOKUP(A71,Data_NV!$A:$I,7,0)="Không","",IF(OR(AND(Y71=0,Z71=0),AND(Y71&lt;&gt;0,Z71&lt;&gt;0)),"","Quên chấm công"))</f>
        <v/>
      </c>
      <c r="AD71" s="14">
        <f>IF(VLOOKUP(A71,Data_NV!$A:$I,7,0)="Không",0,IF(AND(Y71=0,Z71=0),0,IF(X71&lt;=Z71,0,ROUNDDOWN((X71-Z71)*24*60,0))))</f>
        <v>0</v>
      </c>
      <c r="AE71" s="14">
        <f>IF(VLOOKUP(A71,Data_NV!$A:$I,6,0)="Không",0,IF(Z71&lt;=X71,0,ROUNDDOWN((Z71-X71)*24*60,0)))</f>
        <v>0</v>
      </c>
      <c r="AF71" s="29">
        <f t="shared" si="7"/>
        <v>0</v>
      </c>
      <c r="AG71" s="30" t="str">
        <f>IF(AC71="","",IF(COUNTIFS($AC$3:AC71,"Quên chấm công",$S$3:S71,S71)&gt;3,"Không chấm công do vi phạm quá 3 lần",IF(COUNTIFS($AC$3:AC71,"Quên chấm công",$S$3:S71,S71)&gt;2,"Trừ toàn bộ chuyên cần tháng do vi phạm lần 3",IF(COUNTIFS($AC$3:AC71,"Quên chấm công",$S$3:S71,S71)&gt;1,"Trừ 1/2 ngày lương",50000))))</f>
        <v/>
      </c>
      <c r="AH71" s="14" t="str">
        <f>IF(COUNTIFS($AF$3:AF71,"&gt;0",$S$3:S71,S71)&gt;3,"Trừ toàn bộ chuyên cần tháng","")</f>
        <v/>
      </c>
      <c r="AI71" s="14"/>
      <c r="AJ71" s="14"/>
    </row>
    <row r="72" spans="1:36" x14ac:dyDescent="0.25">
      <c r="A72" s="4" t="s">
        <v>163</v>
      </c>
      <c r="B72" s="1" t="s">
        <v>164</v>
      </c>
      <c r="C72" s="1" t="s">
        <v>20</v>
      </c>
      <c r="D72" s="1" t="s">
        <v>58</v>
      </c>
      <c r="E72" s="1" t="s">
        <v>22</v>
      </c>
      <c r="F72" s="1" t="s">
        <v>23</v>
      </c>
      <c r="G72" s="1" t="s">
        <v>12</v>
      </c>
      <c r="H72" s="12" t="s">
        <v>24</v>
      </c>
      <c r="I72" s="1" t="s">
        <v>24</v>
      </c>
      <c r="J72" s="1" t="s">
        <v>25</v>
      </c>
      <c r="K72" s="1" t="s">
        <v>25</v>
      </c>
      <c r="L72" s="1" t="s">
        <v>26</v>
      </c>
      <c r="M72" s="1" t="s">
        <v>25</v>
      </c>
      <c r="N72" s="1" t="s">
        <v>25</v>
      </c>
      <c r="O72" s="1" t="s">
        <v>25</v>
      </c>
      <c r="P72" s="1" t="s">
        <v>25</v>
      </c>
      <c r="Q72" s="1" t="s">
        <v>25</v>
      </c>
      <c r="R72" s="70" t="str">
        <f t="shared" si="4"/>
        <v>1145910</v>
      </c>
      <c r="S72" t="str">
        <f>VLOOKUP(A72,Data_NV!$A:$C,3,0)</f>
        <v xml:space="preserve"> Trần Cao Hoàng Tâm    </v>
      </c>
      <c r="T72" t="str">
        <f>VLOOKUP(A72,Data_NV!$A:$E,4,0)</f>
        <v>Vận Hành</v>
      </c>
      <c r="U72" s="67">
        <f>DATEVALUE(Table2[[#This Row],[Ngày]])</f>
        <v>45910</v>
      </c>
      <c r="V72" t="str">
        <f>VLOOKUP(A72,Data_NV!$A:$E,5,0)</f>
        <v>Đang làm việc</v>
      </c>
      <c r="W72" s="11">
        <f>VLOOKUP(A72,Data_NV!$A:$I,8,0)</f>
        <v>0.3125</v>
      </c>
      <c r="X72" s="11">
        <f>VLOOKUP(A72,Data_NV!$A:$I,9,0)</f>
        <v>0.6875</v>
      </c>
      <c r="Y72" s="11">
        <f>IFERROR(TIMEVALUE(Table2[[#This Row],[Vào]]),0)</f>
        <v>0</v>
      </c>
      <c r="Z72" s="11">
        <f>IFERROR(TIMEVALUE(Table2[[#This Row],[Ra]]),0)</f>
        <v>0</v>
      </c>
      <c r="AA72" t="str">
        <f t="shared" si="5"/>
        <v/>
      </c>
      <c r="AB72" s="14">
        <f t="shared" si="6"/>
        <v>0</v>
      </c>
      <c r="AC72" s="14" t="str">
        <f>IF(VLOOKUP(A72,Data_NV!$A:$I,7,0)="Không","",IF(OR(AND(Y72=0,Z72=0),AND(Y72&lt;&gt;0,Z72&lt;&gt;0)),"","Quên chấm công"))</f>
        <v/>
      </c>
      <c r="AD72" s="14">
        <f>IF(VLOOKUP(A72,Data_NV!$A:$I,7,0)="Không",0,IF(AND(Y72=0,Z72=0),0,IF(X72&lt;=Z72,0,ROUNDDOWN((X72-Z72)*24*60,0))))</f>
        <v>0</v>
      </c>
      <c r="AE72" s="14">
        <f>IF(VLOOKUP(A72,Data_NV!$A:$I,6,0)="Không",0,IF(Z72&lt;=X72,0,ROUNDDOWN((Z72-X72)*24*60,0)))</f>
        <v>0</v>
      </c>
      <c r="AF72" s="29">
        <f t="shared" si="7"/>
        <v>0</v>
      </c>
      <c r="AG72" s="30" t="str">
        <f>IF(AC72="","",IF(COUNTIFS($AC$3:AC72,"Quên chấm công",$S$3:S72,S72)&gt;3,"Không chấm công do vi phạm quá 3 lần",IF(COUNTIFS($AC$3:AC72,"Quên chấm công",$S$3:S72,S72)&gt;2,"Trừ toàn bộ chuyên cần tháng do vi phạm lần 3",IF(COUNTIFS($AC$3:AC72,"Quên chấm công",$S$3:S72,S72)&gt;1,"Trừ 1/2 ngày lương",50000))))</f>
        <v/>
      </c>
      <c r="AH72" s="14" t="str">
        <f>IF(COUNTIFS($AF$3:AF72,"&gt;0",$S$3:S72,S72)&gt;3,"Trừ toàn bộ chuyên cần tháng","")</f>
        <v/>
      </c>
      <c r="AI72" s="14"/>
      <c r="AJ72" s="14"/>
    </row>
    <row r="73" spans="1:36" x14ac:dyDescent="0.25">
      <c r="A73" s="4" t="s">
        <v>163</v>
      </c>
      <c r="B73" s="1" t="s">
        <v>164</v>
      </c>
      <c r="C73" s="1" t="s">
        <v>20</v>
      </c>
      <c r="D73" s="1" t="s">
        <v>63</v>
      </c>
      <c r="E73" s="1" t="s">
        <v>22</v>
      </c>
      <c r="F73" s="1" t="s">
        <v>23</v>
      </c>
      <c r="G73" s="1" t="s">
        <v>12</v>
      </c>
      <c r="H73" s="12" t="s">
        <v>166</v>
      </c>
      <c r="I73" s="1" t="s">
        <v>24</v>
      </c>
      <c r="J73" s="1" t="s">
        <v>25</v>
      </c>
      <c r="K73" s="1" t="s">
        <v>25</v>
      </c>
      <c r="L73" s="1" t="s">
        <v>26</v>
      </c>
      <c r="M73" s="1" t="s">
        <v>25</v>
      </c>
      <c r="N73" s="1" t="s">
        <v>25</v>
      </c>
      <c r="O73" s="1" t="s">
        <v>25</v>
      </c>
      <c r="P73" s="1" t="s">
        <v>25</v>
      </c>
      <c r="Q73" s="1" t="s">
        <v>25</v>
      </c>
      <c r="R73" s="70" t="str">
        <f t="shared" si="4"/>
        <v>1145911</v>
      </c>
      <c r="S73" t="str">
        <f>VLOOKUP(A73,Data_NV!$A:$C,3,0)</f>
        <v xml:space="preserve"> Trần Cao Hoàng Tâm    </v>
      </c>
      <c r="T73" t="str">
        <f>VLOOKUP(A73,Data_NV!$A:$E,4,0)</f>
        <v>Vận Hành</v>
      </c>
      <c r="U73" s="67">
        <f>DATEVALUE(Table2[[#This Row],[Ngày]])</f>
        <v>45911</v>
      </c>
      <c r="V73" t="str">
        <f>VLOOKUP(A73,Data_NV!$A:$E,5,0)</f>
        <v>Đang làm việc</v>
      </c>
      <c r="W73" s="11">
        <f>VLOOKUP(A73,Data_NV!$A:$I,8,0)</f>
        <v>0.3125</v>
      </c>
      <c r="X73" s="11">
        <f>VLOOKUP(A73,Data_NV!$A:$I,9,0)</f>
        <v>0.6875</v>
      </c>
      <c r="Y73" s="11">
        <f>IFERROR(TIMEVALUE(Table2[[#This Row],[Vào]]),0)</f>
        <v>0.31525462962962963</v>
      </c>
      <c r="Z73" s="11">
        <f>IFERROR(TIMEVALUE(Table2[[#This Row],[Ra]]),0)</f>
        <v>0</v>
      </c>
      <c r="AA73" t="str">
        <f t="shared" si="5"/>
        <v>x</v>
      </c>
      <c r="AB73" s="14">
        <f t="shared" si="6"/>
        <v>3</v>
      </c>
      <c r="AC73" s="14" t="str">
        <f>IF(VLOOKUP(A73,Data_NV!$A:$I,7,0)="Không","",IF(OR(AND(Y73=0,Z73=0),AND(Y73&lt;&gt;0,Z73&lt;&gt;0)),"","Quên chấm công"))</f>
        <v/>
      </c>
      <c r="AD73" s="14">
        <f>IF(VLOOKUP(A73,Data_NV!$A:$I,7,0)="Không",0,IF(AND(Y73=0,Z73=0),0,IF(X73&lt;=Z73,0,ROUNDDOWN((X73-Z73)*24*60,0))))</f>
        <v>0</v>
      </c>
      <c r="AE73" s="14">
        <f>IF(VLOOKUP(A73,Data_NV!$A:$I,6,0)="Không",0,IF(Z73&lt;=X73,0,ROUNDDOWN((Z73-X73)*24*60,0)))</f>
        <v>0</v>
      </c>
      <c r="AF73" s="29">
        <f t="shared" si="7"/>
        <v>0</v>
      </c>
      <c r="AG73" s="30" t="str">
        <f>IF(AC73="","",IF(COUNTIFS($AC$3:AC73,"Quên chấm công",$S$3:S73,S73)&gt;3,"Không chấm công do vi phạm quá 3 lần",IF(COUNTIFS($AC$3:AC73,"Quên chấm công",$S$3:S73,S73)&gt;2,"Trừ toàn bộ chuyên cần tháng do vi phạm lần 3",IF(COUNTIFS($AC$3:AC73,"Quên chấm công",$S$3:S73,S73)&gt;1,"Trừ 1/2 ngày lương",50000))))</f>
        <v/>
      </c>
      <c r="AH73" s="14" t="str">
        <f>IF(COUNTIFS($AF$3:AF73,"&gt;0",$S$3:S73,S73)&gt;3,"Trừ toàn bộ chuyên cần tháng","")</f>
        <v/>
      </c>
      <c r="AI73" s="14"/>
      <c r="AJ73" s="14"/>
    </row>
    <row r="74" spans="1:36" x14ac:dyDescent="0.25">
      <c r="A74" s="4" t="s">
        <v>163</v>
      </c>
      <c r="B74" s="1" t="s">
        <v>164</v>
      </c>
      <c r="C74" s="1" t="s">
        <v>20</v>
      </c>
      <c r="D74" s="1" t="s">
        <v>67</v>
      </c>
      <c r="E74" s="1" t="s">
        <v>22</v>
      </c>
      <c r="F74" s="1" t="s">
        <v>23</v>
      </c>
      <c r="G74" s="1" t="s">
        <v>12</v>
      </c>
      <c r="H74" s="12" t="s">
        <v>24</v>
      </c>
      <c r="I74" s="1" t="s">
        <v>24</v>
      </c>
      <c r="J74" s="1" t="s">
        <v>25</v>
      </c>
      <c r="K74" s="1" t="s">
        <v>25</v>
      </c>
      <c r="L74" s="1" t="s">
        <v>26</v>
      </c>
      <c r="M74" s="1" t="s">
        <v>25</v>
      </c>
      <c r="N74" s="1" t="s">
        <v>25</v>
      </c>
      <c r="O74" s="1" t="s">
        <v>25</v>
      </c>
      <c r="P74" s="1" t="s">
        <v>25</v>
      </c>
      <c r="Q74" s="1" t="s">
        <v>25</v>
      </c>
      <c r="R74" s="70" t="str">
        <f t="shared" si="4"/>
        <v>1145912</v>
      </c>
      <c r="S74" t="str">
        <f>VLOOKUP(A74,Data_NV!$A:$C,3,0)</f>
        <v xml:space="preserve"> Trần Cao Hoàng Tâm    </v>
      </c>
      <c r="T74" t="str">
        <f>VLOOKUP(A74,Data_NV!$A:$E,4,0)</f>
        <v>Vận Hành</v>
      </c>
      <c r="U74" s="67">
        <f>DATEVALUE(Table2[[#This Row],[Ngày]])</f>
        <v>45912</v>
      </c>
      <c r="V74" t="str">
        <f>VLOOKUP(A74,Data_NV!$A:$E,5,0)</f>
        <v>Đang làm việc</v>
      </c>
      <c r="W74" s="11">
        <f>VLOOKUP(A74,Data_NV!$A:$I,8,0)</f>
        <v>0.3125</v>
      </c>
      <c r="X74" s="11">
        <f>VLOOKUP(A74,Data_NV!$A:$I,9,0)</f>
        <v>0.6875</v>
      </c>
      <c r="Y74" s="11">
        <f>IFERROR(TIMEVALUE(Table2[[#This Row],[Vào]]),0)</f>
        <v>0</v>
      </c>
      <c r="Z74" s="11">
        <f>IFERROR(TIMEVALUE(Table2[[#This Row],[Ra]]),0)</f>
        <v>0</v>
      </c>
      <c r="AA74" t="str">
        <f t="shared" si="5"/>
        <v/>
      </c>
      <c r="AB74" s="14">
        <f t="shared" si="6"/>
        <v>0</v>
      </c>
      <c r="AC74" s="14" t="str">
        <f>IF(VLOOKUP(A74,Data_NV!$A:$I,7,0)="Không","",IF(OR(AND(Y74=0,Z74=0),AND(Y74&lt;&gt;0,Z74&lt;&gt;0)),"","Quên chấm công"))</f>
        <v/>
      </c>
      <c r="AD74" s="14">
        <f>IF(VLOOKUP(A74,Data_NV!$A:$I,7,0)="Không",0,IF(AND(Y74=0,Z74=0),0,IF(X74&lt;=Z74,0,ROUNDDOWN((X74-Z74)*24*60,0))))</f>
        <v>0</v>
      </c>
      <c r="AE74" s="14">
        <f>IF(VLOOKUP(A74,Data_NV!$A:$I,6,0)="Không",0,IF(Z74&lt;=X74,0,ROUNDDOWN((Z74-X74)*24*60,0)))</f>
        <v>0</v>
      </c>
      <c r="AF74" s="29">
        <f t="shared" si="7"/>
        <v>0</v>
      </c>
      <c r="AG74" s="30" t="str">
        <f>IF(AC74="","",IF(COUNTIFS($AC$3:AC74,"Quên chấm công",$S$3:S74,S74)&gt;3,"Không chấm công do vi phạm quá 3 lần",IF(COUNTIFS($AC$3:AC74,"Quên chấm công",$S$3:S74,S74)&gt;2,"Trừ toàn bộ chuyên cần tháng do vi phạm lần 3",IF(COUNTIFS($AC$3:AC74,"Quên chấm công",$S$3:S74,S74)&gt;1,"Trừ 1/2 ngày lương",50000))))</f>
        <v/>
      </c>
      <c r="AH74" s="14" t="str">
        <f>IF(COUNTIFS($AF$3:AF74,"&gt;0",$S$3:S74,S74)&gt;3,"Trừ toàn bộ chuyên cần tháng","")</f>
        <v/>
      </c>
      <c r="AI74" s="14"/>
      <c r="AJ74" s="14"/>
    </row>
    <row r="75" spans="1:36" x14ac:dyDescent="0.25">
      <c r="A75" s="4" t="s">
        <v>163</v>
      </c>
      <c r="B75" s="1" t="s">
        <v>164</v>
      </c>
      <c r="C75" s="1" t="s">
        <v>20</v>
      </c>
      <c r="D75" s="1" t="s">
        <v>69</v>
      </c>
      <c r="E75" s="1" t="s">
        <v>22</v>
      </c>
      <c r="F75" s="1" t="s">
        <v>23</v>
      </c>
      <c r="G75" s="1" t="s">
        <v>12</v>
      </c>
      <c r="H75" s="12" t="s">
        <v>167</v>
      </c>
      <c r="I75" s="1" t="s">
        <v>24</v>
      </c>
      <c r="J75" s="1" t="s">
        <v>25</v>
      </c>
      <c r="K75" s="1" t="s">
        <v>25</v>
      </c>
      <c r="L75" s="1" t="s">
        <v>26</v>
      </c>
      <c r="M75" s="1" t="s">
        <v>25</v>
      </c>
      <c r="N75" s="1" t="s">
        <v>25</v>
      </c>
      <c r="O75" s="1" t="s">
        <v>25</v>
      </c>
      <c r="P75" s="1" t="s">
        <v>25</v>
      </c>
      <c r="Q75" s="1" t="s">
        <v>25</v>
      </c>
      <c r="R75" s="70" t="str">
        <f t="shared" si="4"/>
        <v>1145913</v>
      </c>
      <c r="S75" t="str">
        <f>VLOOKUP(A75,Data_NV!$A:$C,3,0)</f>
        <v xml:space="preserve"> Trần Cao Hoàng Tâm    </v>
      </c>
      <c r="T75" t="str">
        <f>VLOOKUP(A75,Data_NV!$A:$E,4,0)</f>
        <v>Vận Hành</v>
      </c>
      <c r="U75" s="67">
        <f>DATEVALUE(Table2[[#This Row],[Ngày]])</f>
        <v>45913</v>
      </c>
      <c r="V75" t="str">
        <f>VLOOKUP(A75,Data_NV!$A:$E,5,0)</f>
        <v>Đang làm việc</v>
      </c>
      <c r="W75" s="11">
        <f>VLOOKUP(A75,Data_NV!$A:$I,8,0)</f>
        <v>0.3125</v>
      </c>
      <c r="X75" s="11">
        <f>VLOOKUP(A75,Data_NV!$A:$I,9,0)</f>
        <v>0.6875</v>
      </c>
      <c r="Y75" s="11">
        <f>IFERROR(TIMEVALUE(Table2[[#This Row],[Vào]]),0)</f>
        <v>0.31209490740740742</v>
      </c>
      <c r="Z75" s="11">
        <f>IFERROR(TIMEVALUE(Table2[[#This Row],[Ra]]),0)</f>
        <v>0</v>
      </c>
      <c r="AA75" t="str">
        <f t="shared" si="5"/>
        <v>x</v>
      </c>
      <c r="AB75" s="14">
        <f t="shared" si="6"/>
        <v>0</v>
      </c>
      <c r="AC75" s="14" t="str">
        <f>IF(VLOOKUP(A75,Data_NV!$A:$I,7,0)="Không","",IF(OR(AND(Y75=0,Z75=0),AND(Y75&lt;&gt;0,Z75&lt;&gt;0)),"","Quên chấm công"))</f>
        <v/>
      </c>
      <c r="AD75" s="14">
        <f>IF(VLOOKUP(A75,Data_NV!$A:$I,7,0)="Không",0,IF(AND(Y75=0,Z75=0),0,IF(X75&lt;=Z75,0,ROUNDDOWN((X75-Z75)*24*60,0))))</f>
        <v>0</v>
      </c>
      <c r="AE75" s="14">
        <f>IF(VLOOKUP(A75,Data_NV!$A:$I,6,0)="Không",0,IF(Z75&lt;=X75,0,ROUNDDOWN((Z75-X75)*24*60,0)))</f>
        <v>0</v>
      </c>
      <c r="AF75" s="29">
        <f t="shared" si="7"/>
        <v>0</v>
      </c>
      <c r="AG75" s="30" t="str">
        <f>IF(AC75="","",IF(COUNTIFS($AC$3:AC75,"Quên chấm công",$S$3:S75,S75)&gt;3,"Không chấm công do vi phạm quá 3 lần",IF(COUNTIFS($AC$3:AC75,"Quên chấm công",$S$3:S75,S75)&gt;2,"Trừ toàn bộ chuyên cần tháng do vi phạm lần 3",IF(COUNTIFS($AC$3:AC75,"Quên chấm công",$S$3:S75,S75)&gt;1,"Trừ 1/2 ngày lương",50000))))</f>
        <v/>
      </c>
      <c r="AH75" s="14" t="str">
        <f>IF(COUNTIFS($AF$3:AF75,"&gt;0",$S$3:S75,S75)&gt;3,"Trừ toàn bộ chuyên cần tháng","")</f>
        <v/>
      </c>
      <c r="AI75" s="14"/>
      <c r="AJ75" s="14"/>
    </row>
    <row r="76" spans="1:36" x14ac:dyDescent="0.25">
      <c r="A76" s="4" t="s">
        <v>163</v>
      </c>
      <c r="B76" s="1" t="s">
        <v>164</v>
      </c>
      <c r="C76" s="1" t="s">
        <v>20</v>
      </c>
      <c r="D76" s="1" t="s">
        <v>74</v>
      </c>
      <c r="E76" s="1" t="s">
        <v>22</v>
      </c>
      <c r="F76" s="1" t="s">
        <v>23</v>
      </c>
      <c r="G76" s="1" t="s">
        <v>12</v>
      </c>
      <c r="H76" s="12" t="s">
        <v>24</v>
      </c>
      <c r="I76" s="1" t="s">
        <v>24</v>
      </c>
      <c r="J76" s="1" t="s">
        <v>25</v>
      </c>
      <c r="K76" s="1" t="s">
        <v>25</v>
      </c>
      <c r="L76" s="1" t="s">
        <v>26</v>
      </c>
      <c r="M76" s="1" t="s">
        <v>25</v>
      </c>
      <c r="N76" s="1" t="s">
        <v>25</v>
      </c>
      <c r="O76" s="1" t="s">
        <v>25</v>
      </c>
      <c r="P76" s="1" t="s">
        <v>25</v>
      </c>
      <c r="Q76" s="1" t="s">
        <v>25</v>
      </c>
      <c r="R76" s="70" t="str">
        <f t="shared" si="4"/>
        <v>1145914</v>
      </c>
      <c r="S76" t="str">
        <f>VLOOKUP(A76,Data_NV!$A:$C,3,0)</f>
        <v xml:space="preserve"> Trần Cao Hoàng Tâm    </v>
      </c>
      <c r="T76" t="str">
        <f>VLOOKUP(A76,Data_NV!$A:$E,4,0)</f>
        <v>Vận Hành</v>
      </c>
      <c r="U76" s="67">
        <f>DATEVALUE(Table2[[#This Row],[Ngày]])</f>
        <v>45914</v>
      </c>
      <c r="V76" t="str">
        <f>VLOOKUP(A76,Data_NV!$A:$E,5,0)</f>
        <v>Đang làm việc</v>
      </c>
      <c r="W76" s="11">
        <f>VLOOKUP(A76,Data_NV!$A:$I,8,0)</f>
        <v>0.3125</v>
      </c>
      <c r="X76" s="11">
        <f>VLOOKUP(A76,Data_NV!$A:$I,9,0)</f>
        <v>0.6875</v>
      </c>
      <c r="Y76" s="11">
        <f>IFERROR(TIMEVALUE(Table2[[#This Row],[Vào]]),0)</f>
        <v>0</v>
      </c>
      <c r="Z76" s="11">
        <f>IFERROR(TIMEVALUE(Table2[[#This Row],[Ra]]),0)</f>
        <v>0</v>
      </c>
      <c r="AA76" t="str">
        <f t="shared" si="5"/>
        <v/>
      </c>
      <c r="AB76" s="14">
        <f t="shared" si="6"/>
        <v>0</v>
      </c>
      <c r="AC76" s="14" t="str">
        <f>IF(VLOOKUP(A76,Data_NV!$A:$I,7,0)="Không","",IF(OR(AND(Y76=0,Z76=0),AND(Y76&lt;&gt;0,Z76&lt;&gt;0)),"","Quên chấm công"))</f>
        <v/>
      </c>
      <c r="AD76" s="14">
        <f>IF(VLOOKUP(A76,Data_NV!$A:$I,7,0)="Không",0,IF(AND(Y76=0,Z76=0),0,IF(X76&lt;=Z76,0,ROUNDDOWN((X76-Z76)*24*60,0))))</f>
        <v>0</v>
      </c>
      <c r="AE76" s="14">
        <f>IF(VLOOKUP(A76,Data_NV!$A:$I,6,0)="Không",0,IF(Z76&lt;=X76,0,ROUNDDOWN((Z76-X76)*24*60,0)))</f>
        <v>0</v>
      </c>
      <c r="AF76" s="29">
        <f t="shared" si="7"/>
        <v>0</v>
      </c>
      <c r="AG76" s="30" t="str">
        <f>IF(AC76="","",IF(COUNTIFS($AC$3:AC76,"Quên chấm công",$S$3:S76,S76)&gt;3,"Không chấm công do vi phạm quá 3 lần",IF(COUNTIFS($AC$3:AC76,"Quên chấm công",$S$3:S76,S76)&gt;2,"Trừ toàn bộ chuyên cần tháng do vi phạm lần 3",IF(COUNTIFS($AC$3:AC76,"Quên chấm công",$S$3:S76,S76)&gt;1,"Trừ 1/2 ngày lương",50000))))</f>
        <v/>
      </c>
      <c r="AH76" s="14" t="str">
        <f>IF(COUNTIFS($AF$3:AF76,"&gt;0",$S$3:S76,S76)&gt;3,"Trừ toàn bộ chuyên cần tháng","")</f>
        <v/>
      </c>
      <c r="AI76" s="14"/>
      <c r="AJ76" s="14"/>
    </row>
    <row r="77" spans="1:36" x14ac:dyDescent="0.25">
      <c r="A77" s="4" t="s">
        <v>163</v>
      </c>
      <c r="B77" s="1" t="s">
        <v>164</v>
      </c>
      <c r="C77" s="1" t="s">
        <v>20</v>
      </c>
      <c r="D77" s="1" t="s">
        <v>75</v>
      </c>
      <c r="E77" s="1" t="s">
        <v>22</v>
      </c>
      <c r="F77" s="1" t="s">
        <v>23</v>
      </c>
      <c r="G77" s="1" t="s">
        <v>12</v>
      </c>
      <c r="H77" s="12" t="s">
        <v>168</v>
      </c>
      <c r="I77" s="1" t="s">
        <v>24</v>
      </c>
      <c r="J77" s="1" t="s">
        <v>25</v>
      </c>
      <c r="K77" s="1" t="s">
        <v>25</v>
      </c>
      <c r="L77" s="1" t="s">
        <v>26</v>
      </c>
      <c r="M77" s="1" t="s">
        <v>25</v>
      </c>
      <c r="N77" s="1" t="s">
        <v>25</v>
      </c>
      <c r="O77" s="1" t="s">
        <v>25</v>
      </c>
      <c r="P77" s="1" t="s">
        <v>25</v>
      </c>
      <c r="Q77" s="1" t="s">
        <v>25</v>
      </c>
      <c r="R77" s="70" t="str">
        <f t="shared" si="4"/>
        <v>1145915</v>
      </c>
      <c r="S77" t="str">
        <f>VLOOKUP(A77,Data_NV!$A:$C,3,0)</f>
        <v xml:space="preserve"> Trần Cao Hoàng Tâm    </v>
      </c>
      <c r="T77" t="str">
        <f>VLOOKUP(A77,Data_NV!$A:$E,4,0)</f>
        <v>Vận Hành</v>
      </c>
      <c r="U77" s="67">
        <f>DATEVALUE(Table2[[#This Row],[Ngày]])</f>
        <v>45915</v>
      </c>
      <c r="V77" t="str">
        <f>VLOOKUP(A77,Data_NV!$A:$E,5,0)</f>
        <v>Đang làm việc</v>
      </c>
      <c r="W77" s="11">
        <f>VLOOKUP(A77,Data_NV!$A:$I,8,0)</f>
        <v>0.3125</v>
      </c>
      <c r="X77" s="11">
        <f>VLOOKUP(A77,Data_NV!$A:$I,9,0)</f>
        <v>0.6875</v>
      </c>
      <c r="Y77" s="11">
        <f>IFERROR(TIMEVALUE(Table2[[#This Row],[Vào]]),0)</f>
        <v>0.31473379629629628</v>
      </c>
      <c r="Z77" s="11">
        <f>IFERROR(TIMEVALUE(Table2[[#This Row],[Ra]]),0)</f>
        <v>0</v>
      </c>
      <c r="AA77" t="str">
        <f t="shared" si="5"/>
        <v>x</v>
      </c>
      <c r="AB77" s="14">
        <f t="shared" si="6"/>
        <v>3</v>
      </c>
      <c r="AC77" s="14" t="str">
        <f>IF(VLOOKUP(A77,Data_NV!$A:$I,7,0)="Không","",IF(OR(AND(Y77=0,Z77=0),AND(Y77&lt;&gt;0,Z77&lt;&gt;0)),"","Quên chấm công"))</f>
        <v/>
      </c>
      <c r="AD77" s="14">
        <f>IF(VLOOKUP(A77,Data_NV!$A:$I,7,0)="Không",0,IF(AND(Y77=0,Z77=0),0,IF(X77&lt;=Z77,0,ROUNDDOWN((X77-Z77)*24*60,0))))</f>
        <v>0</v>
      </c>
      <c r="AE77" s="14">
        <f>IF(VLOOKUP(A77,Data_NV!$A:$I,6,0)="Không",0,IF(Z77&lt;=X77,0,ROUNDDOWN((Z77-X77)*24*60,0)))</f>
        <v>0</v>
      </c>
      <c r="AF77" s="29">
        <f t="shared" si="7"/>
        <v>0</v>
      </c>
      <c r="AG77" s="30" t="str">
        <f>IF(AC77="","",IF(COUNTIFS($AC$3:AC77,"Quên chấm công",$S$3:S77,S77)&gt;3,"Không chấm công do vi phạm quá 3 lần",IF(COUNTIFS($AC$3:AC77,"Quên chấm công",$S$3:S77,S77)&gt;2,"Trừ toàn bộ chuyên cần tháng do vi phạm lần 3",IF(COUNTIFS($AC$3:AC77,"Quên chấm công",$S$3:S77,S77)&gt;1,"Trừ 1/2 ngày lương",50000))))</f>
        <v/>
      </c>
      <c r="AH77" s="14" t="str">
        <f>IF(COUNTIFS($AF$3:AF77,"&gt;0",$S$3:S77,S77)&gt;3,"Trừ toàn bộ chuyên cần tháng","")</f>
        <v/>
      </c>
      <c r="AI77" s="14"/>
      <c r="AJ77" s="14"/>
    </row>
    <row r="78" spans="1:36" x14ac:dyDescent="0.25">
      <c r="A78" s="4" t="s">
        <v>163</v>
      </c>
      <c r="B78" s="1" t="s">
        <v>164</v>
      </c>
      <c r="C78" s="1" t="s">
        <v>20</v>
      </c>
      <c r="D78" s="1" t="s">
        <v>80</v>
      </c>
      <c r="E78" s="1" t="s">
        <v>22</v>
      </c>
      <c r="F78" s="1" t="s">
        <v>23</v>
      </c>
      <c r="G78" s="1" t="s">
        <v>12</v>
      </c>
      <c r="H78" s="12" t="s">
        <v>24</v>
      </c>
      <c r="I78" s="1" t="s">
        <v>24</v>
      </c>
      <c r="J78" s="1" t="s">
        <v>25</v>
      </c>
      <c r="K78" s="1" t="s">
        <v>25</v>
      </c>
      <c r="L78" s="1" t="s">
        <v>26</v>
      </c>
      <c r="M78" s="1" t="s">
        <v>25</v>
      </c>
      <c r="N78" s="1" t="s">
        <v>25</v>
      </c>
      <c r="O78" s="1" t="s">
        <v>25</v>
      </c>
      <c r="P78" s="1" t="s">
        <v>25</v>
      </c>
      <c r="Q78" s="1" t="s">
        <v>25</v>
      </c>
      <c r="R78" s="70" t="str">
        <f t="shared" si="4"/>
        <v>1145916</v>
      </c>
      <c r="S78" t="str">
        <f>VLOOKUP(A78,Data_NV!$A:$C,3,0)</f>
        <v xml:space="preserve"> Trần Cao Hoàng Tâm    </v>
      </c>
      <c r="T78" t="str">
        <f>VLOOKUP(A78,Data_NV!$A:$E,4,0)</f>
        <v>Vận Hành</v>
      </c>
      <c r="U78" s="67">
        <f>DATEVALUE(Table2[[#This Row],[Ngày]])</f>
        <v>45916</v>
      </c>
      <c r="V78" t="str">
        <f>VLOOKUP(A78,Data_NV!$A:$E,5,0)</f>
        <v>Đang làm việc</v>
      </c>
      <c r="W78" s="11">
        <f>VLOOKUP(A78,Data_NV!$A:$I,8,0)</f>
        <v>0.3125</v>
      </c>
      <c r="X78" s="11">
        <f>VLOOKUP(A78,Data_NV!$A:$I,9,0)</f>
        <v>0.6875</v>
      </c>
      <c r="Y78" s="11">
        <f>IFERROR(TIMEVALUE(Table2[[#This Row],[Vào]]),0)</f>
        <v>0</v>
      </c>
      <c r="Z78" s="11">
        <f>IFERROR(TIMEVALUE(Table2[[#This Row],[Ra]]),0)</f>
        <v>0</v>
      </c>
      <c r="AA78" t="str">
        <f t="shared" si="5"/>
        <v/>
      </c>
      <c r="AB78" s="14">
        <f t="shared" si="6"/>
        <v>0</v>
      </c>
      <c r="AC78" s="14" t="str">
        <f>IF(VLOOKUP(A78,Data_NV!$A:$I,7,0)="Không","",IF(OR(AND(Y78=0,Z78=0),AND(Y78&lt;&gt;0,Z78&lt;&gt;0)),"","Quên chấm công"))</f>
        <v/>
      </c>
      <c r="AD78" s="14">
        <f>IF(VLOOKUP(A78,Data_NV!$A:$I,7,0)="Không",0,IF(AND(Y78=0,Z78=0),0,IF(X78&lt;=Z78,0,ROUNDDOWN((X78-Z78)*24*60,0))))</f>
        <v>0</v>
      </c>
      <c r="AE78" s="14">
        <f>IF(VLOOKUP(A78,Data_NV!$A:$I,6,0)="Không",0,IF(Z78&lt;=X78,0,ROUNDDOWN((Z78-X78)*24*60,0)))</f>
        <v>0</v>
      </c>
      <c r="AF78" s="29">
        <f t="shared" si="7"/>
        <v>0</v>
      </c>
      <c r="AG78" s="30" t="str">
        <f>IF(AC78="","",IF(COUNTIFS($AC$3:AC78,"Quên chấm công",$S$3:S78,S78)&gt;3,"Không chấm công do vi phạm quá 3 lần",IF(COUNTIFS($AC$3:AC78,"Quên chấm công",$S$3:S78,S78)&gt;2,"Trừ toàn bộ chuyên cần tháng do vi phạm lần 3",IF(COUNTIFS($AC$3:AC78,"Quên chấm công",$S$3:S78,S78)&gt;1,"Trừ 1/2 ngày lương",50000))))</f>
        <v/>
      </c>
      <c r="AH78" s="14" t="str">
        <f>IF(COUNTIFS($AF$3:AF78,"&gt;0",$S$3:S78,S78)&gt;3,"Trừ toàn bộ chuyên cần tháng","")</f>
        <v/>
      </c>
      <c r="AI78" s="14"/>
      <c r="AJ78" s="14"/>
    </row>
    <row r="79" spans="1:36" x14ac:dyDescent="0.25">
      <c r="A79" s="4" t="s">
        <v>163</v>
      </c>
      <c r="B79" s="1" t="s">
        <v>164</v>
      </c>
      <c r="C79" s="1" t="s">
        <v>20</v>
      </c>
      <c r="D79" s="1" t="s">
        <v>85</v>
      </c>
      <c r="E79" s="1" t="s">
        <v>22</v>
      </c>
      <c r="F79" s="1" t="s">
        <v>23</v>
      </c>
      <c r="G79" s="1" t="s">
        <v>12</v>
      </c>
      <c r="H79" s="12" t="s">
        <v>24</v>
      </c>
      <c r="I79" s="1" t="s">
        <v>24</v>
      </c>
      <c r="J79" s="1" t="s">
        <v>25</v>
      </c>
      <c r="K79" s="1" t="s">
        <v>25</v>
      </c>
      <c r="L79" s="1" t="s">
        <v>26</v>
      </c>
      <c r="M79" s="1" t="s">
        <v>25</v>
      </c>
      <c r="N79" s="1" t="s">
        <v>25</v>
      </c>
      <c r="O79" s="1" t="s">
        <v>25</v>
      </c>
      <c r="P79" s="1" t="s">
        <v>25</v>
      </c>
      <c r="Q79" s="1" t="s">
        <v>25</v>
      </c>
      <c r="R79" s="70" t="str">
        <f t="shared" si="4"/>
        <v>1145917</v>
      </c>
      <c r="S79" t="str">
        <f>VLOOKUP(A79,Data_NV!$A:$C,3,0)</f>
        <v xml:space="preserve"> Trần Cao Hoàng Tâm    </v>
      </c>
      <c r="T79" t="str">
        <f>VLOOKUP(A79,Data_NV!$A:$E,4,0)</f>
        <v>Vận Hành</v>
      </c>
      <c r="U79" s="67">
        <f>DATEVALUE(Table2[[#This Row],[Ngày]])</f>
        <v>45917</v>
      </c>
      <c r="V79" t="str">
        <f>VLOOKUP(A79,Data_NV!$A:$E,5,0)</f>
        <v>Đang làm việc</v>
      </c>
      <c r="W79" s="11">
        <f>VLOOKUP(A79,Data_NV!$A:$I,8,0)</f>
        <v>0.3125</v>
      </c>
      <c r="X79" s="11">
        <f>VLOOKUP(A79,Data_NV!$A:$I,9,0)</f>
        <v>0.6875</v>
      </c>
      <c r="Y79" s="11">
        <f>IFERROR(TIMEVALUE(Table2[[#This Row],[Vào]]),0)</f>
        <v>0</v>
      </c>
      <c r="Z79" s="11">
        <f>IFERROR(TIMEVALUE(Table2[[#This Row],[Ra]]),0)</f>
        <v>0</v>
      </c>
      <c r="AA79" t="str">
        <f t="shared" si="5"/>
        <v/>
      </c>
      <c r="AB79" s="14">
        <f t="shared" si="6"/>
        <v>0</v>
      </c>
      <c r="AC79" s="14" t="str">
        <f>IF(VLOOKUP(A79,Data_NV!$A:$I,7,0)="Không","",IF(OR(AND(Y79=0,Z79=0),AND(Y79&lt;&gt;0,Z79&lt;&gt;0)),"","Quên chấm công"))</f>
        <v/>
      </c>
      <c r="AD79" s="14">
        <f>IF(VLOOKUP(A79,Data_NV!$A:$I,7,0)="Không",0,IF(AND(Y79=0,Z79=0),0,IF(X79&lt;=Z79,0,ROUNDDOWN((X79-Z79)*24*60,0))))</f>
        <v>0</v>
      </c>
      <c r="AE79" s="14">
        <f>IF(VLOOKUP(A79,Data_NV!$A:$I,6,0)="Không",0,IF(Z79&lt;=X79,0,ROUNDDOWN((Z79-X79)*24*60,0)))</f>
        <v>0</v>
      </c>
      <c r="AF79" s="29">
        <f t="shared" si="7"/>
        <v>0</v>
      </c>
      <c r="AG79" s="30" t="str">
        <f>IF(AC79="","",IF(COUNTIFS($AC$3:AC79,"Quên chấm công",$S$3:S79,S79)&gt;3,"Không chấm công do vi phạm quá 3 lần",IF(COUNTIFS($AC$3:AC79,"Quên chấm công",$S$3:S79,S79)&gt;2,"Trừ toàn bộ chuyên cần tháng do vi phạm lần 3",IF(COUNTIFS($AC$3:AC79,"Quên chấm công",$S$3:S79,S79)&gt;1,"Trừ 1/2 ngày lương",50000))))</f>
        <v/>
      </c>
      <c r="AH79" s="14" t="str">
        <f>IF(COUNTIFS($AF$3:AF79,"&gt;0",$S$3:S79,S79)&gt;3,"Trừ toàn bộ chuyên cần tháng","")</f>
        <v/>
      </c>
      <c r="AI79" s="14"/>
      <c r="AJ79" s="14"/>
    </row>
    <row r="80" spans="1:36" x14ac:dyDescent="0.25">
      <c r="A80" s="4" t="s">
        <v>163</v>
      </c>
      <c r="B80" s="1" t="s">
        <v>164</v>
      </c>
      <c r="C80" s="1" t="s">
        <v>20</v>
      </c>
      <c r="D80" s="1" t="s">
        <v>90</v>
      </c>
      <c r="E80" s="1" t="s">
        <v>22</v>
      </c>
      <c r="F80" s="1" t="s">
        <v>23</v>
      </c>
      <c r="G80" s="1" t="s">
        <v>12</v>
      </c>
      <c r="H80" s="12" t="s">
        <v>169</v>
      </c>
      <c r="I80" s="1" t="s">
        <v>24</v>
      </c>
      <c r="J80" s="1" t="s">
        <v>66</v>
      </c>
      <c r="K80" s="1" t="s">
        <v>25</v>
      </c>
      <c r="L80" s="1" t="s">
        <v>26</v>
      </c>
      <c r="M80" s="1" t="s">
        <v>25</v>
      </c>
      <c r="N80" s="1" t="s">
        <v>25</v>
      </c>
      <c r="O80" s="1" t="s">
        <v>25</v>
      </c>
      <c r="P80" s="1" t="s">
        <v>25</v>
      </c>
      <c r="Q80" s="1" t="s">
        <v>25</v>
      </c>
      <c r="R80" s="70" t="str">
        <f t="shared" si="4"/>
        <v>1145918</v>
      </c>
      <c r="S80" t="str">
        <f>VLOOKUP(A80,Data_NV!$A:$C,3,0)</f>
        <v xml:space="preserve"> Trần Cao Hoàng Tâm    </v>
      </c>
      <c r="T80" t="str">
        <f>VLOOKUP(A80,Data_NV!$A:$E,4,0)</f>
        <v>Vận Hành</v>
      </c>
      <c r="U80" s="67">
        <f>DATEVALUE(Table2[[#This Row],[Ngày]])</f>
        <v>45918</v>
      </c>
      <c r="V80" t="str">
        <f>VLOOKUP(A80,Data_NV!$A:$E,5,0)</f>
        <v>Đang làm việc</v>
      </c>
      <c r="W80" s="11">
        <f>VLOOKUP(A80,Data_NV!$A:$I,8,0)</f>
        <v>0.3125</v>
      </c>
      <c r="X80" s="11">
        <f>VLOOKUP(A80,Data_NV!$A:$I,9,0)</f>
        <v>0.6875</v>
      </c>
      <c r="Y80" s="11">
        <f>IFERROR(TIMEVALUE(Table2[[#This Row],[Vào]]),0)</f>
        <v>0.36275462962962962</v>
      </c>
      <c r="Z80" s="11">
        <f>IFERROR(TIMEVALUE(Table2[[#This Row],[Ra]]),0)</f>
        <v>0</v>
      </c>
      <c r="AA80" t="str">
        <f t="shared" si="5"/>
        <v>1/2</v>
      </c>
      <c r="AB80" s="14">
        <f t="shared" si="6"/>
        <v>72</v>
      </c>
      <c r="AC80" s="14" t="str">
        <f>IF(VLOOKUP(A80,Data_NV!$A:$I,7,0)="Không","",IF(OR(AND(Y80=0,Z80=0),AND(Y80&lt;&gt;0,Z80&lt;&gt;0)),"","Quên chấm công"))</f>
        <v/>
      </c>
      <c r="AD80" s="14">
        <f>IF(VLOOKUP(A80,Data_NV!$A:$I,7,0)="Không",0,IF(AND(Y80=0,Z80=0),0,IF(X80&lt;=Z80,0,ROUNDDOWN((X80-Z80)*24*60,0))))</f>
        <v>0</v>
      </c>
      <c r="AE80" s="14">
        <f>IF(VLOOKUP(A80,Data_NV!$A:$I,6,0)="Không",0,IF(Z80&lt;=X80,0,ROUNDDOWN((Z80-X80)*24*60,0)))</f>
        <v>0</v>
      </c>
      <c r="AF80" s="29" t="str">
        <f t="shared" si="7"/>
        <v>Trừ 1/2 ngày lương</v>
      </c>
      <c r="AG80" s="30" t="str">
        <f>IF(AC80="","",IF(COUNTIFS($AC$3:AC80,"Quên chấm công",$S$3:S80,S80)&gt;3,"Không chấm công do vi phạm quá 3 lần",IF(COUNTIFS($AC$3:AC80,"Quên chấm công",$S$3:S80,S80)&gt;2,"Trừ toàn bộ chuyên cần tháng do vi phạm lần 3",IF(COUNTIFS($AC$3:AC80,"Quên chấm công",$S$3:S80,S80)&gt;1,"Trừ 1/2 ngày lương",50000))))</f>
        <v/>
      </c>
      <c r="AH80" s="14" t="str">
        <f>IF(COUNTIFS($AF$3:AF80,"&gt;0",$S$3:S80,S80)&gt;3,"Trừ toàn bộ chuyên cần tháng","")</f>
        <v/>
      </c>
      <c r="AI80" s="14"/>
      <c r="AJ80" s="14"/>
    </row>
    <row r="81" spans="1:36" x14ac:dyDescent="0.25">
      <c r="A81" s="4" t="s">
        <v>163</v>
      </c>
      <c r="B81" s="1" t="s">
        <v>164</v>
      </c>
      <c r="C81" s="1" t="s">
        <v>20</v>
      </c>
      <c r="D81" s="1" t="s">
        <v>95</v>
      </c>
      <c r="E81" s="1" t="s">
        <v>22</v>
      </c>
      <c r="F81" s="1" t="s">
        <v>23</v>
      </c>
      <c r="G81" s="1" t="s">
        <v>12</v>
      </c>
      <c r="H81" s="12" t="s">
        <v>24</v>
      </c>
      <c r="I81" s="1" t="s">
        <v>24</v>
      </c>
      <c r="J81" s="1" t="s">
        <v>25</v>
      </c>
      <c r="K81" s="1" t="s">
        <v>25</v>
      </c>
      <c r="L81" s="1" t="s">
        <v>26</v>
      </c>
      <c r="M81" s="1" t="s">
        <v>25</v>
      </c>
      <c r="N81" s="1" t="s">
        <v>25</v>
      </c>
      <c r="O81" s="1" t="s">
        <v>25</v>
      </c>
      <c r="P81" s="1" t="s">
        <v>25</v>
      </c>
      <c r="Q81" s="1" t="s">
        <v>25</v>
      </c>
      <c r="R81" s="70" t="str">
        <f t="shared" si="4"/>
        <v>1145919</v>
      </c>
      <c r="S81" t="str">
        <f>VLOOKUP(A81,Data_NV!$A:$C,3,0)</f>
        <v xml:space="preserve"> Trần Cao Hoàng Tâm    </v>
      </c>
      <c r="T81" t="str">
        <f>VLOOKUP(A81,Data_NV!$A:$E,4,0)</f>
        <v>Vận Hành</v>
      </c>
      <c r="U81" s="67">
        <f>DATEVALUE(Table2[[#This Row],[Ngày]])</f>
        <v>45919</v>
      </c>
      <c r="V81" t="str">
        <f>VLOOKUP(A81,Data_NV!$A:$E,5,0)</f>
        <v>Đang làm việc</v>
      </c>
      <c r="W81" s="11">
        <f>VLOOKUP(A81,Data_NV!$A:$I,8,0)</f>
        <v>0.3125</v>
      </c>
      <c r="X81" s="11">
        <f>VLOOKUP(A81,Data_NV!$A:$I,9,0)</f>
        <v>0.6875</v>
      </c>
      <c r="Y81" s="11">
        <f>IFERROR(TIMEVALUE(Table2[[#This Row],[Vào]]),0)</f>
        <v>0</v>
      </c>
      <c r="Z81" s="11">
        <f>IFERROR(TIMEVALUE(Table2[[#This Row],[Ra]]),0)</f>
        <v>0</v>
      </c>
      <c r="AA81" t="str">
        <f t="shared" si="5"/>
        <v/>
      </c>
      <c r="AB81" s="14">
        <f t="shared" si="6"/>
        <v>0</v>
      </c>
      <c r="AC81" s="14" t="str">
        <f>IF(VLOOKUP(A81,Data_NV!$A:$I,7,0)="Không","",IF(OR(AND(Y81=0,Z81=0),AND(Y81&lt;&gt;0,Z81&lt;&gt;0)),"","Quên chấm công"))</f>
        <v/>
      </c>
      <c r="AD81" s="14">
        <f>IF(VLOOKUP(A81,Data_NV!$A:$I,7,0)="Không",0,IF(AND(Y81=0,Z81=0),0,IF(X81&lt;=Z81,0,ROUNDDOWN((X81-Z81)*24*60,0))))</f>
        <v>0</v>
      </c>
      <c r="AE81" s="14">
        <f>IF(VLOOKUP(A81,Data_NV!$A:$I,6,0)="Không",0,IF(Z81&lt;=X81,0,ROUNDDOWN((Z81-X81)*24*60,0)))</f>
        <v>0</v>
      </c>
      <c r="AF81" s="29">
        <f t="shared" si="7"/>
        <v>0</v>
      </c>
      <c r="AG81" s="30" t="str">
        <f>IF(AC81="","",IF(COUNTIFS($AC$3:AC81,"Quên chấm công",$S$3:S81,S81)&gt;3,"Không chấm công do vi phạm quá 3 lần",IF(COUNTIFS($AC$3:AC81,"Quên chấm công",$S$3:S81,S81)&gt;2,"Trừ toàn bộ chuyên cần tháng do vi phạm lần 3",IF(COUNTIFS($AC$3:AC81,"Quên chấm công",$S$3:S81,S81)&gt;1,"Trừ 1/2 ngày lương",50000))))</f>
        <v/>
      </c>
      <c r="AH81" s="14" t="str">
        <f>IF(COUNTIFS($AF$3:AF81,"&gt;0",$S$3:S81,S81)&gt;3,"Trừ toàn bộ chuyên cần tháng","")</f>
        <v/>
      </c>
      <c r="AI81" s="14"/>
      <c r="AJ81" s="14"/>
    </row>
    <row r="82" spans="1:36" x14ac:dyDescent="0.25">
      <c r="A82" s="4" t="s">
        <v>163</v>
      </c>
      <c r="B82" s="1" t="s">
        <v>164</v>
      </c>
      <c r="C82" s="1" t="s">
        <v>20</v>
      </c>
      <c r="D82" s="1" t="s">
        <v>100</v>
      </c>
      <c r="E82" s="1" t="s">
        <v>22</v>
      </c>
      <c r="F82" s="1" t="s">
        <v>23</v>
      </c>
      <c r="G82" s="1" t="s">
        <v>12</v>
      </c>
      <c r="H82" s="12" t="s">
        <v>24</v>
      </c>
      <c r="I82" s="1" t="s">
        <v>24</v>
      </c>
      <c r="J82" s="1" t="s">
        <v>25</v>
      </c>
      <c r="K82" s="1" t="s">
        <v>25</v>
      </c>
      <c r="L82" s="1" t="s">
        <v>26</v>
      </c>
      <c r="M82" s="1" t="s">
        <v>25</v>
      </c>
      <c r="N82" s="1" t="s">
        <v>25</v>
      </c>
      <c r="O82" s="1" t="s">
        <v>25</v>
      </c>
      <c r="P82" s="1" t="s">
        <v>25</v>
      </c>
      <c r="Q82" s="1" t="s">
        <v>25</v>
      </c>
      <c r="R82" s="70" t="str">
        <f t="shared" si="4"/>
        <v>1145920</v>
      </c>
      <c r="S82" t="str">
        <f>VLOOKUP(A82,Data_NV!$A:$C,3,0)</f>
        <v xml:space="preserve"> Trần Cao Hoàng Tâm    </v>
      </c>
      <c r="T82" t="str">
        <f>VLOOKUP(A82,Data_NV!$A:$E,4,0)</f>
        <v>Vận Hành</v>
      </c>
      <c r="U82" s="67">
        <f>DATEVALUE(Table2[[#This Row],[Ngày]])</f>
        <v>45920</v>
      </c>
      <c r="V82" t="str">
        <f>VLOOKUP(A82,Data_NV!$A:$E,5,0)</f>
        <v>Đang làm việc</v>
      </c>
      <c r="W82" s="11">
        <f>VLOOKUP(A82,Data_NV!$A:$I,8,0)</f>
        <v>0.3125</v>
      </c>
      <c r="X82" s="11">
        <f>VLOOKUP(A82,Data_NV!$A:$I,9,0)</f>
        <v>0.6875</v>
      </c>
      <c r="Y82" s="11">
        <f>IFERROR(TIMEVALUE(Table2[[#This Row],[Vào]]),0)</f>
        <v>0</v>
      </c>
      <c r="Z82" s="11">
        <f>IFERROR(TIMEVALUE(Table2[[#This Row],[Ra]]),0)</f>
        <v>0</v>
      </c>
      <c r="AA82" t="str">
        <f t="shared" si="5"/>
        <v/>
      </c>
      <c r="AB82" s="14">
        <f t="shared" si="6"/>
        <v>0</v>
      </c>
      <c r="AC82" s="14" t="str">
        <f>IF(VLOOKUP(A82,Data_NV!$A:$I,7,0)="Không","",IF(OR(AND(Y82=0,Z82=0),AND(Y82&lt;&gt;0,Z82&lt;&gt;0)),"","Quên chấm công"))</f>
        <v/>
      </c>
      <c r="AD82" s="14">
        <f>IF(VLOOKUP(A82,Data_NV!$A:$I,7,0)="Không",0,IF(AND(Y82=0,Z82=0),0,IF(X82&lt;=Z82,0,ROUNDDOWN((X82-Z82)*24*60,0))))</f>
        <v>0</v>
      </c>
      <c r="AE82" s="14">
        <f>IF(VLOOKUP(A82,Data_NV!$A:$I,6,0)="Không",0,IF(Z82&lt;=X82,0,ROUNDDOWN((Z82-X82)*24*60,0)))</f>
        <v>0</v>
      </c>
      <c r="AF82" s="29">
        <f t="shared" si="7"/>
        <v>0</v>
      </c>
      <c r="AG82" s="30" t="str">
        <f>IF(AC82="","",IF(COUNTIFS($AC$3:AC82,"Quên chấm công",$S$3:S82,S82)&gt;3,"Không chấm công do vi phạm quá 3 lần",IF(COUNTIFS($AC$3:AC82,"Quên chấm công",$S$3:S82,S82)&gt;2,"Trừ toàn bộ chuyên cần tháng do vi phạm lần 3",IF(COUNTIFS($AC$3:AC82,"Quên chấm công",$S$3:S82,S82)&gt;1,"Trừ 1/2 ngày lương",50000))))</f>
        <v/>
      </c>
      <c r="AH82" s="14" t="str">
        <f>IF(COUNTIFS($AF$3:AF82,"&gt;0",$S$3:S82,S82)&gt;3,"Trừ toàn bộ chuyên cần tháng","")</f>
        <v/>
      </c>
      <c r="AI82" s="14"/>
      <c r="AJ82" s="14"/>
    </row>
    <row r="83" spans="1:36" x14ac:dyDescent="0.25">
      <c r="A83" s="4" t="s">
        <v>163</v>
      </c>
      <c r="B83" s="1" t="s">
        <v>164</v>
      </c>
      <c r="C83" s="1" t="s">
        <v>20</v>
      </c>
      <c r="D83" s="1" t="s">
        <v>105</v>
      </c>
      <c r="E83" s="1" t="s">
        <v>22</v>
      </c>
      <c r="F83" s="1" t="s">
        <v>23</v>
      </c>
      <c r="G83" s="1" t="s">
        <v>12</v>
      </c>
      <c r="H83" s="12" t="s">
        <v>24</v>
      </c>
      <c r="I83" s="1" t="s">
        <v>24</v>
      </c>
      <c r="J83" s="1" t="s">
        <v>25</v>
      </c>
      <c r="K83" s="1" t="s">
        <v>25</v>
      </c>
      <c r="L83" s="1" t="s">
        <v>26</v>
      </c>
      <c r="M83" s="1" t="s">
        <v>25</v>
      </c>
      <c r="N83" s="1" t="s">
        <v>25</v>
      </c>
      <c r="O83" s="1" t="s">
        <v>25</v>
      </c>
      <c r="P83" s="1" t="s">
        <v>25</v>
      </c>
      <c r="Q83" s="1" t="s">
        <v>25</v>
      </c>
      <c r="R83" s="70" t="str">
        <f t="shared" si="4"/>
        <v>1145921</v>
      </c>
      <c r="S83" t="str">
        <f>VLOOKUP(A83,Data_NV!$A:$C,3,0)</f>
        <v xml:space="preserve"> Trần Cao Hoàng Tâm    </v>
      </c>
      <c r="T83" t="str">
        <f>VLOOKUP(A83,Data_NV!$A:$E,4,0)</f>
        <v>Vận Hành</v>
      </c>
      <c r="U83" s="67">
        <f>DATEVALUE(Table2[[#This Row],[Ngày]])</f>
        <v>45921</v>
      </c>
      <c r="V83" t="str">
        <f>VLOOKUP(A83,Data_NV!$A:$E,5,0)</f>
        <v>Đang làm việc</v>
      </c>
      <c r="W83" s="11">
        <f>VLOOKUP(A83,Data_NV!$A:$I,8,0)</f>
        <v>0.3125</v>
      </c>
      <c r="X83" s="11">
        <f>VLOOKUP(A83,Data_NV!$A:$I,9,0)</f>
        <v>0.6875</v>
      </c>
      <c r="Y83" s="11">
        <f>IFERROR(TIMEVALUE(Table2[[#This Row],[Vào]]),0)</f>
        <v>0</v>
      </c>
      <c r="Z83" s="11">
        <f>IFERROR(TIMEVALUE(Table2[[#This Row],[Ra]]),0)</f>
        <v>0</v>
      </c>
      <c r="AA83" t="str">
        <f t="shared" si="5"/>
        <v/>
      </c>
      <c r="AB83" s="14">
        <f t="shared" si="6"/>
        <v>0</v>
      </c>
      <c r="AC83" s="14" t="str">
        <f>IF(VLOOKUP(A83,Data_NV!$A:$I,7,0)="Không","",IF(OR(AND(Y83=0,Z83=0),AND(Y83&lt;&gt;0,Z83&lt;&gt;0)),"","Quên chấm công"))</f>
        <v/>
      </c>
      <c r="AD83" s="14">
        <f>IF(VLOOKUP(A83,Data_NV!$A:$I,7,0)="Không",0,IF(AND(Y83=0,Z83=0),0,IF(X83&lt;=Z83,0,ROUNDDOWN((X83-Z83)*24*60,0))))</f>
        <v>0</v>
      </c>
      <c r="AE83" s="14">
        <f>IF(VLOOKUP(A83,Data_NV!$A:$I,6,0)="Không",0,IF(Z83&lt;=X83,0,ROUNDDOWN((Z83-X83)*24*60,0)))</f>
        <v>0</v>
      </c>
      <c r="AF83" s="29">
        <f t="shared" si="7"/>
        <v>0</v>
      </c>
      <c r="AG83" s="30" t="str">
        <f>IF(AC83="","",IF(COUNTIFS($AC$3:AC83,"Quên chấm công",$S$3:S83,S83)&gt;3,"Không chấm công do vi phạm quá 3 lần",IF(COUNTIFS($AC$3:AC83,"Quên chấm công",$S$3:S83,S83)&gt;2,"Trừ toàn bộ chuyên cần tháng do vi phạm lần 3",IF(COUNTIFS($AC$3:AC83,"Quên chấm công",$S$3:S83,S83)&gt;1,"Trừ 1/2 ngày lương",50000))))</f>
        <v/>
      </c>
      <c r="AH83" s="14" t="str">
        <f>IF(COUNTIFS($AF$3:AF83,"&gt;0",$S$3:S83,S83)&gt;3,"Trừ toàn bộ chuyên cần tháng","")</f>
        <v/>
      </c>
      <c r="AI83" s="14"/>
      <c r="AJ83" s="14"/>
    </row>
    <row r="84" spans="1:36" x14ac:dyDescent="0.25">
      <c r="A84" s="4" t="s">
        <v>163</v>
      </c>
      <c r="B84" s="1" t="s">
        <v>164</v>
      </c>
      <c r="C84" s="1" t="s">
        <v>20</v>
      </c>
      <c r="D84" s="1" t="s">
        <v>106</v>
      </c>
      <c r="E84" s="1" t="s">
        <v>22</v>
      </c>
      <c r="F84" s="1" t="s">
        <v>23</v>
      </c>
      <c r="G84" s="1" t="s">
        <v>12</v>
      </c>
      <c r="H84" s="12" t="s">
        <v>24</v>
      </c>
      <c r="I84" s="1" t="s">
        <v>24</v>
      </c>
      <c r="J84" s="1" t="s">
        <v>25</v>
      </c>
      <c r="K84" s="1" t="s">
        <v>25</v>
      </c>
      <c r="L84" s="1" t="s">
        <v>26</v>
      </c>
      <c r="M84" s="1" t="s">
        <v>25</v>
      </c>
      <c r="N84" s="1" t="s">
        <v>25</v>
      </c>
      <c r="O84" s="1" t="s">
        <v>25</v>
      </c>
      <c r="P84" s="1" t="s">
        <v>25</v>
      </c>
      <c r="Q84" s="1" t="s">
        <v>25</v>
      </c>
      <c r="R84" s="70" t="str">
        <f t="shared" si="4"/>
        <v>1145922</v>
      </c>
      <c r="S84" t="str">
        <f>VLOOKUP(A84,Data_NV!$A:$C,3,0)</f>
        <v xml:space="preserve"> Trần Cao Hoàng Tâm    </v>
      </c>
      <c r="T84" t="str">
        <f>VLOOKUP(A84,Data_NV!$A:$E,4,0)</f>
        <v>Vận Hành</v>
      </c>
      <c r="U84" s="67">
        <f>DATEVALUE(Table2[[#This Row],[Ngày]])</f>
        <v>45922</v>
      </c>
      <c r="V84" t="str">
        <f>VLOOKUP(A84,Data_NV!$A:$E,5,0)</f>
        <v>Đang làm việc</v>
      </c>
      <c r="W84" s="11">
        <f>VLOOKUP(A84,Data_NV!$A:$I,8,0)</f>
        <v>0.3125</v>
      </c>
      <c r="X84" s="11">
        <f>VLOOKUP(A84,Data_NV!$A:$I,9,0)</f>
        <v>0.6875</v>
      </c>
      <c r="Y84" s="11">
        <f>IFERROR(TIMEVALUE(Table2[[#This Row],[Vào]]),0)</f>
        <v>0</v>
      </c>
      <c r="Z84" s="11">
        <f>IFERROR(TIMEVALUE(Table2[[#This Row],[Ra]]),0)</f>
        <v>0</v>
      </c>
      <c r="AA84" t="str">
        <f t="shared" si="5"/>
        <v/>
      </c>
      <c r="AB84" s="14">
        <f t="shared" si="6"/>
        <v>0</v>
      </c>
      <c r="AC84" s="14" t="str">
        <f>IF(VLOOKUP(A84,Data_NV!$A:$I,7,0)="Không","",IF(OR(AND(Y84=0,Z84=0),AND(Y84&lt;&gt;0,Z84&lt;&gt;0)),"","Quên chấm công"))</f>
        <v/>
      </c>
      <c r="AD84" s="14">
        <f>IF(VLOOKUP(A84,Data_NV!$A:$I,7,0)="Không",0,IF(AND(Y84=0,Z84=0),0,IF(X84&lt;=Z84,0,ROUNDDOWN((X84-Z84)*24*60,0))))</f>
        <v>0</v>
      </c>
      <c r="AE84" s="14">
        <f>IF(VLOOKUP(A84,Data_NV!$A:$I,6,0)="Không",0,IF(Z84&lt;=X84,0,ROUNDDOWN((Z84-X84)*24*60,0)))</f>
        <v>0</v>
      </c>
      <c r="AF84" s="29">
        <f t="shared" si="7"/>
        <v>0</v>
      </c>
      <c r="AG84" s="30" t="str">
        <f>IF(AC84="","",IF(COUNTIFS($AC$3:AC84,"Quên chấm công",$S$3:S84,S84)&gt;3,"Không chấm công do vi phạm quá 3 lần",IF(COUNTIFS($AC$3:AC84,"Quên chấm công",$S$3:S84,S84)&gt;2,"Trừ toàn bộ chuyên cần tháng do vi phạm lần 3",IF(COUNTIFS($AC$3:AC84,"Quên chấm công",$S$3:S84,S84)&gt;1,"Trừ 1/2 ngày lương",50000))))</f>
        <v/>
      </c>
      <c r="AH84" s="14" t="str">
        <f>IF(COUNTIFS($AF$3:AF84,"&gt;0",$S$3:S84,S84)&gt;3,"Trừ toàn bộ chuyên cần tháng","")</f>
        <v/>
      </c>
      <c r="AI84" s="14"/>
      <c r="AJ84" s="14"/>
    </row>
    <row r="85" spans="1:36" x14ac:dyDescent="0.25">
      <c r="A85" s="4" t="s">
        <v>163</v>
      </c>
      <c r="B85" s="1" t="s">
        <v>164</v>
      </c>
      <c r="C85" s="1" t="s">
        <v>20</v>
      </c>
      <c r="D85" s="1" t="s">
        <v>111</v>
      </c>
      <c r="E85" s="1" t="s">
        <v>22</v>
      </c>
      <c r="F85" s="1" t="s">
        <v>23</v>
      </c>
      <c r="G85" s="1" t="s">
        <v>12</v>
      </c>
      <c r="H85" s="12" t="s">
        <v>24</v>
      </c>
      <c r="I85" s="1" t="s">
        <v>24</v>
      </c>
      <c r="J85" s="1" t="s">
        <v>25</v>
      </c>
      <c r="K85" s="1" t="s">
        <v>25</v>
      </c>
      <c r="L85" s="1" t="s">
        <v>26</v>
      </c>
      <c r="M85" s="1" t="s">
        <v>25</v>
      </c>
      <c r="N85" s="1" t="s">
        <v>25</v>
      </c>
      <c r="O85" s="1" t="s">
        <v>25</v>
      </c>
      <c r="P85" s="1" t="s">
        <v>25</v>
      </c>
      <c r="Q85" s="1" t="s">
        <v>25</v>
      </c>
      <c r="R85" s="70" t="str">
        <f t="shared" si="4"/>
        <v>1145923</v>
      </c>
      <c r="S85" t="str">
        <f>VLOOKUP(A85,Data_NV!$A:$C,3,0)</f>
        <v xml:space="preserve"> Trần Cao Hoàng Tâm    </v>
      </c>
      <c r="T85" t="str">
        <f>VLOOKUP(A85,Data_NV!$A:$E,4,0)</f>
        <v>Vận Hành</v>
      </c>
      <c r="U85" s="67">
        <f>DATEVALUE(Table2[[#This Row],[Ngày]])</f>
        <v>45923</v>
      </c>
      <c r="V85" t="str">
        <f>VLOOKUP(A85,Data_NV!$A:$E,5,0)</f>
        <v>Đang làm việc</v>
      </c>
      <c r="W85" s="11">
        <f>VLOOKUP(A85,Data_NV!$A:$I,8,0)</f>
        <v>0.3125</v>
      </c>
      <c r="X85" s="11">
        <f>VLOOKUP(A85,Data_NV!$A:$I,9,0)</f>
        <v>0.6875</v>
      </c>
      <c r="Y85" s="11">
        <f>IFERROR(TIMEVALUE(Table2[[#This Row],[Vào]]),0)</f>
        <v>0</v>
      </c>
      <c r="Z85" s="11">
        <f>IFERROR(TIMEVALUE(Table2[[#This Row],[Ra]]),0)</f>
        <v>0</v>
      </c>
      <c r="AA85" t="str">
        <f t="shared" si="5"/>
        <v/>
      </c>
      <c r="AB85" s="14">
        <f t="shared" si="6"/>
        <v>0</v>
      </c>
      <c r="AC85" s="14" t="str">
        <f>IF(VLOOKUP(A85,Data_NV!$A:$I,7,0)="Không","",IF(OR(AND(Y85=0,Z85=0),AND(Y85&lt;&gt;0,Z85&lt;&gt;0)),"","Quên chấm công"))</f>
        <v/>
      </c>
      <c r="AD85" s="14">
        <f>IF(VLOOKUP(A85,Data_NV!$A:$I,7,0)="Không",0,IF(AND(Y85=0,Z85=0),0,IF(X85&lt;=Z85,0,ROUNDDOWN((X85-Z85)*24*60,0))))</f>
        <v>0</v>
      </c>
      <c r="AE85" s="14">
        <f>IF(VLOOKUP(A85,Data_NV!$A:$I,6,0)="Không",0,IF(Z85&lt;=X85,0,ROUNDDOWN((Z85-X85)*24*60,0)))</f>
        <v>0</v>
      </c>
      <c r="AF85" s="29">
        <f t="shared" si="7"/>
        <v>0</v>
      </c>
      <c r="AG85" s="30" t="str">
        <f>IF(AC85="","",IF(COUNTIFS($AC$3:AC85,"Quên chấm công",$S$3:S85,S85)&gt;3,"Không chấm công do vi phạm quá 3 lần",IF(COUNTIFS($AC$3:AC85,"Quên chấm công",$S$3:S85,S85)&gt;2,"Trừ toàn bộ chuyên cần tháng do vi phạm lần 3",IF(COUNTIFS($AC$3:AC85,"Quên chấm công",$S$3:S85,S85)&gt;1,"Trừ 1/2 ngày lương",50000))))</f>
        <v/>
      </c>
      <c r="AH85" s="14" t="str">
        <f>IF(COUNTIFS($AF$3:AF85,"&gt;0",$S$3:S85,S85)&gt;3,"Trừ toàn bộ chuyên cần tháng","")</f>
        <v/>
      </c>
      <c r="AI85" s="14"/>
      <c r="AJ85" s="14"/>
    </row>
    <row r="86" spans="1:36" x14ac:dyDescent="0.25">
      <c r="A86" s="4" t="s">
        <v>163</v>
      </c>
      <c r="B86" s="1" t="s">
        <v>164</v>
      </c>
      <c r="C86" s="1" t="s">
        <v>20</v>
      </c>
      <c r="D86" s="1" t="s">
        <v>116</v>
      </c>
      <c r="E86" s="1" t="s">
        <v>22</v>
      </c>
      <c r="F86" s="1" t="s">
        <v>23</v>
      </c>
      <c r="G86" s="1" t="s">
        <v>12</v>
      </c>
      <c r="H86" s="12" t="s">
        <v>170</v>
      </c>
      <c r="I86" s="1" t="s">
        <v>24</v>
      </c>
      <c r="J86" s="1" t="s">
        <v>25</v>
      </c>
      <c r="K86" s="1" t="s">
        <v>25</v>
      </c>
      <c r="L86" s="1" t="s">
        <v>26</v>
      </c>
      <c r="M86" s="1" t="s">
        <v>25</v>
      </c>
      <c r="N86" s="1" t="s">
        <v>25</v>
      </c>
      <c r="O86" s="1" t="s">
        <v>25</v>
      </c>
      <c r="P86" s="1" t="s">
        <v>25</v>
      </c>
      <c r="Q86" s="1" t="s">
        <v>25</v>
      </c>
      <c r="R86" s="70" t="str">
        <f t="shared" si="4"/>
        <v>1145924</v>
      </c>
      <c r="S86" t="str">
        <f>VLOOKUP(A86,Data_NV!$A:$C,3,0)</f>
        <v xml:space="preserve"> Trần Cao Hoàng Tâm    </v>
      </c>
      <c r="T86" t="str">
        <f>VLOOKUP(A86,Data_NV!$A:$E,4,0)</f>
        <v>Vận Hành</v>
      </c>
      <c r="U86" s="67">
        <f>DATEVALUE(Table2[[#This Row],[Ngày]])</f>
        <v>45924</v>
      </c>
      <c r="V86" t="str">
        <f>VLOOKUP(A86,Data_NV!$A:$E,5,0)</f>
        <v>Đang làm việc</v>
      </c>
      <c r="W86" s="11">
        <f>VLOOKUP(A86,Data_NV!$A:$I,8,0)</f>
        <v>0.3125</v>
      </c>
      <c r="X86" s="11">
        <f>VLOOKUP(A86,Data_NV!$A:$I,9,0)</f>
        <v>0.6875</v>
      </c>
      <c r="Y86" s="11">
        <f>IFERROR(TIMEVALUE(Table2[[#This Row],[Vào]]),0)</f>
        <v>0.31740740740740742</v>
      </c>
      <c r="Z86" s="11">
        <f>IFERROR(TIMEVALUE(Table2[[#This Row],[Ra]]),0)</f>
        <v>0</v>
      </c>
      <c r="AA86" t="str">
        <f t="shared" si="5"/>
        <v>x</v>
      </c>
      <c r="AB86" s="14">
        <f t="shared" si="6"/>
        <v>7</v>
      </c>
      <c r="AC86" s="14" t="str">
        <f>IF(VLOOKUP(A86,Data_NV!$A:$I,7,0)="Không","",IF(OR(AND(Y86=0,Z86=0),AND(Y86&lt;&gt;0,Z86&lt;&gt;0)),"","Quên chấm công"))</f>
        <v/>
      </c>
      <c r="AD86" s="14">
        <f>IF(VLOOKUP(A86,Data_NV!$A:$I,7,0)="Không",0,IF(AND(Y86=0,Z86=0),0,IF(X86&lt;=Z86,0,ROUNDDOWN((X86-Z86)*24*60,0))))</f>
        <v>0</v>
      </c>
      <c r="AE86" s="14">
        <f>IF(VLOOKUP(A86,Data_NV!$A:$I,6,0)="Không",0,IF(Z86&lt;=X86,0,ROUNDDOWN((Z86-X86)*24*60,0)))</f>
        <v>0</v>
      </c>
      <c r="AF86" s="29">
        <f t="shared" si="7"/>
        <v>30000</v>
      </c>
      <c r="AG86" s="30" t="str">
        <f>IF(AC86="","",IF(COUNTIFS($AC$3:AC86,"Quên chấm công",$S$3:S86,S86)&gt;3,"Không chấm công do vi phạm quá 3 lần",IF(COUNTIFS($AC$3:AC86,"Quên chấm công",$S$3:S86,S86)&gt;2,"Trừ toàn bộ chuyên cần tháng do vi phạm lần 3",IF(COUNTIFS($AC$3:AC86,"Quên chấm công",$S$3:S86,S86)&gt;1,"Trừ 1/2 ngày lương",50000))))</f>
        <v/>
      </c>
      <c r="AH86" s="14" t="str">
        <f>IF(COUNTIFS($AF$3:AF86,"&gt;0",$S$3:S86,S86)&gt;3,"Trừ toàn bộ chuyên cần tháng","")</f>
        <v/>
      </c>
      <c r="AI86" s="14"/>
      <c r="AJ86" s="14"/>
    </row>
    <row r="87" spans="1:36" x14ac:dyDescent="0.25">
      <c r="A87" s="4" t="s">
        <v>163</v>
      </c>
      <c r="B87" s="1" t="s">
        <v>164</v>
      </c>
      <c r="C87" s="1" t="s">
        <v>20</v>
      </c>
      <c r="D87" s="1" t="s">
        <v>121</v>
      </c>
      <c r="E87" s="1" t="s">
        <v>22</v>
      </c>
      <c r="F87" s="1" t="s">
        <v>23</v>
      </c>
      <c r="G87" s="1" t="s">
        <v>12</v>
      </c>
      <c r="H87" s="12" t="s">
        <v>171</v>
      </c>
      <c r="I87" s="1" t="s">
        <v>24</v>
      </c>
      <c r="J87" s="1" t="s">
        <v>25</v>
      </c>
      <c r="K87" s="1" t="s">
        <v>25</v>
      </c>
      <c r="L87" s="1" t="s">
        <v>26</v>
      </c>
      <c r="M87" s="1" t="s">
        <v>25</v>
      </c>
      <c r="N87" s="1" t="s">
        <v>25</v>
      </c>
      <c r="O87" s="1" t="s">
        <v>25</v>
      </c>
      <c r="P87" s="1" t="s">
        <v>25</v>
      </c>
      <c r="Q87" s="1" t="s">
        <v>25</v>
      </c>
      <c r="R87" s="70" t="str">
        <f t="shared" si="4"/>
        <v>1145925</v>
      </c>
      <c r="S87" t="str">
        <f>VLOOKUP(A87,Data_NV!$A:$C,3,0)</f>
        <v xml:space="preserve"> Trần Cao Hoàng Tâm    </v>
      </c>
      <c r="T87" t="str">
        <f>VLOOKUP(A87,Data_NV!$A:$E,4,0)</f>
        <v>Vận Hành</v>
      </c>
      <c r="U87" s="67">
        <f>DATEVALUE(Table2[[#This Row],[Ngày]])</f>
        <v>45925</v>
      </c>
      <c r="V87" t="str">
        <f>VLOOKUP(A87,Data_NV!$A:$E,5,0)</f>
        <v>Đang làm việc</v>
      </c>
      <c r="W87" s="11">
        <f>VLOOKUP(A87,Data_NV!$A:$I,8,0)</f>
        <v>0.3125</v>
      </c>
      <c r="X87" s="11">
        <f>VLOOKUP(A87,Data_NV!$A:$I,9,0)</f>
        <v>0.6875</v>
      </c>
      <c r="Y87" s="11">
        <f>IFERROR(TIMEVALUE(Table2[[#This Row],[Vào]]),0)</f>
        <v>0.31400462962962961</v>
      </c>
      <c r="Z87" s="11">
        <f>IFERROR(TIMEVALUE(Table2[[#This Row],[Ra]]),0)</f>
        <v>0</v>
      </c>
      <c r="AA87" t="str">
        <f t="shared" si="5"/>
        <v>x</v>
      </c>
      <c r="AB87" s="14">
        <f t="shared" si="6"/>
        <v>2</v>
      </c>
      <c r="AC87" s="14" t="str">
        <f>IF(VLOOKUP(A87,Data_NV!$A:$I,7,0)="Không","",IF(OR(AND(Y87=0,Z87=0),AND(Y87&lt;&gt;0,Z87&lt;&gt;0)),"","Quên chấm công"))</f>
        <v/>
      </c>
      <c r="AD87" s="14">
        <f>IF(VLOOKUP(A87,Data_NV!$A:$I,7,0)="Không",0,IF(AND(Y87=0,Z87=0),0,IF(X87&lt;=Z87,0,ROUNDDOWN((X87-Z87)*24*60,0))))</f>
        <v>0</v>
      </c>
      <c r="AE87" s="14">
        <f>IF(VLOOKUP(A87,Data_NV!$A:$I,6,0)="Không",0,IF(Z87&lt;=X87,0,ROUNDDOWN((Z87-X87)*24*60,0)))</f>
        <v>0</v>
      </c>
      <c r="AF87" s="29">
        <f t="shared" si="7"/>
        <v>0</v>
      </c>
      <c r="AG87" s="30" t="str">
        <f>IF(AC87="","",IF(COUNTIFS($AC$3:AC87,"Quên chấm công",$S$3:S87,S87)&gt;3,"Không chấm công do vi phạm quá 3 lần",IF(COUNTIFS($AC$3:AC87,"Quên chấm công",$S$3:S87,S87)&gt;2,"Trừ toàn bộ chuyên cần tháng do vi phạm lần 3",IF(COUNTIFS($AC$3:AC87,"Quên chấm công",$S$3:S87,S87)&gt;1,"Trừ 1/2 ngày lương",50000))))</f>
        <v/>
      </c>
      <c r="AH87" s="14" t="str">
        <f>IF(COUNTIFS($AF$3:AF87,"&gt;0",$S$3:S87,S87)&gt;3,"Trừ toàn bộ chuyên cần tháng","")</f>
        <v/>
      </c>
      <c r="AI87" s="14"/>
      <c r="AJ87" s="14"/>
    </row>
    <row r="88" spans="1:36" x14ac:dyDescent="0.25">
      <c r="A88" s="4" t="s">
        <v>163</v>
      </c>
      <c r="B88" s="1" t="s">
        <v>164</v>
      </c>
      <c r="C88" s="1" t="s">
        <v>20</v>
      </c>
      <c r="D88" s="1" t="s">
        <v>123</v>
      </c>
      <c r="E88" s="1" t="s">
        <v>22</v>
      </c>
      <c r="F88" s="1" t="s">
        <v>23</v>
      </c>
      <c r="G88" s="1" t="s">
        <v>12</v>
      </c>
      <c r="H88" s="12" t="s">
        <v>24</v>
      </c>
      <c r="I88" s="1" t="s">
        <v>24</v>
      </c>
      <c r="J88" s="1" t="s">
        <v>25</v>
      </c>
      <c r="K88" s="1" t="s">
        <v>25</v>
      </c>
      <c r="L88" s="1" t="s">
        <v>26</v>
      </c>
      <c r="M88" s="1" t="s">
        <v>25</v>
      </c>
      <c r="N88" s="1" t="s">
        <v>25</v>
      </c>
      <c r="O88" s="1" t="s">
        <v>25</v>
      </c>
      <c r="P88" s="1" t="s">
        <v>25</v>
      </c>
      <c r="Q88" s="1" t="s">
        <v>25</v>
      </c>
      <c r="R88" s="70" t="str">
        <f t="shared" si="4"/>
        <v>1145926</v>
      </c>
      <c r="S88" t="str">
        <f>VLOOKUP(A88,Data_NV!$A:$C,3,0)</f>
        <v xml:space="preserve"> Trần Cao Hoàng Tâm    </v>
      </c>
      <c r="T88" t="str">
        <f>VLOOKUP(A88,Data_NV!$A:$E,4,0)</f>
        <v>Vận Hành</v>
      </c>
      <c r="U88" s="67">
        <f>DATEVALUE(Table2[[#This Row],[Ngày]])</f>
        <v>45926</v>
      </c>
      <c r="V88" t="str">
        <f>VLOOKUP(A88,Data_NV!$A:$E,5,0)</f>
        <v>Đang làm việc</v>
      </c>
      <c r="W88" s="11">
        <f>VLOOKUP(A88,Data_NV!$A:$I,8,0)</f>
        <v>0.3125</v>
      </c>
      <c r="X88" s="11">
        <f>VLOOKUP(A88,Data_NV!$A:$I,9,0)</f>
        <v>0.6875</v>
      </c>
      <c r="Y88" s="11">
        <f>IFERROR(TIMEVALUE(Table2[[#This Row],[Vào]]),0)</f>
        <v>0</v>
      </c>
      <c r="Z88" s="11">
        <f>IFERROR(TIMEVALUE(Table2[[#This Row],[Ra]]),0)</f>
        <v>0</v>
      </c>
      <c r="AA88" t="str">
        <f t="shared" si="5"/>
        <v/>
      </c>
      <c r="AB88" s="14">
        <f t="shared" si="6"/>
        <v>0</v>
      </c>
      <c r="AC88" s="14" t="str">
        <f>IF(VLOOKUP(A88,Data_NV!$A:$I,7,0)="Không","",IF(OR(AND(Y88=0,Z88=0),AND(Y88&lt;&gt;0,Z88&lt;&gt;0)),"","Quên chấm công"))</f>
        <v/>
      </c>
      <c r="AD88" s="14">
        <f>IF(VLOOKUP(A88,Data_NV!$A:$I,7,0)="Không",0,IF(AND(Y88=0,Z88=0),0,IF(X88&lt;=Z88,0,ROUNDDOWN((X88-Z88)*24*60,0))))</f>
        <v>0</v>
      </c>
      <c r="AE88" s="14">
        <f>IF(VLOOKUP(A88,Data_NV!$A:$I,6,0)="Không",0,IF(Z88&lt;=X88,0,ROUNDDOWN((Z88-X88)*24*60,0)))</f>
        <v>0</v>
      </c>
      <c r="AF88" s="29">
        <f t="shared" si="7"/>
        <v>0</v>
      </c>
      <c r="AG88" s="30" t="str">
        <f>IF(AC88="","",IF(COUNTIFS($AC$3:AC88,"Quên chấm công",$S$3:S88,S88)&gt;3,"Không chấm công do vi phạm quá 3 lần",IF(COUNTIFS($AC$3:AC88,"Quên chấm công",$S$3:S88,S88)&gt;2,"Trừ toàn bộ chuyên cần tháng do vi phạm lần 3",IF(COUNTIFS($AC$3:AC88,"Quên chấm công",$S$3:S88,S88)&gt;1,"Trừ 1/2 ngày lương",50000))))</f>
        <v/>
      </c>
      <c r="AH88" s="14" t="str">
        <f>IF(COUNTIFS($AF$3:AF88,"&gt;0",$S$3:S88,S88)&gt;3,"Trừ toàn bộ chuyên cần tháng","")</f>
        <v/>
      </c>
      <c r="AI88" s="14"/>
      <c r="AJ88" s="14"/>
    </row>
    <row r="89" spans="1:36" x14ac:dyDescent="0.25">
      <c r="A89" s="4" t="s">
        <v>163</v>
      </c>
      <c r="B89" s="1" t="s">
        <v>164</v>
      </c>
      <c r="C89" s="1" t="s">
        <v>20</v>
      </c>
      <c r="D89" s="1" t="s">
        <v>125</v>
      </c>
      <c r="E89" s="1" t="s">
        <v>22</v>
      </c>
      <c r="F89" s="1" t="s">
        <v>23</v>
      </c>
      <c r="G89" s="1" t="s">
        <v>12</v>
      </c>
      <c r="H89" s="12" t="s">
        <v>24</v>
      </c>
      <c r="I89" s="1" t="s">
        <v>24</v>
      </c>
      <c r="J89" s="1" t="s">
        <v>25</v>
      </c>
      <c r="K89" s="1" t="s">
        <v>25</v>
      </c>
      <c r="L89" s="1" t="s">
        <v>26</v>
      </c>
      <c r="M89" s="1" t="s">
        <v>25</v>
      </c>
      <c r="N89" s="1" t="s">
        <v>25</v>
      </c>
      <c r="O89" s="1" t="s">
        <v>25</v>
      </c>
      <c r="P89" s="1" t="s">
        <v>25</v>
      </c>
      <c r="Q89" s="1" t="s">
        <v>25</v>
      </c>
      <c r="R89" s="70" t="str">
        <f t="shared" si="4"/>
        <v>1145927</v>
      </c>
      <c r="S89" t="str">
        <f>VLOOKUP(A89,Data_NV!$A:$C,3,0)</f>
        <v xml:space="preserve"> Trần Cao Hoàng Tâm    </v>
      </c>
      <c r="T89" t="str">
        <f>VLOOKUP(A89,Data_NV!$A:$E,4,0)</f>
        <v>Vận Hành</v>
      </c>
      <c r="U89" s="67">
        <f>DATEVALUE(Table2[[#This Row],[Ngày]])</f>
        <v>45927</v>
      </c>
      <c r="V89" t="str">
        <f>VLOOKUP(A89,Data_NV!$A:$E,5,0)</f>
        <v>Đang làm việc</v>
      </c>
      <c r="W89" s="11">
        <f>VLOOKUP(A89,Data_NV!$A:$I,8,0)</f>
        <v>0.3125</v>
      </c>
      <c r="X89" s="11">
        <f>VLOOKUP(A89,Data_NV!$A:$I,9,0)</f>
        <v>0.6875</v>
      </c>
      <c r="Y89" s="11">
        <f>IFERROR(TIMEVALUE(Table2[[#This Row],[Vào]]),0)</f>
        <v>0</v>
      </c>
      <c r="Z89" s="11">
        <f>IFERROR(TIMEVALUE(Table2[[#This Row],[Ra]]),0)</f>
        <v>0</v>
      </c>
      <c r="AA89" t="str">
        <f t="shared" si="5"/>
        <v/>
      </c>
      <c r="AB89" s="14">
        <f t="shared" si="6"/>
        <v>0</v>
      </c>
      <c r="AC89" s="14" t="str">
        <f>IF(VLOOKUP(A89,Data_NV!$A:$I,7,0)="Không","",IF(OR(AND(Y89=0,Z89=0),AND(Y89&lt;&gt;0,Z89&lt;&gt;0)),"","Quên chấm công"))</f>
        <v/>
      </c>
      <c r="AD89" s="14">
        <f>IF(VLOOKUP(A89,Data_NV!$A:$I,7,0)="Không",0,IF(AND(Y89=0,Z89=0),0,IF(X89&lt;=Z89,0,ROUNDDOWN((X89-Z89)*24*60,0))))</f>
        <v>0</v>
      </c>
      <c r="AE89" s="14">
        <f>IF(VLOOKUP(A89,Data_NV!$A:$I,6,0)="Không",0,IF(Z89&lt;=X89,0,ROUNDDOWN((Z89-X89)*24*60,0)))</f>
        <v>0</v>
      </c>
      <c r="AF89" s="29">
        <f t="shared" si="7"/>
        <v>0</v>
      </c>
      <c r="AG89" s="30" t="str">
        <f>IF(AC89="","",IF(COUNTIFS($AC$3:AC89,"Quên chấm công",$S$3:S89,S89)&gt;3,"Không chấm công do vi phạm quá 3 lần",IF(COUNTIFS($AC$3:AC89,"Quên chấm công",$S$3:S89,S89)&gt;2,"Trừ toàn bộ chuyên cần tháng do vi phạm lần 3",IF(COUNTIFS($AC$3:AC89,"Quên chấm công",$S$3:S89,S89)&gt;1,"Trừ 1/2 ngày lương",50000))))</f>
        <v/>
      </c>
      <c r="AH89" s="14" t="str">
        <f>IF(COUNTIFS($AF$3:AF89,"&gt;0",$S$3:S89,S89)&gt;3,"Trừ toàn bộ chuyên cần tháng","")</f>
        <v/>
      </c>
      <c r="AI89" s="14"/>
      <c r="AJ89" s="14"/>
    </row>
    <row r="90" spans="1:36" x14ac:dyDescent="0.25">
      <c r="A90" s="4" t="s">
        <v>163</v>
      </c>
      <c r="B90" s="1" t="s">
        <v>164</v>
      </c>
      <c r="C90" s="1" t="s">
        <v>20</v>
      </c>
      <c r="D90" s="1" t="s">
        <v>130</v>
      </c>
      <c r="E90" s="1" t="s">
        <v>22</v>
      </c>
      <c r="F90" s="1" t="s">
        <v>23</v>
      </c>
      <c r="G90" s="1" t="s">
        <v>12</v>
      </c>
      <c r="H90" s="12" t="s">
        <v>24</v>
      </c>
      <c r="I90" s="1" t="s">
        <v>24</v>
      </c>
      <c r="J90" s="1" t="s">
        <v>25</v>
      </c>
      <c r="K90" s="1" t="s">
        <v>25</v>
      </c>
      <c r="L90" s="1" t="s">
        <v>26</v>
      </c>
      <c r="M90" s="1" t="s">
        <v>25</v>
      </c>
      <c r="N90" s="1" t="s">
        <v>25</v>
      </c>
      <c r="O90" s="1" t="s">
        <v>25</v>
      </c>
      <c r="P90" s="1" t="s">
        <v>25</v>
      </c>
      <c r="Q90" s="1" t="s">
        <v>25</v>
      </c>
      <c r="R90" s="70" t="str">
        <f t="shared" si="4"/>
        <v>1145928</v>
      </c>
      <c r="S90" t="str">
        <f>VLOOKUP(A90,Data_NV!$A:$C,3,0)</f>
        <v xml:space="preserve"> Trần Cao Hoàng Tâm    </v>
      </c>
      <c r="T90" t="str">
        <f>VLOOKUP(A90,Data_NV!$A:$E,4,0)</f>
        <v>Vận Hành</v>
      </c>
      <c r="U90" s="67">
        <f>DATEVALUE(Table2[[#This Row],[Ngày]])</f>
        <v>45928</v>
      </c>
      <c r="V90" t="str">
        <f>VLOOKUP(A90,Data_NV!$A:$E,5,0)</f>
        <v>Đang làm việc</v>
      </c>
      <c r="W90" s="11">
        <f>VLOOKUP(A90,Data_NV!$A:$I,8,0)</f>
        <v>0.3125</v>
      </c>
      <c r="X90" s="11">
        <f>VLOOKUP(A90,Data_NV!$A:$I,9,0)</f>
        <v>0.6875</v>
      </c>
      <c r="Y90" s="11">
        <f>IFERROR(TIMEVALUE(Table2[[#This Row],[Vào]]),0)</f>
        <v>0</v>
      </c>
      <c r="Z90" s="11">
        <f>IFERROR(TIMEVALUE(Table2[[#This Row],[Ra]]),0)</f>
        <v>0</v>
      </c>
      <c r="AA90" t="str">
        <f t="shared" si="5"/>
        <v/>
      </c>
      <c r="AB90" s="14">
        <f t="shared" si="6"/>
        <v>0</v>
      </c>
      <c r="AC90" s="14" t="str">
        <f>IF(VLOOKUP(A90,Data_NV!$A:$I,7,0)="Không","",IF(OR(AND(Y90=0,Z90=0),AND(Y90&lt;&gt;0,Z90&lt;&gt;0)),"","Quên chấm công"))</f>
        <v/>
      </c>
      <c r="AD90" s="14">
        <f>IF(VLOOKUP(A90,Data_NV!$A:$I,7,0)="Không",0,IF(AND(Y90=0,Z90=0),0,IF(X90&lt;=Z90,0,ROUNDDOWN((X90-Z90)*24*60,0))))</f>
        <v>0</v>
      </c>
      <c r="AE90" s="14">
        <f>IF(VLOOKUP(A90,Data_NV!$A:$I,6,0)="Không",0,IF(Z90&lt;=X90,0,ROUNDDOWN((Z90-X90)*24*60,0)))</f>
        <v>0</v>
      </c>
      <c r="AF90" s="29">
        <f t="shared" si="7"/>
        <v>0</v>
      </c>
      <c r="AG90" s="30" t="str">
        <f>IF(AC90="","",IF(COUNTIFS($AC$3:AC90,"Quên chấm công",$S$3:S90,S90)&gt;3,"Không chấm công do vi phạm quá 3 lần",IF(COUNTIFS($AC$3:AC90,"Quên chấm công",$S$3:S90,S90)&gt;2,"Trừ toàn bộ chuyên cần tháng do vi phạm lần 3",IF(COUNTIFS($AC$3:AC90,"Quên chấm công",$S$3:S90,S90)&gt;1,"Trừ 1/2 ngày lương",50000))))</f>
        <v/>
      </c>
      <c r="AH90" s="14" t="str">
        <f>IF(COUNTIFS($AF$3:AF90,"&gt;0",$S$3:S90,S90)&gt;3,"Trừ toàn bộ chuyên cần tháng","")</f>
        <v/>
      </c>
      <c r="AI90" s="14"/>
      <c r="AJ90" s="14"/>
    </row>
    <row r="91" spans="1:36" x14ac:dyDescent="0.25">
      <c r="A91" s="4" t="s">
        <v>163</v>
      </c>
      <c r="B91" s="1" t="s">
        <v>164</v>
      </c>
      <c r="C91" s="1" t="s">
        <v>20</v>
      </c>
      <c r="D91" s="1" t="s">
        <v>131</v>
      </c>
      <c r="E91" s="1" t="s">
        <v>22</v>
      </c>
      <c r="F91" s="1" t="s">
        <v>23</v>
      </c>
      <c r="G91" s="1" t="s">
        <v>12</v>
      </c>
      <c r="H91" s="12" t="s">
        <v>24</v>
      </c>
      <c r="I91" s="1" t="s">
        <v>24</v>
      </c>
      <c r="J91" s="1" t="s">
        <v>25</v>
      </c>
      <c r="K91" s="1" t="s">
        <v>25</v>
      </c>
      <c r="L91" s="1" t="s">
        <v>26</v>
      </c>
      <c r="M91" s="1" t="s">
        <v>25</v>
      </c>
      <c r="N91" s="1" t="s">
        <v>25</v>
      </c>
      <c r="O91" s="1" t="s">
        <v>25</v>
      </c>
      <c r="P91" s="1" t="s">
        <v>25</v>
      </c>
      <c r="Q91" s="1" t="s">
        <v>25</v>
      </c>
      <c r="R91" s="70" t="str">
        <f t="shared" si="4"/>
        <v>1145929</v>
      </c>
      <c r="S91" t="str">
        <f>VLOOKUP(A91,Data_NV!$A:$C,3,0)</f>
        <v xml:space="preserve"> Trần Cao Hoàng Tâm    </v>
      </c>
      <c r="T91" t="str">
        <f>VLOOKUP(A91,Data_NV!$A:$E,4,0)</f>
        <v>Vận Hành</v>
      </c>
      <c r="U91" s="67">
        <f>DATEVALUE(Table2[[#This Row],[Ngày]])</f>
        <v>45929</v>
      </c>
      <c r="V91" t="str">
        <f>VLOOKUP(A91,Data_NV!$A:$E,5,0)</f>
        <v>Đang làm việc</v>
      </c>
      <c r="W91" s="11">
        <f>VLOOKUP(A91,Data_NV!$A:$I,8,0)</f>
        <v>0.3125</v>
      </c>
      <c r="X91" s="11">
        <f>VLOOKUP(A91,Data_NV!$A:$I,9,0)</f>
        <v>0.6875</v>
      </c>
      <c r="Y91" s="11">
        <f>IFERROR(TIMEVALUE(Table2[[#This Row],[Vào]]),0)</f>
        <v>0</v>
      </c>
      <c r="Z91" s="11">
        <f>IFERROR(TIMEVALUE(Table2[[#This Row],[Ra]]),0)</f>
        <v>0</v>
      </c>
      <c r="AA91" t="str">
        <f t="shared" si="5"/>
        <v/>
      </c>
      <c r="AB91" s="14">
        <f t="shared" si="6"/>
        <v>0</v>
      </c>
      <c r="AC91" s="14" t="str">
        <f>IF(VLOOKUP(A91,Data_NV!$A:$I,7,0)="Không","",IF(OR(AND(Y91=0,Z91=0),AND(Y91&lt;&gt;0,Z91&lt;&gt;0)),"","Quên chấm công"))</f>
        <v/>
      </c>
      <c r="AD91" s="14">
        <f>IF(VLOOKUP(A91,Data_NV!$A:$I,7,0)="Không",0,IF(AND(Y91=0,Z91=0),0,IF(X91&lt;=Z91,0,ROUNDDOWN((X91-Z91)*24*60,0))))</f>
        <v>0</v>
      </c>
      <c r="AE91" s="14">
        <f>IF(VLOOKUP(A91,Data_NV!$A:$I,6,0)="Không",0,IF(Z91&lt;=X91,0,ROUNDDOWN((Z91-X91)*24*60,0)))</f>
        <v>0</v>
      </c>
      <c r="AF91" s="29">
        <f t="shared" si="7"/>
        <v>0</v>
      </c>
      <c r="AG91" s="30" t="str">
        <f>IF(AC91="","",IF(COUNTIFS($AC$3:AC91,"Quên chấm công",$S$3:S91,S91)&gt;3,"Không chấm công do vi phạm quá 3 lần",IF(COUNTIFS($AC$3:AC91,"Quên chấm công",$S$3:S91,S91)&gt;2,"Trừ toàn bộ chuyên cần tháng do vi phạm lần 3",IF(COUNTIFS($AC$3:AC91,"Quên chấm công",$S$3:S91,S91)&gt;1,"Trừ 1/2 ngày lương",50000))))</f>
        <v/>
      </c>
      <c r="AH91" s="14" t="str">
        <f>IF(COUNTIFS($AF$3:AF91,"&gt;0",$S$3:S91,S91)&gt;3,"Trừ toàn bộ chuyên cần tháng","")</f>
        <v/>
      </c>
      <c r="AI91" s="14"/>
      <c r="AJ91" s="14"/>
    </row>
    <row r="92" spans="1:36" x14ac:dyDescent="0.25">
      <c r="A92" s="4" t="s">
        <v>163</v>
      </c>
      <c r="B92" s="1" t="s">
        <v>164</v>
      </c>
      <c r="C92" s="1" t="s">
        <v>20</v>
      </c>
      <c r="D92" s="1" t="s">
        <v>136</v>
      </c>
      <c r="E92" s="1" t="s">
        <v>22</v>
      </c>
      <c r="F92" s="1" t="s">
        <v>23</v>
      </c>
      <c r="G92" s="1" t="s">
        <v>12</v>
      </c>
      <c r="H92" s="12" t="s">
        <v>24</v>
      </c>
      <c r="I92" s="1" t="s">
        <v>24</v>
      </c>
      <c r="J92" s="1" t="s">
        <v>25</v>
      </c>
      <c r="K92" s="1" t="s">
        <v>25</v>
      </c>
      <c r="L92" s="1" t="s">
        <v>26</v>
      </c>
      <c r="M92" s="1" t="s">
        <v>25</v>
      </c>
      <c r="N92" s="1" t="s">
        <v>25</v>
      </c>
      <c r="O92" s="1" t="s">
        <v>25</v>
      </c>
      <c r="P92" s="1" t="s">
        <v>25</v>
      </c>
      <c r="Q92" s="1" t="s">
        <v>25</v>
      </c>
      <c r="R92" s="70" t="str">
        <f t="shared" si="4"/>
        <v>1145930</v>
      </c>
      <c r="S92" t="str">
        <f>VLOOKUP(A92,Data_NV!$A:$C,3,0)</f>
        <v xml:space="preserve"> Trần Cao Hoàng Tâm    </v>
      </c>
      <c r="T92" t="str">
        <f>VLOOKUP(A92,Data_NV!$A:$E,4,0)</f>
        <v>Vận Hành</v>
      </c>
      <c r="U92" s="67">
        <f>DATEVALUE(Table2[[#This Row],[Ngày]])</f>
        <v>45930</v>
      </c>
      <c r="V92" t="str">
        <f>VLOOKUP(A92,Data_NV!$A:$E,5,0)</f>
        <v>Đang làm việc</v>
      </c>
      <c r="W92" s="11">
        <f>VLOOKUP(A92,Data_NV!$A:$I,8,0)</f>
        <v>0.3125</v>
      </c>
      <c r="X92" s="11">
        <f>VLOOKUP(A92,Data_NV!$A:$I,9,0)</f>
        <v>0.6875</v>
      </c>
      <c r="Y92" s="11">
        <f>IFERROR(TIMEVALUE(Table2[[#This Row],[Vào]]),0)</f>
        <v>0</v>
      </c>
      <c r="Z92" s="11">
        <f>IFERROR(TIMEVALUE(Table2[[#This Row],[Ra]]),0)</f>
        <v>0</v>
      </c>
      <c r="AA92" t="str">
        <f t="shared" si="5"/>
        <v/>
      </c>
      <c r="AB92" s="14">
        <f t="shared" si="6"/>
        <v>0</v>
      </c>
      <c r="AC92" s="14" t="str">
        <f>IF(VLOOKUP(A92,Data_NV!$A:$I,7,0)="Không","",IF(OR(AND(Y92=0,Z92=0),AND(Y92&lt;&gt;0,Z92&lt;&gt;0)),"","Quên chấm công"))</f>
        <v/>
      </c>
      <c r="AD92" s="14">
        <f>IF(VLOOKUP(A92,Data_NV!$A:$I,7,0)="Không",0,IF(AND(Y92=0,Z92=0),0,IF(X92&lt;=Z92,0,ROUNDDOWN((X92-Z92)*24*60,0))))</f>
        <v>0</v>
      </c>
      <c r="AE92" s="14">
        <f>IF(VLOOKUP(A92,Data_NV!$A:$I,6,0)="Không",0,IF(Z92&lt;=X92,0,ROUNDDOWN((Z92-X92)*24*60,0)))</f>
        <v>0</v>
      </c>
      <c r="AF92" s="29">
        <f t="shared" si="7"/>
        <v>0</v>
      </c>
      <c r="AG92" s="30" t="str">
        <f>IF(AC92="","",IF(COUNTIFS($AC$3:AC92,"Quên chấm công",$S$3:S92,S92)&gt;3,"Không chấm công do vi phạm quá 3 lần",IF(COUNTIFS($AC$3:AC92,"Quên chấm công",$S$3:S92,S92)&gt;2,"Trừ toàn bộ chuyên cần tháng do vi phạm lần 3",IF(COUNTIFS($AC$3:AC92,"Quên chấm công",$S$3:S92,S92)&gt;1,"Trừ 1/2 ngày lương",50000))))</f>
        <v/>
      </c>
      <c r="AH92" s="14" t="str">
        <f>IF(COUNTIFS($AF$3:AF92,"&gt;0",$S$3:S92,S92)&gt;3,"Trừ toàn bộ chuyên cần tháng","")</f>
        <v/>
      </c>
      <c r="AI92" s="14"/>
      <c r="AJ92" s="14"/>
    </row>
    <row r="93" spans="1:36" x14ac:dyDescent="0.25">
      <c r="A93" s="4" t="s">
        <v>172</v>
      </c>
      <c r="B93" s="1" t="s">
        <v>173</v>
      </c>
      <c r="C93" s="1" t="s">
        <v>20</v>
      </c>
      <c r="D93" s="1" t="s">
        <v>21</v>
      </c>
      <c r="E93" s="1" t="s">
        <v>22</v>
      </c>
      <c r="F93" s="1" t="s">
        <v>23</v>
      </c>
      <c r="G93" s="1" t="s">
        <v>12</v>
      </c>
      <c r="H93" s="12" t="s">
        <v>24</v>
      </c>
      <c r="I93" s="1" t="s">
        <v>24</v>
      </c>
      <c r="J93" s="1" t="s">
        <v>25</v>
      </c>
      <c r="K93" s="1" t="s">
        <v>25</v>
      </c>
      <c r="L93" s="1" t="s">
        <v>26</v>
      </c>
      <c r="M93" s="1" t="s">
        <v>25</v>
      </c>
      <c r="N93" s="1" t="s">
        <v>25</v>
      </c>
      <c r="O93" s="1" t="s">
        <v>25</v>
      </c>
      <c r="P93" s="1" t="s">
        <v>25</v>
      </c>
      <c r="Q93" s="1" t="s">
        <v>25</v>
      </c>
      <c r="R93" s="70" t="str">
        <f t="shared" si="4"/>
        <v>1245901</v>
      </c>
      <c r="S93" t="str">
        <f>VLOOKUP(A93,Data_NV!$A:$C,3,0)</f>
        <v xml:space="preserve"> Hoàng Đức Thanh    </v>
      </c>
      <c r="T93" t="str">
        <f>VLOOKUP(A93,Data_NV!$A:$E,4,0)</f>
        <v>Vận Hành</v>
      </c>
      <c r="U93" s="67">
        <f>DATEVALUE(Table2[[#This Row],[Ngày]])</f>
        <v>45901</v>
      </c>
      <c r="V93" t="str">
        <f>VLOOKUP(A93,Data_NV!$A:$E,5,0)</f>
        <v>Đang làm việc</v>
      </c>
      <c r="W93" s="11">
        <f>VLOOKUP(A93,Data_NV!$A:$I,8,0)</f>
        <v>0.3125</v>
      </c>
      <c r="X93" s="11">
        <f>VLOOKUP(A93,Data_NV!$A:$I,9,0)</f>
        <v>0.6875</v>
      </c>
      <c r="Y93" s="11">
        <f>IFERROR(TIMEVALUE(Table2[[#This Row],[Vào]]),0)</f>
        <v>0</v>
      </c>
      <c r="Z93" s="11">
        <f>IFERROR(TIMEVALUE(Table2[[#This Row],[Ra]]),0)</f>
        <v>0</v>
      </c>
      <c r="AA93" s="10" t="s">
        <v>771</v>
      </c>
      <c r="AB93" s="14">
        <f t="shared" si="6"/>
        <v>0</v>
      </c>
      <c r="AC93" s="14" t="str">
        <f>IF(VLOOKUP(A93,Data_NV!$A:$I,7,0)="Không","",IF(OR(AND(Y93=0,Z93=0),AND(Y93&lt;&gt;0,Z93&lt;&gt;0)),"","Quên chấm công"))</f>
        <v/>
      </c>
      <c r="AD93" s="14">
        <f>IF(VLOOKUP(A93,Data_NV!$A:$I,7,0)="Không",0,IF(AND(Y93=0,Z93=0),0,IF(X93&lt;=Z93,0,ROUNDDOWN((X93-Z93)*24*60,0))))</f>
        <v>0</v>
      </c>
      <c r="AE93" s="14">
        <f>IF(VLOOKUP(A93,Data_NV!$A:$I,6,0)="Không",0,IF(Z93&lt;=X93,0,ROUNDDOWN((Z93-X93)*24*60,0)))</f>
        <v>0</v>
      </c>
      <c r="AF93" s="29">
        <f t="shared" si="7"/>
        <v>0</v>
      </c>
      <c r="AG93" s="30" t="str">
        <f>IF(AC93="","",IF(COUNTIFS($AC$3:AC93,"Quên chấm công",$S$3:S93,S93)&gt;3,"Không chấm công do vi phạm quá 3 lần",IF(COUNTIFS($AC$3:AC93,"Quên chấm công",$S$3:S93,S93)&gt;2,"Trừ toàn bộ chuyên cần tháng do vi phạm lần 3",IF(COUNTIFS($AC$3:AC93,"Quên chấm công",$S$3:S93,S93)&gt;1,"Trừ 1/2 ngày lương",50000))))</f>
        <v/>
      </c>
      <c r="AH93" s="14" t="str">
        <f>IF(COUNTIFS($AF$3:AF93,"&gt;0",$S$3:S93,S93)&gt;3,"Trừ toàn bộ chuyên cần tháng","")</f>
        <v/>
      </c>
      <c r="AI93" s="14"/>
      <c r="AJ93" s="14"/>
    </row>
    <row r="94" spans="1:36" x14ac:dyDescent="0.25">
      <c r="A94" s="4" t="s">
        <v>172</v>
      </c>
      <c r="B94" s="1" t="s">
        <v>173</v>
      </c>
      <c r="C94" s="1" t="s">
        <v>20</v>
      </c>
      <c r="D94" s="1" t="s">
        <v>27</v>
      </c>
      <c r="E94" s="1" t="s">
        <v>22</v>
      </c>
      <c r="F94" s="1" t="s">
        <v>23</v>
      </c>
      <c r="G94" s="1" t="s">
        <v>12</v>
      </c>
      <c r="H94" s="12" t="s">
        <v>24</v>
      </c>
      <c r="I94" s="1" t="s">
        <v>24</v>
      </c>
      <c r="J94" s="1" t="s">
        <v>25</v>
      </c>
      <c r="K94" s="1" t="s">
        <v>25</v>
      </c>
      <c r="L94" s="1" t="s">
        <v>26</v>
      </c>
      <c r="M94" s="1" t="s">
        <v>25</v>
      </c>
      <c r="N94" s="1" t="s">
        <v>25</v>
      </c>
      <c r="O94" s="1" t="s">
        <v>25</v>
      </c>
      <c r="P94" s="1" t="s">
        <v>25</v>
      </c>
      <c r="Q94" s="1" t="s">
        <v>25</v>
      </c>
      <c r="R94" s="70" t="str">
        <f t="shared" si="4"/>
        <v>1245902</v>
      </c>
      <c r="S94" t="str">
        <f>VLOOKUP(A94,Data_NV!$A:$C,3,0)</f>
        <v xml:space="preserve"> Hoàng Đức Thanh    </v>
      </c>
      <c r="T94" t="str">
        <f>VLOOKUP(A94,Data_NV!$A:$E,4,0)</f>
        <v>Vận Hành</v>
      </c>
      <c r="U94" s="67">
        <f>DATEVALUE(Table2[[#This Row],[Ngày]])</f>
        <v>45902</v>
      </c>
      <c r="V94" t="str">
        <f>VLOOKUP(A94,Data_NV!$A:$E,5,0)</f>
        <v>Đang làm việc</v>
      </c>
      <c r="W94" s="11">
        <f>VLOOKUP(A94,Data_NV!$A:$I,8,0)</f>
        <v>0.3125</v>
      </c>
      <c r="X94" s="11">
        <f>VLOOKUP(A94,Data_NV!$A:$I,9,0)</f>
        <v>0.6875</v>
      </c>
      <c r="Y94" s="11">
        <f>IFERROR(TIMEVALUE(Table2[[#This Row],[Vào]]),0)</f>
        <v>0</v>
      </c>
      <c r="Z94" s="11">
        <f>IFERROR(TIMEVALUE(Table2[[#This Row],[Ra]]),0)</f>
        <v>0</v>
      </c>
      <c r="AA94" s="10" t="s">
        <v>771</v>
      </c>
      <c r="AB94" s="14">
        <f t="shared" si="6"/>
        <v>0</v>
      </c>
      <c r="AC94" s="14" t="str">
        <f>IF(VLOOKUP(A94,Data_NV!$A:$I,7,0)="Không","",IF(OR(AND(Y94=0,Z94=0),AND(Y94&lt;&gt;0,Z94&lt;&gt;0)),"","Quên chấm công"))</f>
        <v/>
      </c>
      <c r="AD94" s="14">
        <f>IF(VLOOKUP(A94,Data_NV!$A:$I,7,0)="Không",0,IF(AND(Y94=0,Z94=0),0,IF(X94&lt;=Z94,0,ROUNDDOWN((X94-Z94)*24*60,0))))</f>
        <v>0</v>
      </c>
      <c r="AE94" s="14">
        <f>IF(VLOOKUP(A94,Data_NV!$A:$I,6,0)="Không",0,IF(Z94&lt;=X94,0,ROUNDDOWN((Z94-X94)*24*60,0)))</f>
        <v>0</v>
      </c>
      <c r="AF94" s="29">
        <f t="shared" si="7"/>
        <v>0</v>
      </c>
      <c r="AG94" s="30" t="str">
        <f>IF(AC94="","",IF(COUNTIFS($AC$3:AC94,"Quên chấm công",$S$3:S94,S94)&gt;3,"Không chấm công do vi phạm quá 3 lần",IF(COUNTIFS($AC$3:AC94,"Quên chấm công",$S$3:S94,S94)&gt;2,"Trừ toàn bộ chuyên cần tháng do vi phạm lần 3",IF(COUNTIFS($AC$3:AC94,"Quên chấm công",$S$3:S94,S94)&gt;1,"Trừ 1/2 ngày lương",50000))))</f>
        <v/>
      </c>
      <c r="AH94" s="14" t="str">
        <f>IF(COUNTIFS($AF$3:AF94,"&gt;0",$S$3:S94,S94)&gt;3,"Trừ toàn bộ chuyên cần tháng","")</f>
        <v/>
      </c>
      <c r="AI94" s="14"/>
      <c r="AJ94" s="14"/>
    </row>
    <row r="95" spans="1:36" x14ac:dyDescent="0.25">
      <c r="A95" s="4" t="s">
        <v>172</v>
      </c>
      <c r="B95" s="1" t="s">
        <v>173</v>
      </c>
      <c r="C95" s="1" t="s">
        <v>20</v>
      </c>
      <c r="D95" s="1" t="s">
        <v>28</v>
      </c>
      <c r="E95" s="1" t="s">
        <v>22</v>
      </c>
      <c r="F95" s="1" t="s">
        <v>23</v>
      </c>
      <c r="G95" s="1" t="s">
        <v>12</v>
      </c>
      <c r="H95" s="12" t="s">
        <v>174</v>
      </c>
      <c r="I95" s="1" t="s">
        <v>24</v>
      </c>
      <c r="J95" s="1" t="s">
        <v>25</v>
      </c>
      <c r="K95" s="1" t="s">
        <v>25</v>
      </c>
      <c r="L95" s="1" t="s">
        <v>26</v>
      </c>
      <c r="M95" s="1" t="s">
        <v>25</v>
      </c>
      <c r="N95" s="1" t="s">
        <v>25</v>
      </c>
      <c r="O95" s="1" t="s">
        <v>25</v>
      </c>
      <c r="P95" s="1" t="s">
        <v>25</v>
      </c>
      <c r="Q95" s="1" t="s">
        <v>25</v>
      </c>
      <c r="R95" s="70" t="str">
        <f t="shared" si="4"/>
        <v>1245903</v>
      </c>
      <c r="S95" t="str">
        <f>VLOOKUP(A95,Data_NV!$A:$C,3,0)</f>
        <v xml:space="preserve"> Hoàng Đức Thanh    </v>
      </c>
      <c r="T95" t="str">
        <f>VLOOKUP(A95,Data_NV!$A:$E,4,0)</f>
        <v>Vận Hành</v>
      </c>
      <c r="U95" s="67">
        <f>DATEVALUE(Table2[[#This Row],[Ngày]])</f>
        <v>45903</v>
      </c>
      <c r="V95" t="str">
        <f>VLOOKUP(A95,Data_NV!$A:$E,5,0)</f>
        <v>Đang làm việc</v>
      </c>
      <c r="W95" s="11">
        <f>VLOOKUP(A95,Data_NV!$A:$I,8,0)</f>
        <v>0.3125</v>
      </c>
      <c r="X95" s="11">
        <f>VLOOKUP(A95,Data_NV!$A:$I,9,0)</f>
        <v>0.6875</v>
      </c>
      <c r="Y95" s="11">
        <f>IFERROR(TIMEVALUE(Table2[[#This Row],[Vào]]),0)</f>
        <v>0.30262731481481481</v>
      </c>
      <c r="Z95" s="11">
        <f>IFERROR(TIMEVALUE(Table2[[#This Row],[Ra]]),0)</f>
        <v>0</v>
      </c>
      <c r="AA95" t="str">
        <f t="shared" si="5"/>
        <v>x</v>
      </c>
      <c r="AB95" s="14">
        <f t="shared" si="6"/>
        <v>0</v>
      </c>
      <c r="AC95" s="14" t="str">
        <f>IF(VLOOKUP(A95,Data_NV!$A:$I,7,0)="Không","",IF(OR(AND(Y95=0,Z95=0),AND(Y95&lt;&gt;0,Z95&lt;&gt;0)),"","Quên chấm công"))</f>
        <v/>
      </c>
      <c r="AD95" s="14">
        <f>IF(VLOOKUP(A95,Data_NV!$A:$I,7,0)="Không",0,IF(AND(Y95=0,Z95=0),0,IF(X95&lt;=Z95,0,ROUNDDOWN((X95-Z95)*24*60,0))))</f>
        <v>0</v>
      </c>
      <c r="AE95" s="14">
        <f>IF(VLOOKUP(A95,Data_NV!$A:$I,6,0)="Không",0,IF(Z95&lt;=X95,0,ROUNDDOWN((Z95-X95)*24*60,0)))</f>
        <v>0</v>
      </c>
      <c r="AF95" s="29">
        <f t="shared" si="7"/>
        <v>0</v>
      </c>
      <c r="AG95" s="30" t="str">
        <f>IF(AC95="","",IF(COUNTIFS($AC$3:AC95,"Quên chấm công",$S$3:S95,S95)&gt;3,"Không chấm công do vi phạm quá 3 lần",IF(COUNTIFS($AC$3:AC95,"Quên chấm công",$S$3:S95,S95)&gt;2,"Trừ toàn bộ chuyên cần tháng do vi phạm lần 3",IF(COUNTIFS($AC$3:AC95,"Quên chấm công",$S$3:S95,S95)&gt;1,"Trừ 1/2 ngày lương",50000))))</f>
        <v/>
      </c>
      <c r="AH95" s="14" t="str">
        <f>IF(COUNTIFS($AF$3:AF95,"&gt;0",$S$3:S95,S95)&gt;3,"Trừ toàn bộ chuyên cần tháng","")</f>
        <v/>
      </c>
      <c r="AI95" s="14"/>
      <c r="AJ95" s="14"/>
    </row>
    <row r="96" spans="1:36" x14ac:dyDescent="0.25">
      <c r="A96" s="4" t="s">
        <v>172</v>
      </c>
      <c r="B96" s="1" t="s">
        <v>173</v>
      </c>
      <c r="C96" s="1" t="s">
        <v>20</v>
      </c>
      <c r="D96" s="1" t="s">
        <v>35</v>
      </c>
      <c r="E96" s="1" t="s">
        <v>22</v>
      </c>
      <c r="F96" s="1" t="s">
        <v>23</v>
      </c>
      <c r="G96" s="1" t="s">
        <v>12</v>
      </c>
      <c r="H96" s="12" t="s">
        <v>175</v>
      </c>
      <c r="I96" s="1" t="s">
        <v>24</v>
      </c>
      <c r="J96" s="1" t="s">
        <v>25</v>
      </c>
      <c r="K96" s="1" t="s">
        <v>25</v>
      </c>
      <c r="L96" s="1" t="s">
        <v>26</v>
      </c>
      <c r="M96" s="1" t="s">
        <v>25</v>
      </c>
      <c r="N96" s="1" t="s">
        <v>25</v>
      </c>
      <c r="O96" s="1" t="s">
        <v>25</v>
      </c>
      <c r="P96" s="1" t="s">
        <v>25</v>
      </c>
      <c r="Q96" s="1" t="s">
        <v>25</v>
      </c>
      <c r="R96" s="70" t="str">
        <f t="shared" si="4"/>
        <v>1245904</v>
      </c>
      <c r="S96" t="str">
        <f>VLOOKUP(A96,Data_NV!$A:$C,3,0)</f>
        <v xml:space="preserve"> Hoàng Đức Thanh    </v>
      </c>
      <c r="T96" t="str">
        <f>VLOOKUP(A96,Data_NV!$A:$E,4,0)</f>
        <v>Vận Hành</v>
      </c>
      <c r="U96" s="67">
        <f>DATEVALUE(Table2[[#This Row],[Ngày]])</f>
        <v>45904</v>
      </c>
      <c r="V96" t="str">
        <f>VLOOKUP(A96,Data_NV!$A:$E,5,0)</f>
        <v>Đang làm việc</v>
      </c>
      <c r="W96" s="11">
        <f>VLOOKUP(A96,Data_NV!$A:$I,8,0)</f>
        <v>0.3125</v>
      </c>
      <c r="X96" s="11">
        <f>VLOOKUP(A96,Data_NV!$A:$I,9,0)</f>
        <v>0.6875</v>
      </c>
      <c r="Y96" s="11">
        <f>IFERROR(TIMEVALUE(Table2[[#This Row],[Vào]]),0)</f>
        <v>0.30761574074074072</v>
      </c>
      <c r="Z96" s="11">
        <f>IFERROR(TIMEVALUE(Table2[[#This Row],[Ra]]),0)</f>
        <v>0</v>
      </c>
      <c r="AA96" t="str">
        <f t="shared" si="5"/>
        <v>x</v>
      </c>
      <c r="AB96" s="14">
        <f t="shared" si="6"/>
        <v>0</v>
      </c>
      <c r="AC96" s="14" t="str">
        <f>IF(VLOOKUP(A96,Data_NV!$A:$I,7,0)="Không","",IF(OR(AND(Y96=0,Z96=0),AND(Y96&lt;&gt;0,Z96&lt;&gt;0)),"","Quên chấm công"))</f>
        <v/>
      </c>
      <c r="AD96" s="14">
        <f>IF(VLOOKUP(A96,Data_NV!$A:$I,7,0)="Không",0,IF(AND(Y96=0,Z96=0),0,IF(X96&lt;=Z96,0,ROUNDDOWN((X96-Z96)*24*60,0))))</f>
        <v>0</v>
      </c>
      <c r="AE96" s="14">
        <f>IF(VLOOKUP(A96,Data_NV!$A:$I,6,0)="Không",0,IF(Z96&lt;=X96,0,ROUNDDOWN((Z96-X96)*24*60,0)))</f>
        <v>0</v>
      </c>
      <c r="AF96" s="29">
        <f t="shared" si="7"/>
        <v>0</v>
      </c>
      <c r="AG96" s="30" t="str">
        <f>IF(AC96="","",IF(COUNTIFS($AC$3:AC96,"Quên chấm công",$S$3:S96,S96)&gt;3,"Không chấm công do vi phạm quá 3 lần",IF(COUNTIFS($AC$3:AC96,"Quên chấm công",$S$3:S96,S96)&gt;2,"Trừ toàn bộ chuyên cần tháng do vi phạm lần 3",IF(COUNTIFS($AC$3:AC96,"Quên chấm công",$S$3:S96,S96)&gt;1,"Trừ 1/2 ngày lương",50000))))</f>
        <v/>
      </c>
      <c r="AH96" s="14" t="str">
        <f>IF(COUNTIFS($AF$3:AF96,"&gt;0",$S$3:S96,S96)&gt;3,"Trừ toàn bộ chuyên cần tháng","")</f>
        <v/>
      </c>
      <c r="AI96" s="14"/>
      <c r="AJ96" s="14"/>
    </row>
    <row r="97" spans="1:36" x14ac:dyDescent="0.25">
      <c r="A97" s="4" t="s">
        <v>172</v>
      </c>
      <c r="B97" s="1" t="s">
        <v>173</v>
      </c>
      <c r="C97" s="1" t="s">
        <v>20</v>
      </c>
      <c r="D97" s="1" t="s">
        <v>37</v>
      </c>
      <c r="E97" s="1" t="s">
        <v>22</v>
      </c>
      <c r="F97" s="1" t="s">
        <v>23</v>
      </c>
      <c r="G97" s="1" t="s">
        <v>12</v>
      </c>
      <c r="H97" s="12" t="s">
        <v>176</v>
      </c>
      <c r="I97" s="1" t="s">
        <v>24</v>
      </c>
      <c r="J97" s="1" t="s">
        <v>25</v>
      </c>
      <c r="K97" s="1" t="s">
        <v>177</v>
      </c>
      <c r="L97" s="1" t="s">
        <v>178</v>
      </c>
      <c r="M97" s="1" t="s">
        <v>177</v>
      </c>
      <c r="N97" s="1" t="s">
        <v>25</v>
      </c>
      <c r="O97" s="1" t="s">
        <v>25</v>
      </c>
      <c r="P97" s="1" t="s">
        <v>25</v>
      </c>
      <c r="Q97" s="1" t="s">
        <v>25</v>
      </c>
      <c r="R97" s="70" t="str">
        <f t="shared" si="4"/>
        <v>1245905</v>
      </c>
      <c r="S97" t="str">
        <f>VLOOKUP(A97,Data_NV!$A:$C,3,0)</f>
        <v xml:space="preserve"> Hoàng Đức Thanh    </v>
      </c>
      <c r="T97" t="str">
        <f>VLOOKUP(A97,Data_NV!$A:$E,4,0)</f>
        <v>Vận Hành</v>
      </c>
      <c r="U97" s="67">
        <f>DATEVALUE(Table2[[#This Row],[Ngày]])</f>
        <v>45905</v>
      </c>
      <c r="V97" t="str">
        <f>VLOOKUP(A97,Data_NV!$A:$E,5,0)</f>
        <v>Đang làm việc</v>
      </c>
      <c r="W97" s="11">
        <f>VLOOKUP(A97,Data_NV!$A:$I,8,0)</f>
        <v>0.3125</v>
      </c>
      <c r="X97" s="11">
        <f>VLOOKUP(A97,Data_NV!$A:$I,9,0)</f>
        <v>0.6875</v>
      </c>
      <c r="Y97" s="11">
        <f>IFERROR(TIMEVALUE(Table2[[#This Row],[Vào]]),0)</f>
        <v>0.3087152777777778</v>
      </c>
      <c r="Z97" s="11">
        <f>IFERROR(TIMEVALUE(Table2[[#This Row],[Ra]]),0)</f>
        <v>0</v>
      </c>
      <c r="AA97" t="str">
        <f t="shared" si="5"/>
        <v>x</v>
      </c>
      <c r="AB97" s="14">
        <f t="shared" si="6"/>
        <v>0</v>
      </c>
      <c r="AC97" s="14" t="str">
        <f>IF(VLOOKUP(A97,Data_NV!$A:$I,7,0)="Không","",IF(OR(AND(Y97=0,Z97=0),AND(Y97&lt;&gt;0,Z97&lt;&gt;0)),"","Quên chấm công"))</f>
        <v/>
      </c>
      <c r="AD97" s="14">
        <f>IF(VLOOKUP(A97,Data_NV!$A:$I,7,0)="Không",0,IF(AND(Y97=0,Z97=0),0,IF(X97&lt;=Z97,0,ROUNDDOWN((X97-Z97)*24*60,0))))</f>
        <v>0</v>
      </c>
      <c r="AE97" s="14">
        <f>IF(VLOOKUP(A97,Data_NV!$A:$I,6,0)="Không",0,IF(Z97&lt;=X97,0,ROUNDDOWN((Z97-X97)*24*60,0)))</f>
        <v>0</v>
      </c>
      <c r="AF97" s="29">
        <f t="shared" si="7"/>
        <v>0</v>
      </c>
      <c r="AG97" s="30" t="str">
        <f>IF(AC97="","",IF(COUNTIFS($AC$3:AC97,"Quên chấm công",$S$3:S97,S97)&gt;3,"Không chấm công do vi phạm quá 3 lần",IF(COUNTIFS($AC$3:AC97,"Quên chấm công",$S$3:S97,S97)&gt;2,"Trừ toàn bộ chuyên cần tháng do vi phạm lần 3",IF(COUNTIFS($AC$3:AC97,"Quên chấm công",$S$3:S97,S97)&gt;1,"Trừ 1/2 ngày lương",50000))))</f>
        <v/>
      </c>
      <c r="AH97" s="14" t="str">
        <f>IF(COUNTIFS($AF$3:AF97,"&gt;0",$S$3:S97,S97)&gt;3,"Trừ toàn bộ chuyên cần tháng","")</f>
        <v/>
      </c>
      <c r="AI97" s="14"/>
      <c r="AJ97" s="14"/>
    </row>
    <row r="98" spans="1:36" x14ac:dyDescent="0.25">
      <c r="A98" s="4" t="s">
        <v>172</v>
      </c>
      <c r="B98" s="1" t="s">
        <v>173</v>
      </c>
      <c r="C98" s="1" t="s">
        <v>20</v>
      </c>
      <c r="D98" s="1" t="s">
        <v>42</v>
      </c>
      <c r="E98" s="1" t="s">
        <v>22</v>
      </c>
      <c r="F98" s="1" t="s">
        <v>23</v>
      </c>
      <c r="G98" s="1" t="s">
        <v>12</v>
      </c>
      <c r="H98" s="12" t="s">
        <v>179</v>
      </c>
      <c r="I98" s="1" t="s">
        <v>24</v>
      </c>
      <c r="J98" s="1" t="s">
        <v>25</v>
      </c>
      <c r="K98" s="1" t="s">
        <v>25</v>
      </c>
      <c r="L98" s="1" t="s">
        <v>26</v>
      </c>
      <c r="M98" s="1" t="s">
        <v>25</v>
      </c>
      <c r="N98" s="1" t="s">
        <v>25</v>
      </c>
      <c r="O98" s="1" t="s">
        <v>25</v>
      </c>
      <c r="P98" s="1" t="s">
        <v>25</v>
      </c>
      <c r="Q98" s="1" t="s">
        <v>25</v>
      </c>
      <c r="R98" s="70" t="str">
        <f t="shared" si="4"/>
        <v>1245906</v>
      </c>
      <c r="S98" t="str">
        <f>VLOOKUP(A98,Data_NV!$A:$C,3,0)</f>
        <v xml:space="preserve"> Hoàng Đức Thanh    </v>
      </c>
      <c r="T98" t="str">
        <f>VLOOKUP(A98,Data_NV!$A:$E,4,0)</f>
        <v>Vận Hành</v>
      </c>
      <c r="U98" s="67">
        <f>DATEVALUE(Table2[[#This Row],[Ngày]])</f>
        <v>45906</v>
      </c>
      <c r="V98" t="str">
        <f>VLOOKUP(A98,Data_NV!$A:$E,5,0)</f>
        <v>Đang làm việc</v>
      </c>
      <c r="W98" s="11">
        <f>VLOOKUP(A98,Data_NV!$A:$I,8,0)</f>
        <v>0.3125</v>
      </c>
      <c r="X98" s="11">
        <f>VLOOKUP(A98,Data_NV!$A:$I,9,0)</f>
        <v>0.6875</v>
      </c>
      <c r="Y98" s="11">
        <f>IFERROR(TIMEVALUE(Table2[[#This Row],[Vào]]),0)</f>
        <v>0.28905092592592591</v>
      </c>
      <c r="Z98" s="11">
        <f>IFERROR(TIMEVALUE(Table2[[#This Row],[Ra]]),0)</f>
        <v>0</v>
      </c>
      <c r="AA98" t="str">
        <f t="shared" si="5"/>
        <v>x</v>
      </c>
      <c r="AB98" s="14">
        <f t="shared" si="6"/>
        <v>0</v>
      </c>
      <c r="AC98" s="14" t="str">
        <f>IF(VLOOKUP(A98,Data_NV!$A:$I,7,0)="Không","",IF(OR(AND(Y98=0,Z98=0),AND(Y98&lt;&gt;0,Z98&lt;&gt;0)),"","Quên chấm công"))</f>
        <v/>
      </c>
      <c r="AD98" s="14">
        <f>IF(VLOOKUP(A98,Data_NV!$A:$I,7,0)="Không",0,IF(AND(Y98=0,Z98=0),0,IF(X98&lt;=Z98,0,ROUNDDOWN((X98-Z98)*24*60,0))))</f>
        <v>0</v>
      </c>
      <c r="AE98" s="14">
        <f>IF(VLOOKUP(A98,Data_NV!$A:$I,6,0)="Không",0,IF(Z98&lt;=X98,0,ROUNDDOWN((Z98-X98)*24*60,0)))</f>
        <v>0</v>
      </c>
      <c r="AF98" s="29">
        <f t="shared" si="7"/>
        <v>0</v>
      </c>
      <c r="AG98" s="30" t="str">
        <f>IF(AC98="","",IF(COUNTIFS($AC$3:AC98,"Quên chấm công",$S$3:S98,S98)&gt;3,"Không chấm công do vi phạm quá 3 lần",IF(COUNTIFS($AC$3:AC98,"Quên chấm công",$S$3:S98,S98)&gt;2,"Trừ toàn bộ chuyên cần tháng do vi phạm lần 3",IF(COUNTIFS($AC$3:AC98,"Quên chấm công",$S$3:S98,S98)&gt;1,"Trừ 1/2 ngày lương",50000))))</f>
        <v/>
      </c>
      <c r="AH98" s="14" t="str">
        <f>IF(COUNTIFS($AF$3:AF98,"&gt;0",$S$3:S98,S98)&gt;3,"Trừ toàn bộ chuyên cần tháng","")</f>
        <v/>
      </c>
      <c r="AI98" s="14"/>
      <c r="AJ98" s="14"/>
    </row>
    <row r="99" spans="1:36" x14ac:dyDescent="0.25">
      <c r="A99" s="4" t="s">
        <v>172</v>
      </c>
      <c r="B99" s="1" t="s">
        <v>173</v>
      </c>
      <c r="C99" s="1" t="s">
        <v>20</v>
      </c>
      <c r="D99" s="1" t="s">
        <v>47</v>
      </c>
      <c r="E99" s="1" t="s">
        <v>22</v>
      </c>
      <c r="F99" s="1" t="s">
        <v>23</v>
      </c>
      <c r="G99" s="1" t="s">
        <v>12</v>
      </c>
      <c r="H99" s="12" t="s">
        <v>24</v>
      </c>
      <c r="I99" s="1" t="s">
        <v>24</v>
      </c>
      <c r="J99" s="1" t="s">
        <v>25</v>
      </c>
      <c r="K99" s="1" t="s">
        <v>25</v>
      </c>
      <c r="L99" s="1" t="s">
        <v>26</v>
      </c>
      <c r="M99" s="1" t="s">
        <v>25</v>
      </c>
      <c r="N99" s="1" t="s">
        <v>25</v>
      </c>
      <c r="O99" s="1" t="s">
        <v>25</v>
      </c>
      <c r="P99" s="1" t="s">
        <v>25</v>
      </c>
      <c r="Q99" s="1" t="s">
        <v>25</v>
      </c>
      <c r="R99" s="70" t="str">
        <f t="shared" si="4"/>
        <v>1245907</v>
      </c>
      <c r="S99" t="str">
        <f>VLOOKUP(A99,Data_NV!$A:$C,3,0)</f>
        <v xml:space="preserve"> Hoàng Đức Thanh    </v>
      </c>
      <c r="T99" t="str">
        <f>VLOOKUP(A99,Data_NV!$A:$E,4,0)</f>
        <v>Vận Hành</v>
      </c>
      <c r="U99" s="67">
        <f>DATEVALUE(Table2[[#This Row],[Ngày]])</f>
        <v>45907</v>
      </c>
      <c r="V99" t="str">
        <f>VLOOKUP(A99,Data_NV!$A:$E,5,0)</f>
        <v>Đang làm việc</v>
      </c>
      <c r="W99" s="11">
        <f>VLOOKUP(A99,Data_NV!$A:$I,8,0)</f>
        <v>0.3125</v>
      </c>
      <c r="X99" s="11">
        <f>VLOOKUP(A99,Data_NV!$A:$I,9,0)</f>
        <v>0.6875</v>
      </c>
      <c r="Y99" s="11">
        <f>IFERROR(TIMEVALUE(Table2[[#This Row],[Vào]]),0)</f>
        <v>0</v>
      </c>
      <c r="Z99" s="11">
        <f>IFERROR(TIMEVALUE(Table2[[#This Row],[Ra]]),0)</f>
        <v>0</v>
      </c>
      <c r="AA99" t="str">
        <f t="shared" si="5"/>
        <v/>
      </c>
      <c r="AB99" s="14">
        <f t="shared" si="6"/>
        <v>0</v>
      </c>
      <c r="AC99" s="14" t="str">
        <f>IF(VLOOKUP(A99,Data_NV!$A:$I,7,0)="Không","",IF(OR(AND(Y99=0,Z99=0),AND(Y99&lt;&gt;0,Z99&lt;&gt;0)),"","Quên chấm công"))</f>
        <v/>
      </c>
      <c r="AD99" s="14">
        <f>IF(VLOOKUP(A99,Data_NV!$A:$I,7,0)="Không",0,IF(AND(Y99=0,Z99=0),0,IF(X99&lt;=Z99,0,ROUNDDOWN((X99-Z99)*24*60,0))))</f>
        <v>0</v>
      </c>
      <c r="AE99" s="14">
        <f>IF(VLOOKUP(A99,Data_NV!$A:$I,6,0)="Không",0,IF(Z99&lt;=X99,0,ROUNDDOWN((Z99-X99)*24*60,0)))</f>
        <v>0</v>
      </c>
      <c r="AF99" s="29">
        <f t="shared" si="7"/>
        <v>0</v>
      </c>
      <c r="AG99" s="30" t="str">
        <f>IF(AC99="","",IF(COUNTIFS($AC$3:AC99,"Quên chấm công",$S$3:S99,S99)&gt;3,"Không chấm công do vi phạm quá 3 lần",IF(COUNTIFS($AC$3:AC99,"Quên chấm công",$S$3:S99,S99)&gt;2,"Trừ toàn bộ chuyên cần tháng do vi phạm lần 3",IF(COUNTIFS($AC$3:AC99,"Quên chấm công",$S$3:S99,S99)&gt;1,"Trừ 1/2 ngày lương",50000))))</f>
        <v/>
      </c>
      <c r="AH99" s="14" t="str">
        <f>IF(COUNTIFS($AF$3:AF99,"&gt;0",$S$3:S99,S99)&gt;3,"Trừ toàn bộ chuyên cần tháng","")</f>
        <v/>
      </c>
      <c r="AI99" s="14"/>
      <c r="AJ99" s="14"/>
    </row>
    <row r="100" spans="1:36" x14ac:dyDescent="0.25">
      <c r="A100" s="4" t="s">
        <v>172</v>
      </c>
      <c r="B100" s="1" t="s">
        <v>173</v>
      </c>
      <c r="C100" s="1" t="s">
        <v>20</v>
      </c>
      <c r="D100" s="1" t="s">
        <v>48</v>
      </c>
      <c r="E100" s="1" t="s">
        <v>22</v>
      </c>
      <c r="F100" s="1" t="s">
        <v>23</v>
      </c>
      <c r="G100" s="1" t="s">
        <v>12</v>
      </c>
      <c r="H100" s="12" t="s">
        <v>180</v>
      </c>
      <c r="I100" s="1" t="s">
        <v>24</v>
      </c>
      <c r="J100" s="1" t="s">
        <v>25</v>
      </c>
      <c r="K100" s="1" t="s">
        <v>25</v>
      </c>
      <c r="L100" s="1" t="s">
        <v>26</v>
      </c>
      <c r="M100" s="1" t="s">
        <v>25</v>
      </c>
      <c r="N100" s="1" t="s">
        <v>25</v>
      </c>
      <c r="O100" s="1" t="s">
        <v>25</v>
      </c>
      <c r="P100" s="1" t="s">
        <v>25</v>
      </c>
      <c r="Q100" s="1" t="s">
        <v>25</v>
      </c>
      <c r="R100" s="70" t="str">
        <f t="shared" si="4"/>
        <v>1245908</v>
      </c>
      <c r="S100" t="str">
        <f>VLOOKUP(A100,Data_NV!$A:$C,3,0)</f>
        <v xml:space="preserve"> Hoàng Đức Thanh    </v>
      </c>
      <c r="T100" t="str">
        <f>VLOOKUP(A100,Data_NV!$A:$E,4,0)</f>
        <v>Vận Hành</v>
      </c>
      <c r="U100" s="67">
        <f>DATEVALUE(Table2[[#This Row],[Ngày]])</f>
        <v>45908</v>
      </c>
      <c r="V100" t="str">
        <f>VLOOKUP(A100,Data_NV!$A:$E,5,0)</f>
        <v>Đang làm việc</v>
      </c>
      <c r="W100" s="11">
        <f>VLOOKUP(A100,Data_NV!$A:$I,8,0)</f>
        <v>0.3125</v>
      </c>
      <c r="X100" s="11">
        <f>VLOOKUP(A100,Data_NV!$A:$I,9,0)</f>
        <v>0.6875</v>
      </c>
      <c r="Y100" s="11">
        <f>IFERROR(TIMEVALUE(Table2[[#This Row],[Vào]]),0)</f>
        <v>0.29858796296296297</v>
      </c>
      <c r="Z100" s="11">
        <f>IFERROR(TIMEVALUE(Table2[[#This Row],[Ra]]),0)</f>
        <v>0</v>
      </c>
      <c r="AA100" t="str">
        <f t="shared" si="5"/>
        <v>x</v>
      </c>
      <c r="AB100" s="14">
        <f t="shared" si="6"/>
        <v>0</v>
      </c>
      <c r="AC100" s="14" t="str">
        <f>IF(VLOOKUP(A100,Data_NV!$A:$I,7,0)="Không","",IF(OR(AND(Y100=0,Z100=0),AND(Y100&lt;&gt;0,Z100&lt;&gt;0)),"","Quên chấm công"))</f>
        <v/>
      </c>
      <c r="AD100" s="14">
        <f>IF(VLOOKUP(A100,Data_NV!$A:$I,7,0)="Không",0,IF(AND(Y100=0,Z100=0),0,IF(X100&lt;=Z100,0,ROUNDDOWN((X100-Z100)*24*60,0))))</f>
        <v>0</v>
      </c>
      <c r="AE100" s="14">
        <f>IF(VLOOKUP(A100,Data_NV!$A:$I,6,0)="Không",0,IF(Z100&lt;=X100,0,ROUNDDOWN((Z100-X100)*24*60,0)))</f>
        <v>0</v>
      </c>
      <c r="AF100" s="29">
        <f t="shared" si="7"/>
        <v>0</v>
      </c>
      <c r="AG100" s="30" t="str">
        <f>IF(AC100="","",IF(COUNTIFS($AC$3:AC100,"Quên chấm công",$S$3:S100,S100)&gt;3,"Không chấm công do vi phạm quá 3 lần",IF(COUNTIFS($AC$3:AC100,"Quên chấm công",$S$3:S100,S100)&gt;2,"Trừ toàn bộ chuyên cần tháng do vi phạm lần 3",IF(COUNTIFS($AC$3:AC100,"Quên chấm công",$S$3:S100,S100)&gt;1,"Trừ 1/2 ngày lương",50000))))</f>
        <v/>
      </c>
      <c r="AH100" s="14" t="str">
        <f>IF(COUNTIFS($AF$3:AF100,"&gt;0",$S$3:S100,S100)&gt;3,"Trừ toàn bộ chuyên cần tháng","")</f>
        <v/>
      </c>
      <c r="AI100" s="14"/>
      <c r="AJ100" s="14"/>
    </row>
    <row r="101" spans="1:36" x14ac:dyDescent="0.25">
      <c r="A101" s="4" t="s">
        <v>172</v>
      </c>
      <c r="B101" s="1" t="s">
        <v>173</v>
      </c>
      <c r="C101" s="1" t="s">
        <v>20</v>
      </c>
      <c r="D101" s="1" t="s">
        <v>53</v>
      </c>
      <c r="E101" s="1" t="s">
        <v>22</v>
      </c>
      <c r="F101" s="1" t="s">
        <v>23</v>
      </c>
      <c r="G101" s="1" t="s">
        <v>12</v>
      </c>
      <c r="H101" s="12" t="s">
        <v>174</v>
      </c>
      <c r="I101" s="1" t="s">
        <v>24</v>
      </c>
      <c r="J101" s="1" t="s">
        <v>25</v>
      </c>
      <c r="K101" s="1" t="s">
        <v>25</v>
      </c>
      <c r="L101" s="1" t="s">
        <v>26</v>
      </c>
      <c r="M101" s="1" t="s">
        <v>25</v>
      </c>
      <c r="N101" s="1" t="s">
        <v>25</v>
      </c>
      <c r="O101" s="1" t="s">
        <v>25</v>
      </c>
      <c r="P101" s="1" t="s">
        <v>25</v>
      </c>
      <c r="Q101" s="1" t="s">
        <v>25</v>
      </c>
      <c r="R101" s="70" t="str">
        <f t="shared" si="4"/>
        <v>1245909</v>
      </c>
      <c r="S101" t="str">
        <f>VLOOKUP(A101,Data_NV!$A:$C,3,0)</f>
        <v xml:space="preserve"> Hoàng Đức Thanh    </v>
      </c>
      <c r="T101" t="str">
        <f>VLOOKUP(A101,Data_NV!$A:$E,4,0)</f>
        <v>Vận Hành</v>
      </c>
      <c r="U101" s="67">
        <f>DATEVALUE(Table2[[#This Row],[Ngày]])</f>
        <v>45909</v>
      </c>
      <c r="V101" t="str">
        <f>VLOOKUP(A101,Data_NV!$A:$E,5,0)</f>
        <v>Đang làm việc</v>
      </c>
      <c r="W101" s="11">
        <f>VLOOKUP(A101,Data_NV!$A:$I,8,0)</f>
        <v>0.3125</v>
      </c>
      <c r="X101" s="11">
        <f>VLOOKUP(A101,Data_NV!$A:$I,9,0)</f>
        <v>0.6875</v>
      </c>
      <c r="Y101" s="11">
        <f>IFERROR(TIMEVALUE(Table2[[#This Row],[Vào]]),0)</f>
        <v>0.30262731481481481</v>
      </c>
      <c r="Z101" s="11">
        <f>IFERROR(TIMEVALUE(Table2[[#This Row],[Ra]]),0)</f>
        <v>0</v>
      </c>
      <c r="AA101" t="str">
        <f t="shared" si="5"/>
        <v>x</v>
      </c>
      <c r="AB101" s="14">
        <f t="shared" si="6"/>
        <v>0</v>
      </c>
      <c r="AC101" s="14" t="str">
        <f>IF(VLOOKUP(A101,Data_NV!$A:$I,7,0)="Không","",IF(OR(AND(Y101=0,Z101=0),AND(Y101&lt;&gt;0,Z101&lt;&gt;0)),"","Quên chấm công"))</f>
        <v/>
      </c>
      <c r="AD101" s="14">
        <f>IF(VLOOKUP(A101,Data_NV!$A:$I,7,0)="Không",0,IF(AND(Y101=0,Z101=0),0,IF(X101&lt;=Z101,0,ROUNDDOWN((X101-Z101)*24*60,0))))</f>
        <v>0</v>
      </c>
      <c r="AE101" s="14">
        <f>IF(VLOOKUP(A101,Data_NV!$A:$I,6,0)="Không",0,IF(Z101&lt;=X101,0,ROUNDDOWN((Z101-X101)*24*60,0)))</f>
        <v>0</v>
      </c>
      <c r="AF101" s="29">
        <f t="shared" si="7"/>
        <v>0</v>
      </c>
      <c r="AG101" s="30" t="str">
        <f>IF(AC101="","",IF(COUNTIFS($AC$3:AC101,"Quên chấm công",$S$3:S101,S101)&gt;3,"Không chấm công do vi phạm quá 3 lần",IF(COUNTIFS($AC$3:AC101,"Quên chấm công",$S$3:S101,S101)&gt;2,"Trừ toàn bộ chuyên cần tháng do vi phạm lần 3",IF(COUNTIFS($AC$3:AC101,"Quên chấm công",$S$3:S101,S101)&gt;1,"Trừ 1/2 ngày lương",50000))))</f>
        <v/>
      </c>
      <c r="AH101" s="14" t="str">
        <f>IF(COUNTIFS($AF$3:AF101,"&gt;0",$S$3:S101,S101)&gt;3,"Trừ toàn bộ chuyên cần tháng","")</f>
        <v/>
      </c>
      <c r="AI101" s="14"/>
      <c r="AJ101" s="14"/>
    </row>
    <row r="102" spans="1:36" x14ac:dyDescent="0.25">
      <c r="A102" s="4" t="s">
        <v>172</v>
      </c>
      <c r="B102" s="1" t="s">
        <v>173</v>
      </c>
      <c r="C102" s="1" t="s">
        <v>20</v>
      </c>
      <c r="D102" s="1" t="s">
        <v>58</v>
      </c>
      <c r="E102" s="1" t="s">
        <v>22</v>
      </c>
      <c r="F102" s="1" t="s">
        <v>23</v>
      </c>
      <c r="G102" s="1" t="s">
        <v>12</v>
      </c>
      <c r="H102" s="12" t="s">
        <v>181</v>
      </c>
      <c r="I102" s="1" t="s">
        <v>24</v>
      </c>
      <c r="J102" s="1" t="s">
        <v>25</v>
      </c>
      <c r="K102" s="1" t="s">
        <v>25</v>
      </c>
      <c r="L102" s="1" t="s">
        <v>26</v>
      </c>
      <c r="M102" s="1" t="s">
        <v>25</v>
      </c>
      <c r="N102" s="1" t="s">
        <v>25</v>
      </c>
      <c r="O102" s="1" t="s">
        <v>25</v>
      </c>
      <c r="P102" s="1" t="s">
        <v>25</v>
      </c>
      <c r="Q102" s="1" t="s">
        <v>25</v>
      </c>
      <c r="R102" s="70" t="str">
        <f t="shared" si="4"/>
        <v>1245910</v>
      </c>
      <c r="S102" t="str">
        <f>VLOOKUP(A102,Data_NV!$A:$C,3,0)</f>
        <v xml:space="preserve"> Hoàng Đức Thanh    </v>
      </c>
      <c r="T102" t="str">
        <f>VLOOKUP(A102,Data_NV!$A:$E,4,0)</f>
        <v>Vận Hành</v>
      </c>
      <c r="U102" s="67">
        <f>DATEVALUE(Table2[[#This Row],[Ngày]])</f>
        <v>45910</v>
      </c>
      <c r="V102" t="str">
        <f>VLOOKUP(A102,Data_NV!$A:$E,5,0)</f>
        <v>Đang làm việc</v>
      </c>
      <c r="W102" s="11">
        <f>VLOOKUP(A102,Data_NV!$A:$I,8,0)</f>
        <v>0.3125</v>
      </c>
      <c r="X102" s="11">
        <f>VLOOKUP(A102,Data_NV!$A:$I,9,0)</f>
        <v>0.6875</v>
      </c>
      <c r="Y102" s="11">
        <f>IFERROR(TIMEVALUE(Table2[[#This Row],[Vào]]),0)</f>
        <v>0.28541666666666665</v>
      </c>
      <c r="Z102" s="11">
        <f>IFERROR(TIMEVALUE(Table2[[#This Row],[Ra]]),0)</f>
        <v>0</v>
      </c>
      <c r="AA102" t="str">
        <f t="shared" si="5"/>
        <v>x</v>
      </c>
      <c r="AB102" s="14">
        <f t="shared" si="6"/>
        <v>0</v>
      </c>
      <c r="AC102" s="14" t="str">
        <f>IF(VLOOKUP(A102,Data_NV!$A:$I,7,0)="Không","",IF(OR(AND(Y102=0,Z102=0),AND(Y102&lt;&gt;0,Z102&lt;&gt;0)),"","Quên chấm công"))</f>
        <v/>
      </c>
      <c r="AD102" s="14">
        <f>IF(VLOOKUP(A102,Data_NV!$A:$I,7,0)="Không",0,IF(AND(Y102=0,Z102=0),0,IF(X102&lt;=Z102,0,ROUNDDOWN((X102-Z102)*24*60,0))))</f>
        <v>0</v>
      </c>
      <c r="AE102" s="14">
        <f>IF(VLOOKUP(A102,Data_NV!$A:$I,6,0)="Không",0,IF(Z102&lt;=X102,0,ROUNDDOWN((Z102-X102)*24*60,0)))</f>
        <v>0</v>
      </c>
      <c r="AF102" s="29">
        <f t="shared" si="7"/>
        <v>0</v>
      </c>
      <c r="AG102" s="30" t="str">
        <f>IF(AC102="","",IF(COUNTIFS($AC$3:AC102,"Quên chấm công",$S$3:S102,S102)&gt;3,"Không chấm công do vi phạm quá 3 lần",IF(COUNTIFS($AC$3:AC102,"Quên chấm công",$S$3:S102,S102)&gt;2,"Trừ toàn bộ chuyên cần tháng do vi phạm lần 3",IF(COUNTIFS($AC$3:AC102,"Quên chấm công",$S$3:S102,S102)&gt;1,"Trừ 1/2 ngày lương",50000))))</f>
        <v/>
      </c>
      <c r="AH102" s="14" t="str">
        <f>IF(COUNTIFS($AF$3:AF102,"&gt;0",$S$3:S102,S102)&gt;3,"Trừ toàn bộ chuyên cần tháng","")</f>
        <v/>
      </c>
      <c r="AI102" s="14"/>
      <c r="AJ102" s="14"/>
    </row>
    <row r="103" spans="1:36" x14ac:dyDescent="0.25">
      <c r="A103" s="4" t="s">
        <v>172</v>
      </c>
      <c r="B103" s="1" t="s">
        <v>173</v>
      </c>
      <c r="C103" s="1" t="s">
        <v>20</v>
      </c>
      <c r="D103" s="1" t="s">
        <v>63</v>
      </c>
      <c r="E103" s="1" t="s">
        <v>22</v>
      </c>
      <c r="F103" s="1" t="s">
        <v>23</v>
      </c>
      <c r="G103" s="1" t="s">
        <v>12</v>
      </c>
      <c r="H103" s="12" t="s">
        <v>182</v>
      </c>
      <c r="I103" s="1" t="s">
        <v>24</v>
      </c>
      <c r="J103" s="1" t="s">
        <v>25</v>
      </c>
      <c r="K103" s="1" t="s">
        <v>25</v>
      </c>
      <c r="L103" s="1" t="s">
        <v>26</v>
      </c>
      <c r="M103" s="1" t="s">
        <v>25</v>
      </c>
      <c r="N103" s="1" t="s">
        <v>25</v>
      </c>
      <c r="O103" s="1" t="s">
        <v>25</v>
      </c>
      <c r="P103" s="1" t="s">
        <v>25</v>
      </c>
      <c r="Q103" s="1" t="s">
        <v>25</v>
      </c>
      <c r="R103" s="70" t="str">
        <f t="shared" si="4"/>
        <v>1245911</v>
      </c>
      <c r="S103" t="str">
        <f>VLOOKUP(A103,Data_NV!$A:$C,3,0)</f>
        <v xml:space="preserve"> Hoàng Đức Thanh    </v>
      </c>
      <c r="T103" t="str">
        <f>VLOOKUP(A103,Data_NV!$A:$E,4,0)</f>
        <v>Vận Hành</v>
      </c>
      <c r="U103" s="67">
        <f>DATEVALUE(Table2[[#This Row],[Ngày]])</f>
        <v>45911</v>
      </c>
      <c r="V103" t="str">
        <f>VLOOKUP(A103,Data_NV!$A:$E,5,0)</f>
        <v>Đang làm việc</v>
      </c>
      <c r="W103" s="11">
        <f>VLOOKUP(A103,Data_NV!$A:$I,8,0)</f>
        <v>0.3125</v>
      </c>
      <c r="X103" s="11">
        <f>VLOOKUP(A103,Data_NV!$A:$I,9,0)</f>
        <v>0.6875</v>
      </c>
      <c r="Y103" s="11">
        <f>IFERROR(TIMEVALUE(Table2[[#This Row],[Vào]]),0)</f>
        <v>0.3072685185185185</v>
      </c>
      <c r="Z103" s="11">
        <f>IFERROR(TIMEVALUE(Table2[[#This Row],[Ra]]),0)</f>
        <v>0</v>
      </c>
      <c r="AA103" t="str">
        <f t="shared" si="5"/>
        <v>x</v>
      </c>
      <c r="AB103" s="14">
        <f t="shared" si="6"/>
        <v>0</v>
      </c>
      <c r="AC103" s="14" t="str">
        <f>IF(VLOOKUP(A103,Data_NV!$A:$I,7,0)="Không","",IF(OR(AND(Y103=0,Z103=0),AND(Y103&lt;&gt;0,Z103&lt;&gt;0)),"","Quên chấm công"))</f>
        <v/>
      </c>
      <c r="AD103" s="14">
        <f>IF(VLOOKUP(A103,Data_NV!$A:$I,7,0)="Không",0,IF(AND(Y103=0,Z103=0),0,IF(X103&lt;=Z103,0,ROUNDDOWN((X103-Z103)*24*60,0))))</f>
        <v>0</v>
      </c>
      <c r="AE103" s="14">
        <f>IF(VLOOKUP(A103,Data_NV!$A:$I,6,0)="Không",0,IF(Z103&lt;=X103,0,ROUNDDOWN((Z103-X103)*24*60,0)))</f>
        <v>0</v>
      </c>
      <c r="AF103" s="29">
        <f t="shared" si="7"/>
        <v>0</v>
      </c>
      <c r="AG103" s="30" t="str">
        <f>IF(AC103="","",IF(COUNTIFS($AC$3:AC103,"Quên chấm công",$S$3:S103,S103)&gt;3,"Không chấm công do vi phạm quá 3 lần",IF(COUNTIFS($AC$3:AC103,"Quên chấm công",$S$3:S103,S103)&gt;2,"Trừ toàn bộ chuyên cần tháng do vi phạm lần 3",IF(COUNTIFS($AC$3:AC103,"Quên chấm công",$S$3:S103,S103)&gt;1,"Trừ 1/2 ngày lương",50000))))</f>
        <v/>
      </c>
      <c r="AH103" s="14" t="str">
        <f>IF(COUNTIFS($AF$3:AF103,"&gt;0",$S$3:S103,S103)&gt;3,"Trừ toàn bộ chuyên cần tháng","")</f>
        <v/>
      </c>
      <c r="AI103" s="14"/>
      <c r="AJ103" s="14"/>
    </row>
    <row r="104" spans="1:36" x14ac:dyDescent="0.25">
      <c r="A104" s="4" t="s">
        <v>172</v>
      </c>
      <c r="B104" s="1" t="s">
        <v>173</v>
      </c>
      <c r="C104" s="1" t="s">
        <v>20</v>
      </c>
      <c r="D104" s="1" t="s">
        <v>67</v>
      </c>
      <c r="E104" s="1" t="s">
        <v>22</v>
      </c>
      <c r="F104" s="1" t="s">
        <v>23</v>
      </c>
      <c r="G104" s="1" t="s">
        <v>12</v>
      </c>
      <c r="H104" s="12" t="s">
        <v>183</v>
      </c>
      <c r="I104" s="1" t="s">
        <v>24</v>
      </c>
      <c r="J104" s="1" t="s">
        <v>25</v>
      </c>
      <c r="K104" s="1" t="s">
        <v>25</v>
      </c>
      <c r="L104" s="1" t="s">
        <v>26</v>
      </c>
      <c r="M104" s="1" t="s">
        <v>25</v>
      </c>
      <c r="N104" s="1" t="s">
        <v>25</v>
      </c>
      <c r="O104" s="1" t="s">
        <v>25</v>
      </c>
      <c r="P104" s="1" t="s">
        <v>25</v>
      </c>
      <c r="Q104" s="1" t="s">
        <v>25</v>
      </c>
      <c r="R104" s="70" t="str">
        <f t="shared" si="4"/>
        <v>1245912</v>
      </c>
      <c r="S104" t="str">
        <f>VLOOKUP(A104,Data_NV!$A:$C,3,0)</f>
        <v xml:space="preserve"> Hoàng Đức Thanh    </v>
      </c>
      <c r="T104" t="str">
        <f>VLOOKUP(A104,Data_NV!$A:$E,4,0)</f>
        <v>Vận Hành</v>
      </c>
      <c r="U104" s="67">
        <f>DATEVALUE(Table2[[#This Row],[Ngày]])</f>
        <v>45912</v>
      </c>
      <c r="V104" t="str">
        <f>VLOOKUP(A104,Data_NV!$A:$E,5,0)</f>
        <v>Đang làm việc</v>
      </c>
      <c r="W104" s="11">
        <f>VLOOKUP(A104,Data_NV!$A:$I,8,0)</f>
        <v>0.3125</v>
      </c>
      <c r="X104" s="11">
        <f>VLOOKUP(A104,Data_NV!$A:$I,9,0)</f>
        <v>0.6875</v>
      </c>
      <c r="Y104" s="11">
        <f>IFERROR(TIMEVALUE(Table2[[#This Row],[Vào]]),0)</f>
        <v>0.30837962962962961</v>
      </c>
      <c r="Z104" s="11">
        <f>IFERROR(TIMEVALUE(Table2[[#This Row],[Ra]]),0)</f>
        <v>0</v>
      </c>
      <c r="AA104" t="str">
        <f t="shared" si="5"/>
        <v>x</v>
      </c>
      <c r="AB104" s="14">
        <f t="shared" si="6"/>
        <v>0</v>
      </c>
      <c r="AC104" s="14" t="str">
        <f>IF(VLOOKUP(A104,Data_NV!$A:$I,7,0)="Không","",IF(OR(AND(Y104=0,Z104=0),AND(Y104&lt;&gt;0,Z104&lt;&gt;0)),"","Quên chấm công"))</f>
        <v/>
      </c>
      <c r="AD104" s="14">
        <f>IF(VLOOKUP(A104,Data_NV!$A:$I,7,0)="Không",0,IF(AND(Y104=0,Z104=0),0,IF(X104&lt;=Z104,0,ROUNDDOWN((X104-Z104)*24*60,0))))</f>
        <v>0</v>
      </c>
      <c r="AE104" s="14">
        <f>IF(VLOOKUP(A104,Data_NV!$A:$I,6,0)="Không",0,IF(Z104&lt;=X104,0,ROUNDDOWN((Z104-X104)*24*60,0)))</f>
        <v>0</v>
      </c>
      <c r="AF104" s="29">
        <f t="shared" si="7"/>
        <v>0</v>
      </c>
      <c r="AG104" s="30" t="str">
        <f>IF(AC104="","",IF(COUNTIFS($AC$3:AC104,"Quên chấm công",$S$3:S104,S104)&gt;3,"Không chấm công do vi phạm quá 3 lần",IF(COUNTIFS($AC$3:AC104,"Quên chấm công",$S$3:S104,S104)&gt;2,"Trừ toàn bộ chuyên cần tháng do vi phạm lần 3",IF(COUNTIFS($AC$3:AC104,"Quên chấm công",$S$3:S104,S104)&gt;1,"Trừ 1/2 ngày lương",50000))))</f>
        <v/>
      </c>
      <c r="AH104" s="14" t="str">
        <f>IF(COUNTIFS($AF$3:AF104,"&gt;0",$S$3:S104,S104)&gt;3,"Trừ toàn bộ chuyên cần tháng","")</f>
        <v/>
      </c>
      <c r="AI104" s="14"/>
      <c r="AJ104" s="14"/>
    </row>
    <row r="105" spans="1:36" x14ac:dyDescent="0.25">
      <c r="A105" s="4" t="s">
        <v>172</v>
      </c>
      <c r="B105" s="1" t="s">
        <v>173</v>
      </c>
      <c r="C105" s="1" t="s">
        <v>20</v>
      </c>
      <c r="D105" s="1" t="s">
        <v>69</v>
      </c>
      <c r="E105" s="1" t="s">
        <v>22</v>
      </c>
      <c r="F105" s="1" t="s">
        <v>23</v>
      </c>
      <c r="G105" s="1" t="s">
        <v>12</v>
      </c>
      <c r="H105" s="12" t="s">
        <v>184</v>
      </c>
      <c r="I105" s="1" t="s">
        <v>24</v>
      </c>
      <c r="J105" s="1" t="s">
        <v>25</v>
      </c>
      <c r="K105" s="1" t="s">
        <v>25</v>
      </c>
      <c r="L105" s="1" t="s">
        <v>26</v>
      </c>
      <c r="M105" s="1" t="s">
        <v>25</v>
      </c>
      <c r="N105" s="1" t="s">
        <v>25</v>
      </c>
      <c r="O105" s="1" t="s">
        <v>25</v>
      </c>
      <c r="P105" s="1" t="s">
        <v>25</v>
      </c>
      <c r="Q105" s="1" t="s">
        <v>25</v>
      </c>
      <c r="R105" s="70" t="str">
        <f t="shared" si="4"/>
        <v>1245913</v>
      </c>
      <c r="S105" t="str">
        <f>VLOOKUP(A105,Data_NV!$A:$C,3,0)</f>
        <v xml:space="preserve"> Hoàng Đức Thanh    </v>
      </c>
      <c r="T105" t="str">
        <f>VLOOKUP(A105,Data_NV!$A:$E,4,0)</f>
        <v>Vận Hành</v>
      </c>
      <c r="U105" s="67">
        <f>DATEVALUE(Table2[[#This Row],[Ngày]])</f>
        <v>45913</v>
      </c>
      <c r="V105" t="str">
        <f>VLOOKUP(A105,Data_NV!$A:$E,5,0)</f>
        <v>Đang làm việc</v>
      </c>
      <c r="W105" s="11">
        <f>VLOOKUP(A105,Data_NV!$A:$I,8,0)</f>
        <v>0.3125</v>
      </c>
      <c r="X105" s="11">
        <f>VLOOKUP(A105,Data_NV!$A:$I,9,0)</f>
        <v>0.6875</v>
      </c>
      <c r="Y105" s="11">
        <f>IFERROR(TIMEVALUE(Table2[[#This Row],[Vào]]),0)</f>
        <v>0.30930555555555556</v>
      </c>
      <c r="Z105" s="11">
        <f>IFERROR(TIMEVALUE(Table2[[#This Row],[Ra]]),0)</f>
        <v>0</v>
      </c>
      <c r="AA105" t="str">
        <f t="shared" si="5"/>
        <v>x</v>
      </c>
      <c r="AB105" s="14">
        <f t="shared" si="6"/>
        <v>0</v>
      </c>
      <c r="AC105" s="14" t="str">
        <f>IF(VLOOKUP(A105,Data_NV!$A:$I,7,0)="Không","",IF(OR(AND(Y105=0,Z105=0),AND(Y105&lt;&gt;0,Z105&lt;&gt;0)),"","Quên chấm công"))</f>
        <v/>
      </c>
      <c r="AD105" s="14">
        <f>IF(VLOOKUP(A105,Data_NV!$A:$I,7,0)="Không",0,IF(AND(Y105=0,Z105=0),0,IF(X105&lt;=Z105,0,ROUNDDOWN((X105-Z105)*24*60,0))))</f>
        <v>0</v>
      </c>
      <c r="AE105" s="14">
        <f>IF(VLOOKUP(A105,Data_NV!$A:$I,6,0)="Không",0,IF(Z105&lt;=X105,0,ROUNDDOWN((Z105-X105)*24*60,0)))</f>
        <v>0</v>
      </c>
      <c r="AF105" s="29">
        <f t="shared" si="7"/>
        <v>0</v>
      </c>
      <c r="AG105" s="30" t="str">
        <f>IF(AC105="","",IF(COUNTIFS($AC$3:AC105,"Quên chấm công",$S$3:S105,S105)&gt;3,"Không chấm công do vi phạm quá 3 lần",IF(COUNTIFS($AC$3:AC105,"Quên chấm công",$S$3:S105,S105)&gt;2,"Trừ toàn bộ chuyên cần tháng do vi phạm lần 3",IF(COUNTIFS($AC$3:AC105,"Quên chấm công",$S$3:S105,S105)&gt;1,"Trừ 1/2 ngày lương",50000))))</f>
        <v/>
      </c>
      <c r="AH105" s="14" t="str">
        <f>IF(COUNTIFS($AF$3:AF105,"&gt;0",$S$3:S105,S105)&gt;3,"Trừ toàn bộ chuyên cần tháng","")</f>
        <v/>
      </c>
      <c r="AI105" s="14"/>
      <c r="AJ105" s="14"/>
    </row>
    <row r="106" spans="1:36" x14ac:dyDescent="0.25">
      <c r="A106" s="4" t="s">
        <v>172</v>
      </c>
      <c r="B106" s="1" t="s">
        <v>173</v>
      </c>
      <c r="C106" s="1" t="s">
        <v>20</v>
      </c>
      <c r="D106" s="1" t="s">
        <v>74</v>
      </c>
      <c r="E106" s="1" t="s">
        <v>22</v>
      </c>
      <c r="F106" s="1" t="s">
        <v>23</v>
      </c>
      <c r="G106" s="1" t="s">
        <v>12</v>
      </c>
      <c r="H106" s="12" t="s">
        <v>24</v>
      </c>
      <c r="I106" s="1" t="s">
        <v>24</v>
      </c>
      <c r="J106" s="1" t="s">
        <v>25</v>
      </c>
      <c r="K106" s="1" t="s">
        <v>25</v>
      </c>
      <c r="L106" s="1" t="s">
        <v>26</v>
      </c>
      <c r="M106" s="1" t="s">
        <v>25</v>
      </c>
      <c r="N106" s="1" t="s">
        <v>25</v>
      </c>
      <c r="O106" s="1" t="s">
        <v>25</v>
      </c>
      <c r="P106" s="1" t="s">
        <v>25</v>
      </c>
      <c r="Q106" s="1" t="s">
        <v>25</v>
      </c>
      <c r="R106" s="70" t="str">
        <f t="shared" si="4"/>
        <v>1245914</v>
      </c>
      <c r="S106" t="str">
        <f>VLOOKUP(A106,Data_NV!$A:$C,3,0)</f>
        <v xml:space="preserve"> Hoàng Đức Thanh    </v>
      </c>
      <c r="T106" t="str">
        <f>VLOOKUP(A106,Data_NV!$A:$E,4,0)</f>
        <v>Vận Hành</v>
      </c>
      <c r="U106" s="67">
        <f>DATEVALUE(Table2[[#This Row],[Ngày]])</f>
        <v>45914</v>
      </c>
      <c r="V106" t="str">
        <f>VLOOKUP(A106,Data_NV!$A:$E,5,0)</f>
        <v>Đang làm việc</v>
      </c>
      <c r="W106" s="11">
        <f>VLOOKUP(A106,Data_NV!$A:$I,8,0)</f>
        <v>0.3125</v>
      </c>
      <c r="X106" s="11">
        <f>VLOOKUP(A106,Data_NV!$A:$I,9,0)</f>
        <v>0.6875</v>
      </c>
      <c r="Y106" s="11">
        <f>IFERROR(TIMEVALUE(Table2[[#This Row],[Vào]]),0)</f>
        <v>0</v>
      </c>
      <c r="Z106" s="11">
        <f>IFERROR(TIMEVALUE(Table2[[#This Row],[Ra]]),0)</f>
        <v>0</v>
      </c>
      <c r="AA106" t="str">
        <f t="shared" si="5"/>
        <v/>
      </c>
      <c r="AB106" s="14">
        <f t="shared" si="6"/>
        <v>0</v>
      </c>
      <c r="AC106" s="14" t="str">
        <f>IF(VLOOKUP(A106,Data_NV!$A:$I,7,0)="Không","",IF(OR(AND(Y106=0,Z106=0),AND(Y106&lt;&gt;0,Z106&lt;&gt;0)),"","Quên chấm công"))</f>
        <v/>
      </c>
      <c r="AD106" s="14">
        <f>IF(VLOOKUP(A106,Data_NV!$A:$I,7,0)="Không",0,IF(AND(Y106=0,Z106=0),0,IF(X106&lt;=Z106,0,ROUNDDOWN((X106-Z106)*24*60,0))))</f>
        <v>0</v>
      </c>
      <c r="AE106" s="14">
        <f>IF(VLOOKUP(A106,Data_NV!$A:$I,6,0)="Không",0,IF(Z106&lt;=X106,0,ROUNDDOWN((Z106-X106)*24*60,0)))</f>
        <v>0</v>
      </c>
      <c r="AF106" s="29">
        <f t="shared" si="7"/>
        <v>0</v>
      </c>
      <c r="AG106" s="30" t="str">
        <f>IF(AC106="","",IF(COUNTIFS($AC$3:AC106,"Quên chấm công",$S$3:S106,S106)&gt;3,"Không chấm công do vi phạm quá 3 lần",IF(COUNTIFS($AC$3:AC106,"Quên chấm công",$S$3:S106,S106)&gt;2,"Trừ toàn bộ chuyên cần tháng do vi phạm lần 3",IF(COUNTIFS($AC$3:AC106,"Quên chấm công",$S$3:S106,S106)&gt;1,"Trừ 1/2 ngày lương",50000))))</f>
        <v/>
      </c>
      <c r="AH106" s="14" t="str">
        <f>IF(COUNTIFS($AF$3:AF106,"&gt;0",$S$3:S106,S106)&gt;3,"Trừ toàn bộ chuyên cần tháng","")</f>
        <v/>
      </c>
      <c r="AI106" s="14"/>
      <c r="AJ106" s="14"/>
    </row>
    <row r="107" spans="1:36" x14ac:dyDescent="0.25">
      <c r="A107" s="4" t="s">
        <v>172</v>
      </c>
      <c r="B107" s="1" t="s">
        <v>173</v>
      </c>
      <c r="C107" s="1" t="s">
        <v>20</v>
      </c>
      <c r="D107" s="1" t="s">
        <v>75</v>
      </c>
      <c r="E107" s="1" t="s">
        <v>22</v>
      </c>
      <c r="F107" s="1" t="s">
        <v>23</v>
      </c>
      <c r="G107" s="1" t="s">
        <v>12</v>
      </c>
      <c r="H107" s="12" t="s">
        <v>185</v>
      </c>
      <c r="I107" s="1" t="s">
        <v>24</v>
      </c>
      <c r="J107" s="1" t="s">
        <v>25</v>
      </c>
      <c r="K107" s="1" t="s">
        <v>25</v>
      </c>
      <c r="L107" s="1" t="s">
        <v>26</v>
      </c>
      <c r="M107" s="1" t="s">
        <v>25</v>
      </c>
      <c r="N107" s="1" t="s">
        <v>25</v>
      </c>
      <c r="O107" s="1" t="s">
        <v>25</v>
      </c>
      <c r="P107" s="1" t="s">
        <v>25</v>
      </c>
      <c r="Q107" s="1" t="s">
        <v>25</v>
      </c>
      <c r="R107" s="70" t="str">
        <f t="shared" si="4"/>
        <v>1245915</v>
      </c>
      <c r="S107" t="str">
        <f>VLOOKUP(A107,Data_NV!$A:$C,3,0)</f>
        <v xml:space="preserve"> Hoàng Đức Thanh    </v>
      </c>
      <c r="T107" t="str">
        <f>VLOOKUP(A107,Data_NV!$A:$E,4,0)</f>
        <v>Vận Hành</v>
      </c>
      <c r="U107" s="67">
        <f>DATEVALUE(Table2[[#This Row],[Ngày]])</f>
        <v>45915</v>
      </c>
      <c r="V107" t="str">
        <f>VLOOKUP(A107,Data_NV!$A:$E,5,0)</f>
        <v>Đang làm việc</v>
      </c>
      <c r="W107" s="11">
        <f>VLOOKUP(A107,Data_NV!$A:$I,8,0)</f>
        <v>0.3125</v>
      </c>
      <c r="X107" s="11">
        <f>VLOOKUP(A107,Data_NV!$A:$I,9,0)</f>
        <v>0.6875</v>
      </c>
      <c r="Y107" s="11">
        <f>IFERROR(TIMEVALUE(Table2[[#This Row],[Vào]]),0)</f>
        <v>0.29859953703703701</v>
      </c>
      <c r="Z107" s="11">
        <f>IFERROR(TIMEVALUE(Table2[[#This Row],[Ra]]),0)</f>
        <v>0</v>
      </c>
      <c r="AA107" t="str">
        <f t="shared" si="5"/>
        <v>x</v>
      </c>
      <c r="AB107" s="14">
        <f t="shared" si="6"/>
        <v>0</v>
      </c>
      <c r="AC107" s="14" t="str">
        <f>IF(VLOOKUP(A107,Data_NV!$A:$I,7,0)="Không","",IF(OR(AND(Y107=0,Z107=0),AND(Y107&lt;&gt;0,Z107&lt;&gt;0)),"","Quên chấm công"))</f>
        <v/>
      </c>
      <c r="AD107" s="14">
        <f>IF(VLOOKUP(A107,Data_NV!$A:$I,7,0)="Không",0,IF(AND(Y107=0,Z107=0),0,IF(X107&lt;=Z107,0,ROUNDDOWN((X107-Z107)*24*60,0))))</f>
        <v>0</v>
      </c>
      <c r="AE107" s="14">
        <f>IF(VLOOKUP(A107,Data_NV!$A:$I,6,0)="Không",0,IF(Z107&lt;=X107,0,ROUNDDOWN((Z107-X107)*24*60,0)))</f>
        <v>0</v>
      </c>
      <c r="AF107" s="29">
        <f t="shared" si="7"/>
        <v>0</v>
      </c>
      <c r="AG107" s="30" t="str">
        <f>IF(AC107="","",IF(COUNTIFS($AC$3:AC107,"Quên chấm công",$S$3:S107,S107)&gt;3,"Không chấm công do vi phạm quá 3 lần",IF(COUNTIFS($AC$3:AC107,"Quên chấm công",$S$3:S107,S107)&gt;2,"Trừ toàn bộ chuyên cần tháng do vi phạm lần 3",IF(COUNTIFS($AC$3:AC107,"Quên chấm công",$S$3:S107,S107)&gt;1,"Trừ 1/2 ngày lương",50000))))</f>
        <v/>
      </c>
      <c r="AH107" s="14" t="str">
        <f>IF(COUNTIFS($AF$3:AF107,"&gt;0",$S$3:S107,S107)&gt;3,"Trừ toàn bộ chuyên cần tháng","")</f>
        <v/>
      </c>
      <c r="AI107" s="14"/>
      <c r="AJ107" s="14"/>
    </row>
    <row r="108" spans="1:36" x14ac:dyDescent="0.25">
      <c r="A108" s="4" t="s">
        <v>172</v>
      </c>
      <c r="B108" s="1" t="s">
        <v>173</v>
      </c>
      <c r="C108" s="1" t="s">
        <v>20</v>
      </c>
      <c r="D108" s="1" t="s">
        <v>80</v>
      </c>
      <c r="E108" s="1" t="s">
        <v>22</v>
      </c>
      <c r="F108" s="1" t="s">
        <v>23</v>
      </c>
      <c r="G108" s="1" t="s">
        <v>12</v>
      </c>
      <c r="H108" s="12" t="s">
        <v>186</v>
      </c>
      <c r="I108" s="1" t="s">
        <v>24</v>
      </c>
      <c r="J108" s="1" t="s">
        <v>25</v>
      </c>
      <c r="K108" s="1" t="s">
        <v>25</v>
      </c>
      <c r="L108" s="1" t="s">
        <v>26</v>
      </c>
      <c r="M108" s="1" t="s">
        <v>25</v>
      </c>
      <c r="N108" s="1" t="s">
        <v>25</v>
      </c>
      <c r="O108" s="1" t="s">
        <v>25</v>
      </c>
      <c r="P108" s="1" t="s">
        <v>25</v>
      </c>
      <c r="Q108" s="1" t="s">
        <v>25</v>
      </c>
      <c r="R108" s="70" t="str">
        <f t="shared" si="4"/>
        <v>1245916</v>
      </c>
      <c r="S108" t="str">
        <f>VLOOKUP(A108,Data_NV!$A:$C,3,0)</f>
        <v xml:space="preserve"> Hoàng Đức Thanh    </v>
      </c>
      <c r="T108" t="str">
        <f>VLOOKUP(A108,Data_NV!$A:$E,4,0)</f>
        <v>Vận Hành</v>
      </c>
      <c r="U108" s="67">
        <f>DATEVALUE(Table2[[#This Row],[Ngày]])</f>
        <v>45916</v>
      </c>
      <c r="V108" t="str">
        <f>VLOOKUP(A108,Data_NV!$A:$E,5,0)</f>
        <v>Đang làm việc</v>
      </c>
      <c r="W108" s="11">
        <f>VLOOKUP(A108,Data_NV!$A:$I,8,0)</f>
        <v>0.3125</v>
      </c>
      <c r="X108" s="11">
        <f>VLOOKUP(A108,Data_NV!$A:$I,9,0)</f>
        <v>0.6875</v>
      </c>
      <c r="Y108" s="11">
        <f>IFERROR(TIMEVALUE(Table2[[#This Row],[Vào]]),0)</f>
        <v>0.3039236111111111</v>
      </c>
      <c r="Z108" s="11">
        <f>IFERROR(TIMEVALUE(Table2[[#This Row],[Ra]]),0)</f>
        <v>0</v>
      </c>
      <c r="AA108" t="str">
        <f t="shared" si="5"/>
        <v>x</v>
      </c>
      <c r="AB108" s="14">
        <f t="shared" si="6"/>
        <v>0</v>
      </c>
      <c r="AC108" s="14" t="str">
        <f>IF(VLOOKUP(A108,Data_NV!$A:$I,7,0)="Không","",IF(OR(AND(Y108=0,Z108=0),AND(Y108&lt;&gt;0,Z108&lt;&gt;0)),"","Quên chấm công"))</f>
        <v/>
      </c>
      <c r="AD108" s="14">
        <f>IF(VLOOKUP(A108,Data_NV!$A:$I,7,0)="Không",0,IF(AND(Y108=0,Z108=0),0,IF(X108&lt;=Z108,0,ROUNDDOWN((X108-Z108)*24*60,0))))</f>
        <v>0</v>
      </c>
      <c r="AE108" s="14">
        <f>IF(VLOOKUP(A108,Data_NV!$A:$I,6,0)="Không",0,IF(Z108&lt;=X108,0,ROUNDDOWN((Z108-X108)*24*60,0)))</f>
        <v>0</v>
      </c>
      <c r="AF108" s="29">
        <f t="shared" si="7"/>
        <v>0</v>
      </c>
      <c r="AG108" s="30" t="str">
        <f>IF(AC108="","",IF(COUNTIFS($AC$3:AC108,"Quên chấm công",$S$3:S108,S108)&gt;3,"Không chấm công do vi phạm quá 3 lần",IF(COUNTIFS($AC$3:AC108,"Quên chấm công",$S$3:S108,S108)&gt;2,"Trừ toàn bộ chuyên cần tháng do vi phạm lần 3",IF(COUNTIFS($AC$3:AC108,"Quên chấm công",$S$3:S108,S108)&gt;1,"Trừ 1/2 ngày lương",50000))))</f>
        <v/>
      </c>
      <c r="AH108" s="14" t="str">
        <f>IF(COUNTIFS($AF$3:AF108,"&gt;0",$S$3:S108,S108)&gt;3,"Trừ toàn bộ chuyên cần tháng","")</f>
        <v/>
      </c>
      <c r="AI108" s="14"/>
      <c r="AJ108" s="14"/>
    </row>
    <row r="109" spans="1:36" x14ac:dyDescent="0.25">
      <c r="A109" s="4" t="s">
        <v>172</v>
      </c>
      <c r="B109" s="1" t="s">
        <v>173</v>
      </c>
      <c r="C109" s="1" t="s">
        <v>20</v>
      </c>
      <c r="D109" s="1" t="s">
        <v>85</v>
      </c>
      <c r="E109" s="1" t="s">
        <v>22</v>
      </c>
      <c r="F109" s="1" t="s">
        <v>23</v>
      </c>
      <c r="G109" s="1" t="s">
        <v>12</v>
      </c>
      <c r="H109" s="12" t="s">
        <v>137</v>
      </c>
      <c r="I109" s="1" t="s">
        <v>24</v>
      </c>
      <c r="J109" s="1" t="s">
        <v>25</v>
      </c>
      <c r="K109" s="1" t="s">
        <v>25</v>
      </c>
      <c r="L109" s="1" t="s">
        <v>26</v>
      </c>
      <c r="M109" s="1" t="s">
        <v>25</v>
      </c>
      <c r="N109" s="1" t="s">
        <v>25</v>
      </c>
      <c r="O109" s="1" t="s">
        <v>25</v>
      </c>
      <c r="P109" s="1" t="s">
        <v>25</v>
      </c>
      <c r="Q109" s="1" t="s">
        <v>25</v>
      </c>
      <c r="R109" s="70" t="str">
        <f t="shared" si="4"/>
        <v>1245917</v>
      </c>
      <c r="S109" t="str">
        <f>VLOOKUP(A109,Data_NV!$A:$C,3,0)</f>
        <v xml:space="preserve"> Hoàng Đức Thanh    </v>
      </c>
      <c r="T109" t="str">
        <f>VLOOKUP(A109,Data_NV!$A:$E,4,0)</f>
        <v>Vận Hành</v>
      </c>
      <c r="U109" s="67">
        <f>DATEVALUE(Table2[[#This Row],[Ngày]])</f>
        <v>45917</v>
      </c>
      <c r="V109" t="str">
        <f>VLOOKUP(A109,Data_NV!$A:$E,5,0)</f>
        <v>Đang làm việc</v>
      </c>
      <c r="W109" s="11">
        <f>VLOOKUP(A109,Data_NV!$A:$I,8,0)</f>
        <v>0.3125</v>
      </c>
      <c r="X109" s="11">
        <f>VLOOKUP(A109,Data_NV!$A:$I,9,0)</f>
        <v>0.6875</v>
      </c>
      <c r="Y109" s="11">
        <f>IFERROR(TIMEVALUE(Table2[[#This Row],[Vào]]),0)</f>
        <v>0.30518518518518517</v>
      </c>
      <c r="Z109" s="11">
        <f>IFERROR(TIMEVALUE(Table2[[#This Row],[Ra]]),0)</f>
        <v>0</v>
      </c>
      <c r="AA109" t="str">
        <f t="shared" si="5"/>
        <v>x</v>
      </c>
      <c r="AB109" s="14">
        <f t="shared" si="6"/>
        <v>0</v>
      </c>
      <c r="AC109" s="14" t="str">
        <f>IF(VLOOKUP(A109,Data_NV!$A:$I,7,0)="Không","",IF(OR(AND(Y109=0,Z109=0),AND(Y109&lt;&gt;0,Z109&lt;&gt;0)),"","Quên chấm công"))</f>
        <v/>
      </c>
      <c r="AD109" s="14">
        <f>IF(VLOOKUP(A109,Data_NV!$A:$I,7,0)="Không",0,IF(AND(Y109=0,Z109=0),0,IF(X109&lt;=Z109,0,ROUNDDOWN((X109-Z109)*24*60,0))))</f>
        <v>0</v>
      </c>
      <c r="AE109" s="14">
        <f>IF(VLOOKUP(A109,Data_NV!$A:$I,6,0)="Không",0,IF(Z109&lt;=X109,0,ROUNDDOWN((Z109-X109)*24*60,0)))</f>
        <v>0</v>
      </c>
      <c r="AF109" s="29">
        <f t="shared" si="7"/>
        <v>0</v>
      </c>
      <c r="AG109" s="30" t="str">
        <f>IF(AC109="","",IF(COUNTIFS($AC$3:AC109,"Quên chấm công",$S$3:S109,S109)&gt;3,"Không chấm công do vi phạm quá 3 lần",IF(COUNTIFS($AC$3:AC109,"Quên chấm công",$S$3:S109,S109)&gt;2,"Trừ toàn bộ chuyên cần tháng do vi phạm lần 3",IF(COUNTIFS($AC$3:AC109,"Quên chấm công",$S$3:S109,S109)&gt;1,"Trừ 1/2 ngày lương",50000))))</f>
        <v/>
      </c>
      <c r="AH109" s="14" t="str">
        <f>IF(COUNTIFS($AF$3:AF109,"&gt;0",$S$3:S109,S109)&gt;3,"Trừ toàn bộ chuyên cần tháng","")</f>
        <v/>
      </c>
      <c r="AI109" s="14"/>
      <c r="AJ109" s="14"/>
    </row>
    <row r="110" spans="1:36" x14ac:dyDescent="0.25">
      <c r="A110" s="4" t="s">
        <v>172</v>
      </c>
      <c r="B110" s="1" t="s">
        <v>173</v>
      </c>
      <c r="C110" s="1" t="s">
        <v>20</v>
      </c>
      <c r="D110" s="1" t="s">
        <v>90</v>
      </c>
      <c r="E110" s="1" t="s">
        <v>22</v>
      </c>
      <c r="F110" s="1" t="s">
        <v>23</v>
      </c>
      <c r="G110" s="1" t="s">
        <v>12</v>
      </c>
      <c r="H110" s="12" t="s">
        <v>187</v>
      </c>
      <c r="I110" s="1" t="s">
        <v>24</v>
      </c>
      <c r="J110" s="1" t="s">
        <v>25</v>
      </c>
      <c r="K110" s="1" t="s">
        <v>25</v>
      </c>
      <c r="L110" s="1" t="s">
        <v>26</v>
      </c>
      <c r="M110" s="1" t="s">
        <v>25</v>
      </c>
      <c r="N110" s="1" t="s">
        <v>25</v>
      </c>
      <c r="O110" s="1" t="s">
        <v>25</v>
      </c>
      <c r="P110" s="1" t="s">
        <v>25</v>
      </c>
      <c r="Q110" s="1" t="s">
        <v>25</v>
      </c>
      <c r="R110" s="70" t="str">
        <f t="shared" si="4"/>
        <v>1245918</v>
      </c>
      <c r="S110" t="str">
        <f>VLOOKUP(A110,Data_NV!$A:$C,3,0)</f>
        <v xml:space="preserve"> Hoàng Đức Thanh    </v>
      </c>
      <c r="T110" t="str">
        <f>VLOOKUP(A110,Data_NV!$A:$E,4,0)</f>
        <v>Vận Hành</v>
      </c>
      <c r="U110" s="67">
        <f>DATEVALUE(Table2[[#This Row],[Ngày]])</f>
        <v>45918</v>
      </c>
      <c r="V110" t="str">
        <f>VLOOKUP(A110,Data_NV!$A:$E,5,0)</f>
        <v>Đang làm việc</v>
      </c>
      <c r="W110" s="11">
        <f>VLOOKUP(A110,Data_NV!$A:$I,8,0)</f>
        <v>0.3125</v>
      </c>
      <c r="X110" s="11">
        <f>VLOOKUP(A110,Data_NV!$A:$I,9,0)</f>
        <v>0.6875</v>
      </c>
      <c r="Y110" s="11">
        <f>IFERROR(TIMEVALUE(Table2[[#This Row],[Vào]]),0)</f>
        <v>0.29619212962962965</v>
      </c>
      <c r="Z110" s="11">
        <f>IFERROR(TIMEVALUE(Table2[[#This Row],[Ra]]),0)</f>
        <v>0</v>
      </c>
      <c r="AA110" t="str">
        <f t="shared" si="5"/>
        <v>x</v>
      </c>
      <c r="AB110" s="14">
        <f t="shared" si="6"/>
        <v>0</v>
      </c>
      <c r="AC110" s="14" t="str">
        <f>IF(VLOOKUP(A110,Data_NV!$A:$I,7,0)="Không","",IF(OR(AND(Y110=0,Z110=0),AND(Y110&lt;&gt;0,Z110&lt;&gt;0)),"","Quên chấm công"))</f>
        <v/>
      </c>
      <c r="AD110" s="14">
        <f>IF(VLOOKUP(A110,Data_NV!$A:$I,7,0)="Không",0,IF(AND(Y110=0,Z110=0),0,IF(X110&lt;=Z110,0,ROUNDDOWN((X110-Z110)*24*60,0))))</f>
        <v>0</v>
      </c>
      <c r="AE110" s="14">
        <f>IF(VLOOKUP(A110,Data_NV!$A:$I,6,0)="Không",0,IF(Z110&lt;=X110,0,ROUNDDOWN((Z110-X110)*24*60,0)))</f>
        <v>0</v>
      </c>
      <c r="AF110" s="29">
        <f t="shared" si="7"/>
        <v>0</v>
      </c>
      <c r="AG110" s="30" t="str">
        <f>IF(AC110="","",IF(COUNTIFS($AC$3:AC110,"Quên chấm công",$S$3:S110,S110)&gt;3,"Không chấm công do vi phạm quá 3 lần",IF(COUNTIFS($AC$3:AC110,"Quên chấm công",$S$3:S110,S110)&gt;2,"Trừ toàn bộ chuyên cần tháng do vi phạm lần 3",IF(COUNTIFS($AC$3:AC110,"Quên chấm công",$S$3:S110,S110)&gt;1,"Trừ 1/2 ngày lương",50000))))</f>
        <v/>
      </c>
      <c r="AH110" s="14" t="str">
        <f>IF(COUNTIFS($AF$3:AF110,"&gt;0",$S$3:S110,S110)&gt;3,"Trừ toàn bộ chuyên cần tháng","")</f>
        <v/>
      </c>
      <c r="AI110" s="14"/>
      <c r="AJ110" s="14"/>
    </row>
    <row r="111" spans="1:36" x14ac:dyDescent="0.25">
      <c r="A111" s="4" t="s">
        <v>172</v>
      </c>
      <c r="B111" s="1" t="s">
        <v>173</v>
      </c>
      <c r="C111" s="1" t="s">
        <v>20</v>
      </c>
      <c r="D111" s="1" t="s">
        <v>95</v>
      </c>
      <c r="E111" s="1" t="s">
        <v>22</v>
      </c>
      <c r="F111" s="1" t="s">
        <v>23</v>
      </c>
      <c r="G111" s="1" t="s">
        <v>12</v>
      </c>
      <c r="H111" s="12" t="s">
        <v>188</v>
      </c>
      <c r="I111" s="1" t="s">
        <v>24</v>
      </c>
      <c r="J111" s="1" t="s">
        <v>25</v>
      </c>
      <c r="K111" s="1" t="s">
        <v>25</v>
      </c>
      <c r="L111" s="1" t="s">
        <v>26</v>
      </c>
      <c r="M111" s="1" t="s">
        <v>25</v>
      </c>
      <c r="N111" s="1" t="s">
        <v>25</v>
      </c>
      <c r="O111" s="1" t="s">
        <v>25</v>
      </c>
      <c r="P111" s="1" t="s">
        <v>25</v>
      </c>
      <c r="Q111" s="1" t="s">
        <v>25</v>
      </c>
      <c r="R111" s="70" t="str">
        <f t="shared" si="4"/>
        <v>1245919</v>
      </c>
      <c r="S111" t="str">
        <f>VLOOKUP(A111,Data_NV!$A:$C,3,0)</f>
        <v xml:space="preserve"> Hoàng Đức Thanh    </v>
      </c>
      <c r="T111" t="str">
        <f>VLOOKUP(A111,Data_NV!$A:$E,4,0)</f>
        <v>Vận Hành</v>
      </c>
      <c r="U111" s="67">
        <f>DATEVALUE(Table2[[#This Row],[Ngày]])</f>
        <v>45919</v>
      </c>
      <c r="V111" t="str">
        <f>VLOOKUP(A111,Data_NV!$A:$E,5,0)</f>
        <v>Đang làm việc</v>
      </c>
      <c r="W111" s="11">
        <f>VLOOKUP(A111,Data_NV!$A:$I,8,0)</f>
        <v>0.3125</v>
      </c>
      <c r="X111" s="11">
        <f>VLOOKUP(A111,Data_NV!$A:$I,9,0)</f>
        <v>0.6875</v>
      </c>
      <c r="Y111" s="11">
        <f>IFERROR(TIMEVALUE(Table2[[#This Row],[Vào]]),0)</f>
        <v>0.2999074074074074</v>
      </c>
      <c r="Z111" s="11">
        <f>IFERROR(TIMEVALUE(Table2[[#This Row],[Ra]]),0)</f>
        <v>0</v>
      </c>
      <c r="AA111" t="str">
        <f t="shared" si="5"/>
        <v>x</v>
      </c>
      <c r="AB111" s="14">
        <f t="shared" si="6"/>
        <v>0</v>
      </c>
      <c r="AC111" s="14" t="str">
        <f>IF(VLOOKUP(A111,Data_NV!$A:$I,7,0)="Không","",IF(OR(AND(Y111=0,Z111=0),AND(Y111&lt;&gt;0,Z111&lt;&gt;0)),"","Quên chấm công"))</f>
        <v/>
      </c>
      <c r="AD111" s="14">
        <f>IF(VLOOKUP(A111,Data_NV!$A:$I,7,0)="Không",0,IF(AND(Y111=0,Z111=0),0,IF(X111&lt;=Z111,0,ROUNDDOWN((X111-Z111)*24*60,0))))</f>
        <v>0</v>
      </c>
      <c r="AE111" s="14">
        <f>IF(VLOOKUP(A111,Data_NV!$A:$I,6,0)="Không",0,IF(Z111&lt;=X111,0,ROUNDDOWN((Z111-X111)*24*60,0)))</f>
        <v>0</v>
      </c>
      <c r="AF111" s="29">
        <f t="shared" si="7"/>
        <v>0</v>
      </c>
      <c r="AG111" s="30" t="str">
        <f>IF(AC111="","",IF(COUNTIFS($AC$3:AC111,"Quên chấm công",$S$3:S111,S111)&gt;3,"Không chấm công do vi phạm quá 3 lần",IF(COUNTIFS($AC$3:AC111,"Quên chấm công",$S$3:S111,S111)&gt;2,"Trừ toàn bộ chuyên cần tháng do vi phạm lần 3",IF(COUNTIFS($AC$3:AC111,"Quên chấm công",$S$3:S111,S111)&gt;1,"Trừ 1/2 ngày lương",50000))))</f>
        <v/>
      </c>
      <c r="AH111" s="14" t="str">
        <f>IF(COUNTIFS($AF$3:AF111,"&gt;0",$S$3:S111,S111)&gt;3,"Trừ toàn bộ chuyên cần tháng","")</f>
        <v/>
      </c>
      <c r="AI111" s="14"/>
      <c r="AJ111" s="14"/>
    </row>
    <row r="112" spans="1:36" x14ac:dyDescent="0.25">
      <c r="A112" s="4" t="s">
        <v>172</v>
      </c>
      <c r="B112" s="1" t="s">
        <v>173</v>
      </c>
      <c r="C112" s="1" t="s">
        <v>20</v>
      </c>
      <c r="D112" s="1" t="s">
        <v>100</v>
      </c>
      <c r="E112" s="1" t="s">
        <v>22</v>
      </c>
      <c r="F112" s="1" t="s">
        <v>23</v>
      </c>
      <c r="G112" s="1" t="s">
        <v>12</v>
      </c>
      <c r="H112" s="12" t="s">
        <v>189</v>
      </c>
      <c r="I112" s="1" t="s">
        <v>24</v>
      </c>
      <c r="J112" s="1" t="s">
        <v>25</v>
      </c>
      <c r="K112" s="1" t="s">
        <v>25</v>
      </c>
      <c r="L112" s="1" t="s">
        <v>26</v>
      </c>
      <c r="M112" s="1" t="s">
        <v>25</v>
      </c>
      <c r="N112" s="1" t="s">
        <v>25</v>
      </c>
      <c r="O112" s="1" t="s">
        <v>25</v>
      </c>
      <c r="P112" s="1" t="s">
        <v>25</v>
      </c>
      <c r="Q112" s="1" t="s">
        <v>25</v>
      </c>
      <c r="R112" s="70" t="str">
        <f t="shared" si="4"/>
        <v>1245920</v>
      </c>
      <c r="S112" t="str">
        <f>VLOOKUP(A112,Data_NV!$A:$C,3,0)</f>
        <v xml:space="preserve"> Hoàng Đức Thanh    </v>
      </c>
      <c r="T112" t="str">
        <f>VLOOKUP(A112,Data_NV!$A:$E,4,0)</f>
        <v>Vận Hành</v>
      </c>
      <c r="U112" s="67">
        <f>DATEVALUE(Table2[[#This Row],[Ngày]])</f>
        <v>45920</v>
      </c>
      <c r="V112" t="str">
        <f>VLOOKUP(A112,Data_NV!$A:$E,5,0)</f>
        <v>Đang làm việc</v>
      </c>
      <c r="W112" s="11">
        <f>VLOOKUP(A112,Data_NV!$A:$I,8,0)</f>
        <v>0.3125</v>
      </c>
      <c r="X112" s="11">
        <f>VLOOKUP(A112,Data_NV!$A:$I,9,0)</f>
        <v>0.6875</v>
      </c>
      <c r="Y112" s="11">
        <f>IFERROR(TIMEVALUE(Table2[[#This Row],[Vào]]),0)</f>
        <v>0.30104166666666665</v>
      </c>
      <c r="Z112" s="11">
        <f>IFERROR(TIMEVALUE(Table2[[#This Row],[Ra]]),0)</f>
        <v>0</v>
      </c>
      <c r="AA112" t="str">
        <f t="shared" si="5"/>
        <v>x</v>
      </c>
      <c r="AB112" s="14">
        <f t="shared" si="6"/>
        <v>0</v>
      </c>
      <c r="AC112" s="14" t="str">
        <f>IF(VLOOKUP(A112,Data_NV!$A:$I,7,0)="Không","",IF(OR(AND(Y112=0,Z112=0),AND(Y112&lt;&gt;0,Z112&lt;&gt;0)),"","Quên chấm công"))</f>
        <v/>
      </c>
      <c r="AD112" s="14">
        <f>IF(VLOOKUP(A112,Data_NV!$A:$I,7,0)="Không",0,IF(AND(Y112=0,Z112=0),0,IF(X112&lt;=Z112,0,ROUNDDOWN((X112-Z112)*24*60,0))))</f>
        <v>0</v>
      </c>
      <c r="AE112" s="14">
        <f>IF(VLOOKUP(A112,Data_NV!$A:$I,6,0)="Không",0,IF(Z112&lt;=X112,0,ROUNDDOWN((Z112-X112)*24*60,0)))</f>
        <v>0</v>
      </c>
      <c r="AF112" s="29">
        <f t="shared" si="7"/>
        <v>0</v>
      </c>
      <c r="AG112" s="30" t="str">
        <f>IF(AC112="","",IF(COUNTIFS($AC$3:AC112,"Quên chấm công",$S$3:S112,S112)&gt;3,"Không chấm công do vi phạm quá 3 lần",IF(COUNTIFS($AC$3:AC112,"Quên chấm công",$S$3:S112,S112)&gt;2,"Trừ toàn bộ chuyên cần tháng do vi phạm lần 3",IF(COUNTIFS($AC$3:AC112,"Quên chấm công",$S$3:S112,S112)&gt;1,"Trừ 1/2 ngày lương",50000))))</f>
        <v/>
      </c>
      <c r="AH112" s="14" t="str">
        <f>IF(COUNTIFS($AF$3:AF112,"&gt;0",$S$3:S112,S112)&gt;3,"Trừ toàn bộ chuyên cần tháng","")</f>
        <v/>
      </c>
      <c r="AI112" s="14"/>
      <c r="AJ112" s="14"/>
    </row>
    <row r="113" spans="1:36" x14ac:dyDescent="0.25">
      <c r="A113" s="4" t="s">
        <v>172</v>
      </c>
      <c r="B113" s="1" t="s">
        <v>173</v>
      </c>
      <c r="C113" s="1" t="s">
        <v>20</v>
      </c>
      <c r="D113" s="1" t="s">
        <v>105</v>
      </c>
      <c r="E113" s="1" t="s">
        <v>22</v>
      </c>
      <c r="F113" s="1" t="s">
        <v>23</v>
      </c>
      <c r="G113" s="1" t="s">
        <v>12</v>
      </c>
      <c r="H113" s="12" t="s">
        <v>24</v>
      </c>
      <c r="I113" s="1" t="s">
        <v>24</v>
      </c>
      <c r="J113" s="1" t="s">
        <v>25</v>
      </c>
      <c r="K113" s="1" t="s">
        <v>25</v>
      </c>
      <c r="L113" s="1" t="s">
        <v>26</v>
      </c>
      <c r="M113" s="1" t="s">
        <v>25</v>
      </c>
      <c r="N113" s="1" t="s">
        <v>25</v>
      </c>
      <c r="O113" s="1" t="s">
        <v>25</v>
      </c>
      <c r="P113" s="1" t="s">
        <v>25</v>
      </c>
      <c r="Q113" s="1" t="s">
        <v>25</v>
      </c>
      <c r="R113" s="70" t="str">
        <f t="shared" si="4"/>
        <v>1245921</v>
      </c>
      <c r="S113" t="str">
        <f>VLOOKUP(A113,Data_NV!$A:$C,3,0)</f>
        <v xml:space="preserve"> Hoàng Đức Thanh    </v>
      </c>
      <c r="T113" t="str">
        <f>VLOOKUP(A113,Data_NV!$A:$E,4,0)</f>
        <v>Vận Hành</v>
      </c>
      <c r="U113" s="67">
        <f>DATEVALUE(Table2[[#This Row],[Ngày]])</f>
        <v>45921</v>
      </c>
      <c r="V113" t="str">
        <f>VLOOKUP(A113,Data_NV!$A:$E,5,0)</f>
        <v>Đang làm việc</v>
      </c>
      <c r="W113" s="11">
        <f>VLOOKUP(A113,Data_NV!$A:$I,8,0)</f>
        <v>0.3125</v>
      </c>
      <c r="X113" s="11">
        <f>VLOOKUP(A113,Data_NV!$A:$I,9,0)</f>
        <v>0.6875</v>
      </c>
      <c r="Y113" s="11">
        <f>IFERROR(TIMEVALUE(Table2[[#This Row],[Vào]]),0)</f>
        <v>0</v>
      </c>
      <c r="Z113" s="11">
        <f>IFERROR(TIMEVALUE(Table2[[#This Row],[Ra]]),0)</f>
        <v>0</v>
      </c>
      <c r="AA113" t="str">
        <f t="shared" si="5"/>
        <v/>
      </c>
      <c r="AB113" s="14">
        <f t="shared" si="6"/>
        <v>0</v>
      </c>
      <c r="AC113" s="14" t="str">
        <f>IF(VLOOKUP(A113,Data_NV!$A:$I,7,0)="Không","",IF(OR(AND(Y113=0,Z113=0),AND(Y113&lt;&gt;0,Z113&lt;&gt;0)),"","Quên chấm công"))</f>
        <v/>
      </c>
      <c r="AD113" s="14">
        <f>IF(VLOOKUP(A113,Data_NV!$A:$I,7,0)="Không",0,IF(AND(Y113=0,Z113=0),0,IF(X113&lt;=Z113,0,ROUNDDOWN((X113-Z113)*24*60,0))))</f>
        <v>0</v>
      </c>
      <c r="AE113" s="14">
        <f>IF(VLOOKUP(A113,Data_NV!$A:$I,6,0)="Không",0,IF(Z113&lt;=X113,0,ROUNDDOWN((Z113-X113)*24*60,0)))</f>
        <v>0</v>
      </c>
      <c r="AF113" s="29">
        <f t="shared" si="7"/>
        <v>0</v>
      </c>
      <c r="AG113" s="30" t="str">
        <f>IF(AC113="","",IF(COUNTIFS($AC$3:AC113,"Quên chấm công",$S$3:S113,S113)&gt;3,"Không chấm công do vi phạm quá 3 lần",IF(COUNTIFS($AC$3:AC113,"Quên chấm công",$S$3:S113,S113)&gt;2,"Trừ toàn bộ chuyên cần tháng do vi phạm lần 3",IF(COUNTIFS($AC$3:AC113,"Quên chấm công",$S$3:S113,S113)&gt;1,"Trừ 1/2 ngày lương",50000))))</f>
        <v/>
      </c>
      <c r="AH113" s="14" t="str">
        <f>IF(COUNTIFS($AF$3:AF113,"&gt;0",$S$3:S113,S113)&gt;3,"Trừ toàn bộ chuyên cần tháng","")</f>
        <v/>
      </c>
      <c r="AI113" s="14"/>
      <c r="AJ113" s="14"/>
    </row>
    <row r="114" spans="1:36" x14ac:dyDescent="0.25">
      <c r="A114" s="4" t="s">
        <v>172</v>
      </c>
      <c r="B114" s="1" t="s">
        <v>173</v>
      </c>
      <c r="C114" s="1" t="s">
        <v>20</v>
      </c>
      <c r="D114" s="1" t="s">
        <v>106</v>
      </c>
      <c r="E114" s="1" t="s">
        <v>22</v>
      </c>
      <c r="F114" s="1" t="s">
        <v>23</v>
      </c>
      <c r="G114" s="1" t="s">
        <v>12</v>
      </c>
      <c r="H114" s="12" t="s">
        <v>190</v>
      </c>
      <c r="I114" s="1" t="s">
        <v>24</v>
      </c>
      <c r="J114" s="1" t="s">
        <v>25</v>
      </c>
      <c r="K114" s="1" t="s">
        <v>25</v>
      </c>
      <c r="L114" s="1" t="s">
        <v>26</v>
      </c>
      <c r="M114" s="1" t="s">
        <v>25</v>
      </c>
      <c r="N114" s="1" t="s">
        <v>25</v>
      </c>
      <c r="O114" s="1" t="s">
        <v>25</v>
      </c>
      <c r="P114" s="1" t="s">
        <v>25</v>
      </c>
      <c r="Q114" s="1" t="s">
        <v>25</v>
      </c>
      <c r="R114" s="70" t="str">
        <f t="shared" si="4"/>
        <v>1245922</v>
      </c>
      <c r="S114" t="str">
        <f>VLOOKUP(A114,Data_NV!$A:$C,3,0)</f>
        <v xml:space="preserve"> Hoàng Đức Thanh    </v>
      </c>
      <c r="T114" t="str">
        <f>VLOOKUP(A114,Data_NV!$A:$E,4,0)</f>
        <v>Vận Hành</v>
      </c>
      <c r="U114" s="67">
        <f>DATEVALUE(Table2[[#This Row],[Ngày]])</f>
        <v>45922</v>
      </c>
      <c r="V114" t="str">
        <f>VLOOKUP(A114,Data_NV!$A:$E,5,0)</f>
        <v>Đang làm việc</v>
      </c>
      <c r="W114" s="11">
        <f>VLOOKUP(A114,Data_NV!$A:$I,8,0)</f>
        <v>0.3125</v>
      </c>
      <c r="X114" s="11">
        <f>VLOOKUP(A114,Data_NV!$A:$I,9,0)</f>
        <v>0.6875</v>
      </c>
      <c r="Y114" s="11">
        <f>IFERROR(TIMEVALUE(Table2[[#This Row],[Vào]]),0)</f>
        <v>0.30313657407407407</v>
      </c>
      <c r="Z114" s="11">
        <f>IFERROR(TIMEVALUE(Table2[[#This Row],[Ra]]),0)</f>
        <v>0</v>
      </c>
      <c r="AA114" t="str">
        <f t="shared" si="5"/>
        <v>x</v>
      </c>
      <c r="AB114" s="14">
        <f t="shared" si="6"/>
        <v>0</v>
      </c>
      <c r="AC114" s="14" t="str">
        <f>IF(VLOOKUP(A114,Data_NV!$A:$I,7,0)="Không","",IF(OR(AND(Y114=0,Z114=0),AND(Y114&lt;&gt;0,Z114&lt;&gt;0)),"","Quên chấm công"))</f>
        <v/>
      </c>
      <c r="AD114" s="14">
        <f>IF(VLOOKUP(A114,Data_NV!$A:$I,7,0)="Không",0,IF(AND(Y114=0,Z114=0),0,IF(X114&lt;=Z114,0,ROUNDDOWN((X114-Z114)*24*60,0))))</f>
        <v>0</v>
      </c>
      <c r="AE114" s="14">
        <f>IF(VLOOKUP(A114,Data_NV!$A:$I,6,0)="Không",0,IF(Z114&lt;=X114,0,ROUNDDOWN((Z114-X114)*24*60,0)))</f>
        <v>0</v>
      </c>
      <c r="AF114" s="29">
        <f t="shared" si="7"/>
        <v>0</v>
      </c>
      <c r="AG114" s="30" t="str">
        <f>IF(AC114="","",IF(COUNTIFS($AC$3:AC114,"Quên chấm công",$S$3:S114,S114)&gt;3,"Không chấm công do vi phạm quá 3 lần",IF(COUNTIFS($AC$3:AC114,"Quên chấm công",$S$3:S114,S114)&gt;2,"Trừ toàn bộ chuyên cần tháng do vi phạm lần 3",IF(COUNTIFS($AC$3:AC114,"Quên chấm công",$S$3:S114,S114)&gt;1,"Trừ 1/2 ngày lương",50000))))</f>
        <v/>
      </c>
      <c r="AH114" s="14" t="str">
        <f>IF(COUNTIFS($AF$3:AF114,"&gt;0",$S$3:S114,S114)&gt;3,"Trừ toàn bộ chuyên cần tháng","")</f>
        <v/>
      </c>
      <c r="AI114" s="14"/>
      <c r="AJ114" s="14"/>
    </row>
    <row r="115" spans="1:36" x14ac:dyDescent="0.25">
      <c r="A115" s="4" t="s">
        <v>172</v>
      </c>
      <c r="B115" s="1" t="s">
        <v>173</v>
      </c>
      <c r="C115" s="1" t="s">
        <v>20</v>
      </c>
      <c r="D115" s="1" t="s">
        <v>111</v>
      </c>
      <c r="E115" s="1" t="s">
        <v>22</v>
      </c>
      <c r="F115" s="1" t="s">
        <v>23</v>
      </c>
      <c r="G115" s="1" t="s">
        <v>12</v>
      </c>
      <c r="H115" s="12" t="s">
        <v>191</v>
      </c>
      <c r="I115" s="1" t="s">
        <v>24</v>
      </c>
      <c r="J115" s="1" t="s">
        <v>25</v>
      </c>
      <c r="K115" s="1" t="s">
        <v>25</v>
      </c>
      <c r="L115" s="1" t="s">
        <v>26</v>
      </c>
      <c r="M115" s="1" t="s">
        <v>25</v>
      </c>
      <c r="N115" s="1" t="s">
        <v>25</v>
      </c>
      <c r="O115" s="1" t="s">
        <v>25</v>
      </c>
      <c r="P115" s="1" t="s">
        <v>25</v>
      </c>
      <c r="Q115" s="1" t="s">
        <v>25</v>
      </c>
      <c r="R115" s="70" t="str">
        <f t="shared" si="4"/>
        <v>1245923</v>
      </c>
      <c r="S115" t="str">
        <f>VLOOKUP(A115,Data_NV!$A:$C,3,0)</f>
        <v xml:space="preserve"> Hoàng Đức Thanh    </v>
      </c>
      <c r="T115" t="str">
        <f>VLOOKUP(A115,Data_NV!$A:$E,4,0)</f>
        <v>Vận Hành</v>
      </c>
      <c r="U115" s="67">
        <f>DATEVALUE(Table2[[#This Row],[Ngày]])</f>
        <v>45923</v>
      </c>
      <c r="V115" t="str">
        <f>VLOOKUP(A115,Data_NV!$A:$E,5,0)</f>
        <v>Đang làm việc</v>
      </c>
      <c r="W115" s="11">
        <f>VLOOKUP(A115,Data_NV!$A:$I,8,0)</f>
        <v>0.3125</v>
      </c>
      <c r="X115" s="11">
        <f>VLOOKUP(A115,Data_NV!$A:$I,9,0)</f>
        <v>0.6875</v>
      </c>
      <c r="Y115" s="11">
        <f>IFERROR(TIMEVALUE(Table2[[#This Row],[Vào]]),0)</f>
        <v>0.29754629629629631</v>
      </c>
      <c r="Z115" s="11">
        <f>IFERROR(TIMEVALUE(Table2[[#This Row],[Ra]]),0)</f>
        <v>0</v>
      </c>
      <c r="AA115" t="str">
        <f t="shared" si="5"/>
        <v>x</v>
      </c>
      <c r="AB115" s="14">
        <f t="shared" si="6"/>
        <v>0</v>
      </c>
      <c r="AC115" s="14" t="str">
        <f>IF(VLOOKUP(A115,Data_NV!$A:$I,7,0)="Không","",IF(OR(AND(Y115=0,Z115=0),AND(Y115&lt;&gt;0,Z115&lt;&gt;0)),"","Quên chấm công"))</f>
        <v/>
      </c>
      <c r="AD115" s="14">
        <f>IF(VLOOKUP(A115,Data_NV!$A:$I,7,0)="Không",0,IF(AND(Y115=0,Z115=0),0,IF(X115&lt;=Z115,0,ROUNDDOWN((X115-Z115)*24*60,0))))</f>
        <v>0</v>
      </c>
      <c r="AE115" s="14">
        <f>IF(VLOOKUP(A115,Data_NV!$A:$I,6,0)="Không",0,IF(Z115&lt;=X115,0,ROUNDDOWN((Z115-X115)*24*60,0)))</f>
        <v>0</v>
      </c>
      <c r="AF115" s="29">
        <f t="shared" si="7"/>
        <v>0</v>
      </c>
      <c r="AG115" s="30" t="str">
        <f>IF(AC115="","",IF(COUNTIFS($AC$3:AC115,"Quên chấm công",$S$3:S115,S115)&gt;3,"Không chấm công do vi phạm quá 3 lần",IF(COUNTIFS($AC$3:AC115,"Quên chấm công",$S$3:S115,S115)&gt;2,"Trừ toàn bộ chuyên cần tháng do vi phạm lần 3",IF(COUNTIFS($AC$3:AC115,"Quên chấm công",$S$3:S115,S115)&gt;1,"Trừ 1/2 ngày lương",50000))))</f>
        <v/>
      </c>
      <c r="AH115" s="14" t="str">
        <f>IF(COUNTIFS($AF$3:AF115,"&gt;0",$S$3:S115,S115)&gt;3,"Trừ toàn bộ chuyên cần tháng","")</f>
        <v/>
      </c>
      <c r="AI115" s="14"/>
      <c r="AJ115" s="14"/>
    </row>
    <row r="116" spans="1:36" x14ac:dyDescent="0.25">
      <c r="A116" s="4" t="s">
        <v>172</v>
      </c>
      <c r="B116" s="1" t="s">
        <v>173</v>
      </c>
      <c r="C116" s="1" t="s">
        <v>20</v>
      </c>
      <c r="D116" s="1" t="s">
        <v>116</v>
      </c>
      <c r="E116" s="1" t="s">
        <v>22</v>
      </c>
      <c r="F116" s="1" t="s">
        <v>23</v>
      </c>
      <c r="G116" s="1" t="s">
        <v>12</v>
      </c>
      <c r="H116" s="12" t="s">
        <v>192</v>
      </c>
      <c r="I116" s="1" t="s">
        <v>24</v>
      </c>
      <c r="J116" s="1" t="s">
        <v>25</v>
      </c>
      <c r="K116" s="1" t="s">
        <v>25</v>
      </c>
      <c r="L116" s="1" t="s">
        <v>26</v>
      </c>
      <c r="M116" s="1" t="s">
        <v>25</v>
      </c>
      <c r="N116" s="1" t="s">
        <v>25</v>
      </c>
      <c r="O116" s="1" t="s">
        <v>25</v>
      </c>
      <c r="P116" s="1" t="s">
        <v>25</v>
      </c>
      <c r="Q116" s="1" t="s">
        <v>25</v>
      </c>
      <c r="R116" s="70" t="str">
        <f t="shared" si="4"/>
        <v>1245924</v>
      </c>
      <c r="S116" t="str">
        <f>VLOOKUP(A116,Data_NV!$A:$C,3,0)</f>
        <v xml:space="preserve"> Hoàng Đức Thanh    </v>
      </c>
      <c r="T116" t="str">
        <f>VLOOKUP(A116,Data_NV!$A:$E,4,0)</f>
        <v>Vận Hành</v>
      </c>
      <c r="U116" s="67">
        <f>DATEVALUE(Table2[[#This Row],[Ngày]])</f>
        <v>45924</v>
      </c>
      <c r="V116" t="str">
        <f>VLOOKUP(A116,Data_NV!$A:$E,5,0)</f>
        <v>Đang làm việc</v>
      </c>
      <c r="W116" s="11">
        <f>VLOOKUP(A116,Data_NV!$A:$I,8,0)</f>
        <v>0.3125</v>
      </c>
      <c r="X116" s="11">
        <f>VLOOKUP(A116,Data_NV!$A:$I,9,0)</f>
        <v>0.6875</v>
      </c>
      <c r="Y116" s="11">
        <f>IFERROR(TIMEVALUE(Table2[[#This Row],[Vào]]),0)</f>
        <v>0.30063657407407407</v>
      </c>
      <c r="Z116" s="11">
        <f>IFERROR(TIMEVALUE(Table2[[#This Row],[Ra]]),0)</f>
        <v>0</v>
      </c>
      <c r="AA116" t="str">
        <f t="shared" si="5"/>
        <v>x</v>
      </c>
      <c r="AB116" s="14">
        <f t="shared" si="6"/>
        <v>0</v>
      </c>
      <c r="AC116" s="14" t="str">
        <f>IF(VLOOKUP(A116,Data_NV!$A:$I,7,0)="Không","",IF(OR(AND(Y116=0,Z116=0),AND(Y116&lt;&gt;0,Z116&lt;&gt;0)),"","Quên chấm công"))</f>
        <v/>
      </c>
      <c r="AD116" s="14">
        <f>IF(VLOOKUP(A116,Data_NV!$A:$I,7,0)="Không",0,IF(AND(Y116=0,Z116=0),0,IF(X116&lt;=Z116,0,ROUNDDOWN((X116-Z116)*24*60,0))))</f>
        <v>0</v>
      </c>
      <c r="AE116" s="14">
        <f>IF(VLOOKUP(A116,Data_NV!$A:$I,6,0)="Không",0,IF(Z116&lt;=X116,0,ROUNDDOWN((Z116-X116)*24*60,0)))</f>
        <v>0</v>
      </c>
      <c r="AF116" s="29">
        <f t="shared" si="7"/>
        <v>0</v>
      </c>
      <c r="AG116" s="30" t="str">
        <f>IF(AC116="","",IF(COUNTIFS($AC$3:AC116,"Quên chấm công",$S$3:S116,S116)&gt;3,"Không chấm công do vi phạm quá 3 lần",IF(COUNTIFS($AC$3:AC116,"Quên chấm công",$S$3:S116,S116)&gt;2,"Trừ toàn bộ chuyên cần tháng do vi phạm lần 3",IF(COUNTIFS($AC$3:AC116,"Quên chấm công",$S$3:S116,S116)&gt;1,"Trừ 1/2 ngày lương",50000))))</f>
        <v/>
      </c>
      <c r="AH116" s="14" t="str">
        <f>IF(COUNTIFS($AF$3:AF116,"&gt;0",$S$3:S116,S116)&gt;3,"Trừ toàn bộ chuyên cần tháng","")</f>
        <v/>
      </c>
      <c r="AI116" s="14"/>
      <c r="AJ116" s="14"/>
    </row>
    <row r="117" spans="1:36" x14ac:dyDescent="0.25">
      <c r="A117" s="4" t="s">
        <v>172</v>
      </c>
      <c r="B117" s="1" t="s">
        <v>173</v>
      </c>
      <c r="C117" s="1" t="s">
        <v>20</v>
      </c>
      <c r="D117" s="1" t="s">
        <v>121</v>
      </c>
      <c r="E117" s="1" t="s">
        <v>22</v>
      </c>
      <c r="F117" s="1" t="s">
        <v>23</v>
      </c>
      <c r="G117" s="1" t="s">
        <v>12</v>
      </c>
      <c r="H117" s="12" t="s">
        <v>193</v>
      </c>
      <c r="I117" s="1" t="s">
        <v>24</v>
      </c>
      <c r="J117" s="1" t="s">
        <v>25</v>
      </c>
      <c r="K117" s="1" t="s">
        <v>25</v>
      </c>
      <c r="L117" s="1" t="s">
        <v>26</v>
      </c>
      <c r="M117" s="1" t="s">
        <v>25</v>
      </c>
      <c r="N117" s="1" t="s">
        <v>25</v>
      </c>
      <c r="O117" s="1" t="s">
        <v>25</v>
      </c>
      <c r="P117" s="1" t="s">
        <v>25</v>
      </c>
      <c r="Q117" s="1" t="s">
        <v>25</v>
      </c>
      <c r="R117" s="70" t="str">
        <f t="shared" si="4"/>
        <v>1245925</v>
      </c>
      <c r="S117" t="str">
        <f>VLOOKUP(A117,Data_NV!$A:$C,3,0)</f>
        <v xml:space="preserve"> Hoàng Đức Thanh    </v>
      </c>
      <c r="T117" t="str">
        <f>VLOOKUP(A117,Data_NV!$A:$E,4,0)</f>
        <v>Vận Hành</v>
      </c>
      <c r="U117" s="67">
        <f>DATEVALUE(Table2[[#This Row],[Ngày]])</f>
        <v>45925</v>
      </c>
      <c r="V117" t="str">
        <f>VLOOKUP(A117,Data_NV!$A:$E,5,0)</f>
        <v>Đang làm việc</v>
      </c>
      <c r="W117" s="11">
        <f>VLOOKUP(A117,Data_NV!$A:$I,8,0)</f>
        <v>0.3125</v>
      </c>
      <c r="X117" s="11">
        <f>VLOOKUP(A117,Data_NV!$A:$I,9,0)</f>
        <v>0.6875</v>
      </c>
      <c r="Y117" s="11">
        <f>IFERROR(TIMEVALUE(Table2[[#This Row],[Vào]]),0)</f>
        <v>0.30037037037037034</v>
      </c>
      <c r="Z117" s="11">
        <f>IFERROR(TIMEVALUE(Table2[[#This Row],[Ra]]),0)</f>
        <v>0</v>
      </c>
      <c r="AA117" t="str">
        <f t="shared" si="5"/>
        <v>x</v>
      </c>
      <c r="AB117" s="14">
        <f t="shared" si="6"/>
        <v>0</v>
      </c>
      <c r="AC117" s="14" t="str">
        <f>IF(VLOOKUP(A117,Data_NV!$A:$I,7,0)="Không","",IF(OR(AND(Y117=0,Z117=0),AND(Y117&lt;&gt;0,Z117&lt;&gt;0)),"","Quên chấm công"))</f>
        <v/>
      </c>
      <c r="AD117" s="14">
        <f>IF(VLOOKUP(A117,Data_NV!$A:$I,7,0)="Không",0,IF(AND(Y117=0,Z117=0),0,IF(X117&lt;=Z117,0,ROUNDDOWN((X117-Z117)*24*60,0))))</f>
        <v>0</v>
      </c>
      <c r="AE117" s="14">
        <f>IF(VLOOKUP(A117,Data_NV!$A:$I,6,0)="Không",0,IF(Z117&lt;=X117,0,ROUNDDOWN((Z117-X117)*24*60,0)))</f>
        <v>0</v>
      </c>
      <c r="AF117" s="29">
        <f t="shared" si="7"/>
        <v>0</v>
      </c>
      <c r="AG117" s="30" t="str">
        <f>IF(AC117="","",IF(COUNTIFS($AC$3:AC117,"Quên chấm công",$S$3:S117,S117)&gt;3,"Không chấm công do vi phạm quá 3 lần",IF(COUNTIFS($AC$3:AC117,"Quên chấm công",$S$3:S117,S117)&gt;2,"Trừ toàn bộ chuyên cần tháng do vi phạm lần 3",IF(COUNTIFS($AC$3:AC117,"Quên chấm công",$S$3:S117,S117)&gt;1,"Trừ 1/2 ngày lương",50000))))</f>
        <v/>
      </c>
      <c r="AH117" s="14" t="str">
        <f>IF(COUNTIFS($AF$3:AF117,"&gt;0",$S$3:S117,S117)&gt;3,"Trừ toàn bộ chuyên cần tháng","")</f>
        <v/>
      </c>
      <c r="AI117" s="14"/>
      <c r="AJ117" s="14"/>
    </row>
    <row r="118" spans="1:36" x14ac:dyDescent="0.25">
      <c r="A118" s="4" t="s">
        <v>172</v>
      </c>
      <c r="B118" s="1" t="s">
        <v>173</v>
      </c>
      <c r="C118" s="1" t="s">
        <v>20</v>
      </c>
      <c r="D118" s="1" t="s">
        <v>123</v>
      </c>
      <c r="E118" s="1" t="s">
        <v>22</v>
      </c>
      <c r="F118" s="1" t="s">
        <v>23</v>
      </c>
      <c r="G118" s="1" t="s">
        <v>12</v>
      </c>
      <c r="H118" s="12" t="s">
        <v>194</v>
      </c>
      <c r="I118" s="1" t="s">
        <v>24</v>
      </c>
      <c r="J118" s="1" t="s">
        <v>25</v>
      </c>
      <c r="K118" s="1" t="s">
        <v>25</v>
      </c>
      <c r="L118" s="1" t="s">
        <v>26</v>
      </c>
      <c r="M118" s="1" t="s">
        <v>25</v>
      </c>
      <c r="N118" s="1" t="s">
        <v>25</v>
      </c>
      <c r="O118" s="1" t="s">
        <v>25</v>
      </c>
      <c r="P118" s="1" t="s">
        <v>25</v>
      </c>
      <c r="Q118" s="1" t="s">
        <v>25</v>
      </c>
      <c r="R118" s="70" t="str">
        <f t="shared" si="4"/>
        <v>1245926</v>
      </c>
      <c r="S118" t="str">
        <f>VLOOKUP(A118,Data_NV!$A:$C,3,0)</f>
        <v xml:space="preserve"> Hoàng Đức Thanh    </v>
      </c>
      <c r="T118" t="str">
        <f>VLOOKUP(A118,Data_NV!$A:$E,4,0)</f>
        <v>Vận Hành</v>
      </c>
      <c r="U118" s="67">
        <f>DATEVALUE(Table2[[#This Row],[Ngày]])</f>
        <v>45926</v>
      </c>
      <c r="V118" t="str">
        <f>VLOOKUP(A118,Data_NV!$A:$E,5,0)</f>
        <v>Đang làm việc</v>
      </c>
      <c r="W118" s="11">
        <f>VLOOKUP(A118,Data_NV!$A:$I,8,0)</f>
        <v>0.3125</v>
      </c>
      <c r="X118" s="11">
        <f>VLOOKUP(A118,Data_NV!$A:$I,9,0)</f>
        <v>0.6875</v>
      </c>
      <c r="Y118" s="11">
        <f>IFERROR(TIMEVALUE(Table2[[#This Row],[Vào]]),0)</f>
        <v>0.3059722222222222</v>
      </c>
      <c r="Z118" s="11">
        <f>IFERROR(TIMEVALUE(Table2[[#This Row],[Ra]]),0)</f>
        <v>0</v>
      </c>
      <c r="AA118" t="str">
        <f t="shared" si="5"/>
        <v>x</v>
      </c>
      <c r="AB118" s="14">
        <f t="shared" si="6"/>
        <v>0</v>
      </c>
      <c r="AC118" s="14" t="str">
        <f>IF(VLOOKUP(A118,Data_NV!$A:$I,7,0)="Không","",IF(OR(AND(Y118=0,Z118=0),AND(Y118&lt;&gt;0,Z118&lt;&gt;0)),"","Quên chấm công"))</f>
        <v/>
      </c>
      <c r="AD118" s="14">
        <f>IF(VLOOKUP(A118,Data_NV!$A:$I,7,0)="Không",0,IF(AND(Y118=0,Z118=0),0,IF(X118&lt;=Z118,0,ROUNDDOWN((X118-Z118)*24*60,0))))</f>
        <v>0</v>
      </c>
      <c r="AE118" s="14">
        <f>IF(VLOOKUP(A118,Data_NV!$A:$I,6,0)="Không",0,IF(Z118&lt;=X118,0,ROUNDDOWN((Z118-X118)*24*60,0)))</f>
        <v>0</v>
      </c>
      <c r="AF118" s="29">
        <f t="shared" si="7"/>
        <v>0</v>
      </c>
      <c r="AG118" s="30" t="str">
        <f>IF(AC118="","",IF(COUNTIFS($AC$3:AC118,"Quên chấm công",$S$3:S118,S118)&gt;3,"Không chấm công do vi phạm quá 3 lần",IF(COUNTIFS($AC$3:AC118,"Quên chấm công",$S$3:S118,S118)&gt;2,"Trừ toàn bộ chuyên cần tháng do vi phạm lần 3",IF(COUNTIFS($AC$3:AC118,"Quên chấm công",$S$3:S118,S118)&gt;1,"Trừ 1/2 ngày lương",50000))))</f>
        <v/>
      </c>
      <c r="AH118" s="14" t="str">
        <f>IF(COUNTIFS($AF$3:AF118,"&gt;0",$S$3:S118,S118)&gt;3,"Trừ toàn bộ chuyên cần tháng","")</f>
        <v/>
      </c>
      <c r="AI118" s="14"/>
      <c r="AJ118" s="14"/>
    </row>
    <row r="119" spans="1:36" x14ac:dyDescent="0.25">
      <c r="A119" s="4" t="s">
        <v>172</v>
      </c>
      <c r="B119" s="1" t="s">
        <v>173</v>
      </c>
      <c r="C119" s="1" t="s">
        <v>20</v>
      </c>
      <c r="D119" s="1" t="s">
        <v>125</v>
      </c>
      <c r="E119" s="1" t="s">
        <v>22</v>
      </c>
      <c r="F119" s="1" t="s">
        <v>23</v>
      </c>
      <c r="G119" s="1" t="s">
        <v>12</v>
      </c>
      <c r="H119" s="12" t="s">
        <v>195</v>
      </c>
      <c r="I119" s="1" t="s">
        <v>24</v>
      </c>
      <c r="J119" s="1" t="s">
        <v>25</v>
      </c>
      <c r="K119" s="1" t="s">
        <v>25</v>
      </c>
      <c r="L119" s="1" t="s">
        <v>26</v>
      </c>
      <c r="M119" s="1" t="s">
        <v>25</v>
      </c>
      <c r="N119" s="1" t="s">
        <v>25</v>
      </c>
      <c r="O119" s="1" t="s">
        <v>25</v>
      </c>
      <c r="P119" s="1" t="s">
        <v>25</v>
      </c>
      <c r="Q119" s="1" t="s">
        <v>25</v>
      </c>
      <c r="R119" s="70" t="str">
        <f t="shared" si="4"/>
        <v>1245927</v>
      </c>
      <c r="S119" t="str">
        <f>VLOOKUP(A119,Data_NV!$A:$C,3,0)</f>
        <v xml:space="preserve"> Hoàng Đức Thanh    </v>
      </c>
      <c r="T119" t="str">
        <f>VLOOKUP(A119,Data_NV!$A:$E,4,0)</f>
        <v>Vận Hành</v>
      </c>
      <c r="U119" s="67">
        <f>DATEVALUE(Table2[[#This Row],[Ngày]])</f>
        <v>45927</v>
      </c>
      <c r="V119" t="str">
        <f>VLOOKUP(A119,Data_NV!$A:$E,5,0)</f>
        <v>Đang làm việc</v>
      </c>
      <c r="W119" s="11">
        <f>VLOOKUP(A119,Data_NV!$A:$I,8,0)</f>
        <v>0.3125</v>
      </c>
      <c r="X119" s="11">
        <f>VLOOKUP(A119,Data_NV!$A:$I,9,0)</f>
        <v>0.6875</v>
      </c>
      <c r="Y119" s="11">
        <f>IFERROR(TIMEVALUE(Table2[[#This Row],[Vào]]),0)</f>
        <v>0.29939814814814814</v>
      </c>
      <c r="Z119" s="11">
        <f>IFERROR(TIMEVALUE(Table2[[#This Row],[Ra]]),0)</f>
        <v>0</v>
      </c>
      <c r="AA119" t="str">
        <f t="shared" si="5"/>
        <v>x</v>
      </c>
      <c r="AB119" s="14">
        <f t="shared" si="6"/>
        <v>0</v>
      </c>
      <c r="AC119" s="14" t="str">
        <f>IF(VLOOKUP(A119,Data_NV!$A:$I,7,0)="Không","",IF(OR(AND(Y119=0,Z119=0),AND(Y119&lt;&gt;0,Z119&lt;&gt;0)),"","Quên chấm công"))</f>
        <v/>
      </c>
      <c r="AD119" s="14">
        <f>IF(VLOOKUP(A119,Data_NV!$A:$I,7,0)="Không",0,IF(AND(Y119=0,Z119=0),0,IF(X119&lt;=Z119,0,ROUNDDOWN((X119-Z119)*24*60,0))))</f>
        <v>0</v>
      </c>
      <c r="AE119" s="14">
        <f>IF(VLOOKUP(A119,Data_NV!$A:$I,6,0)="Không",0,IF(Z119&lt;=X119,0,ROUNDDOWN((Z119-X119)*24*60,0)))</f>
        <v>0</v>
      </c>
      <c r="AF119" s="29">
        <f t="shared" si="7"/>
        <v>0</v>
      </c>
      <c r="AG119" s="30" t="str">
        <f>IF(AC119="","",IF(COUNTIFS($AC$3:AC119,"Quên chấm công",$S$3:S119,S119)&gt;3,"Không chấm công do vi phạm quá 3 lần",IF(COUNTIFS($AC$3:AC119,"Quên chấm công",$S$3:S119,S119)&gt;2,"Trừ toàn bộ chuyên cần tháng do vi phạm lần 3",IF(COUNTIFS($AC$3:AC119,"Quên chấm công",$S$3:S119,S119)&gt;1,"Trừ 1/2 ngày lương",50000))))</f>
        <v/>
      </c>
      <c r="AH119" s="14" t="str">
        <f>IF(COUNTIFS($AF$3:AF119,"&gt;0",$S$3:S119,S119)&gt;3,"Trừ toàn bộ chuyên cần tháng","")</f>
        <v/>
      </c>
      <c r="AI119" s="14"/>
      <c r="AJ119" s="14"/>
    </row>
    <row r="120" spans="1:36" x14ac:dyDescent="0.25">
      <c r="A120" s="4" t="s">
        <v>172</v>
      </c>
      <c r="B120" s="1" t="s">
        <v>173</v>
      </c>
      <c r="C120" s="1" t="s">
        <v>20</v>
      </c>
      <c r="D120" s="1" t="s">
        <v>130</v>
      </c>
      <c r="E120" s="1" t="s">
        <v>22</v>
      </c>
      <c r="F120" s="1" t="s">
        <v>23</v>
      </c>
      <c r="G120" s="1" t="s">
        <v>12</v>
      </c>
      <c r="H120" s="12" t="s">
        <v>24</v>
      </c>
      <c r="I120" s="1" t="s">
        <v>24</v>
      </c>
      <c r="J120" s="1" t="s">
        <v>25</v>
      </c>
      <c r="K120" s="1" t="s">
        <v>25</v>
      </c>
      <c r="L120" s="1" t="s">
        <v>26</v>
      </c>
      <c r="M120" s="1" t="s">
        <v>25</v>
      </c>
      <c r="N120" s="1" t="s">
        <v>25</v>
      </c>
      <c r="O120" s="1" t="s">
        <v>25</v>
      </c>
      <c r="P120" s="1" t="s">
        <v>25</v>
      </c>
      <c r="Q120" s="1" t="s">
        <v>25</v>
      </c>
      <c r="R120" s="70" t="str">
        <f t="shared" si="4"/>
        <v>1245928</v>
      </c>
      <c r="S120" t="str">
        <f>VLOOKUP(A120,Data_NV!$A:$C,3,0)</f>
        <v xml:space="preserve"> Hoàng Đức Thanh    </v>
      </c>
      <c r="T120" t="str">
        <f>VLOOKUP(A120,Data_NV!$A:$E,4,0)</f>
        <v>Vận Hành</v>
      </c>
      <c r="U120" s="67">
        <f>DATEVALUE(Table2[[#This Row],[Ngày]])</f>
        <v>45928</v>
      </c>
      <c r="V120" t="str">
        <f>VLOOKUP(A120,Data_NV!$A:$E,5,0)</f>
        <v>Đang làm việc</v>
      </c>
      <c r="W120" s="11">
        <f>VLOOKUP(A120,Data_NV!$A:$I,8,0)</f>
        <v>0.3125</v>
      </c>
      <c r="X120" s="11">
        <f>VLOOKUP(A120,Data_NV!$A:$I,9,0)</f>
        <v>0.6875</v>
      </c>
      <c r="Y120" s="11">
        <f>IFERROR(TIMEVALUE(Table2[[#This Row],[Vào]]),0)</f>
        <v>0</v>
      </c>
      <c r="Z120" s="11">
        <f>IFERROR(TIMEVALUE(Table2[[#This Row],[Ra]]),0)</f>
        <v>0</v>
      </c>
      <c r="AA120" t="str">
        <f t="shared" si="5"/>
        <v/>
      </c>
      <c r="AB120" s="14">
        <f t="shared" si="6"/>
        <v>0</v>
      </c>
      <c r="AC120" s="14" t="str">
        <f>IF(VLOOKUP(A120,Data_NV!$A:$I,7,0)="Không","",IF(OR(AND(Y120=0,Z120=0),AND(Y120&lt;&gt;0,Z120&lt;&gt;0)),"","Quên chấm công"))</f>
        <v/>
      </c>
      <c r="AD120" s="14">
        <f>IF(VLOOKUP(A120,Data_NV!$A:$I,7,0)="Không",0,IF(AND(Y120=0,Z120=0),0,IF(X120&lt;=Z120,0,ROUNDDOWN((X120-Z120)*24*60,0))))</f>
        <v>0</v>
      </c>
      <c r="AE120" s="14">
        <f>IF(VLOOKUP(A120,Data_NV!$A:$I,6,0)="Không",0,IF(Z120&lt;=X120,0,ROUNDDOWN((Z120-X120)*24*60,0)))</f>
        <v>0</v>
      </c>
      <c r="AF120" s="29">
        <f t="shared" si="7"/>
        <v>0</v>
      </c>
      <c r="AG120" s="30" t="str">
        <f>IF(AC120="","",IF(COUNTIFS($AC$3:AC120,"Quên chấm công",$S$3:S120,S120)&gt;3,"Không chấm công do vi phạm quá 3 lần",IF(COUNTIFS($AC$3:AC120,"Quên chấm công",$S$3:S120,S120)&gt;2,"Trừ toàn bộ chuyên cần tháng do vi phạm lần 3",IF(COUNTIFS($AC$3:AC120,"Quên chấm công",$S$3:S120,S120)&gt;1,"Trừ 1/2 ngày lương",50000))))</f>
        <v/>
      </c>
      <c r="AH120" s="14" t="str">
        <f>IF(COUNTIFS($AF$3:AF120,"&gt;0",$S$3:S120,S120)&gt;3,"Trừ toàn bộ chuyên cần tháng","")</f>
        <v/>
      </c>
      <c r="AI120" s="14"/>
      <c r="AJ120" s="14"/>
    </row>
    <row r="121" spans="1:36" x14ac:dyDescent="0.25">
      <c r="A121" s="4" t="s">
        <v>172</v>
      </c>
      <c r="B121" s="1" t="s">
        <v>173</v>
      </c>
      <c r="C121" s="1" t="s">
        <v>20</v>
      </c>
      <c r="D121" s="1" t="s">
        <v>131</v>
      </c>
      <c r="E121" s="1" t="s">
        <v>22</v>
      </c>
      <c r="F121" s="1" t="s">
        <v>23</v>
      </c>
      <c r="G121" s="1" t="s">
        <v>12</v>
      </c>
      <c r="H121" s="12" t="s">
        <v>196</v>
      </c>
      <c r="I121" s="1" t="s">
        <v>24</v>
      </c>
      <c r="J121" s="1" t="s">
        <v>25</v>
      </c>
      <c r="K121" s="1" t="s">
        <v>25</v>
      </c>
      <c r="L121" s="1" t="s">
        <v>26</v>
      </c>
      <c r="M121" s="1" t="s">
        <v>25</v>
      </c>
      <c r="N121" s="1" t="s">
        <v>25</v>
      </c>
      <c r="O121" s="1" t="s">
        <v>25</v>
      </c>
      <c r="P121" s="1" t="s">
        <v>25</v>
      </c>
      <c r="Q121" s="1" t="s">
        <v>25</v>
      </c>
      <c r="R121" s="70" t="str">
        <f t="shared" si="4"/>
        <v>1245929</v>
      </c>
      <c r="S121" t="str">
        <f>VLOOKUP(A121,Data_NV!$A:$C,3,0)</f>
        <v xml:space="preserve"> Hoàng Đức Thanh    </v>
      </c>
      <c r="T121" t="str">
        <f>VLOOKUP(A121,Data_NV!$A:$E,4,0)</f>
        <v>Vận Hành</v>
      </c>
      <c r="U121" s="67">
        <f>DATEVALUE(Table2[[#This Row],[Ngày]])</f>
        <v>45929</v>
      </c>
      <c r="V121" t="str">
        <f>VLOOKUP(A121,Data_NV!$A:$E,5,0)</f>
        <v>Đang làm việc</v>
      </c>
      <c r="W121" s="11">
        <f>VLOOKUP(A121,Data_NV!$A:$I,8,0)</f>
        <v>0.3125</v>
      </c>
      <c r="X121" s="11">
        <f>VLOOKUP(A121,Data_NV!$A:$I,9,0)</f>
        <v>0.6875</v>
      </c>
      <c r="Y121" s="11">
        <f>IFERROR(TIMEVALUE(Table2[[#This Row],[Vào]]),0)</f>
        <v>0.3102199074074074</v>
      </c>
      <c r="Z121" s="11">
        <f>IFERROR(TIMEVALUE(Table2[[#This Row],[Ra]]),0)</f>
        <v>0</v>
      </c>
      <c r="AA121" t="str">
        <f t="shared" si="5"/>
        <v>x</v>
      </c>
      <c r="AB121" s="14">
        <f t="shared" si="6"/>
        <v>0</v>
      </c>
      <c r="AC121" s="14" t="str">
        <f>IF(VLOOKUP(A121,Data_NV!$A:$I,7,0)="Không","",IF(OR(AND(Y121=0,Z121=0),AND(Y121&lt;&gt;0,Z121&lt;&gt;0)),"","Quên chấm công"))</f>
        <v/>
      </c>
      <c r="AD121" s="14">
        <f>IF(VLOOKUP(A121,Data_NV!$A:$I,7,0)="Không",0,IF(AND(Y121=0,Z121=0),0,IF(X121&lt;=Z121,0,ROUNDDOWN((X121-Z121)*24*60,0))))</f>
        <v>0</v>
      </c>
      <c r="AE121" s="14">
        <f>IF(VLOOKUP(A121,Data_NV!$A:$I,6,0)="Không",0,IF(Z121&lt;=X121,0,ROUNDDOWN((Z121-X121)*24*60,0)))</f>
        <v>0</v>
      </c>
      <c r="AF121" s="29">
        <f t="shared" si="7"/>
        <v>0</v>
      </c>
      <c r="AG121" s="30" t="str">
        <f>IF(AC121="","",IF(COUNTIFS($AC$3:AC121,"Quên chấm công",$S$3:S121,S121)&gt;3,"Không chấm công do vi phạm quá 3 lần",IF(COUNTIFS($AC$3:AC121,"Quên chấm công",$S$3:S121,S121)&gt;2,"Trừ toàn bộ chuyên cần tháng do vi phạm lần 3",IF(COUNTIFS($AC$3:AC121,"Quên chấm công",$S$3:S121,S121)&gt;1,"Trừ 1/2 ngày lương",50000))))</f>
        <v/>
      </c>
      <c r="AH121" s="14" t="str">
        <f>IF(COUNTIFS($AF$3:AF121,"&gt;0",$S$3:S121,S121)&gt;3,"Trừ toàn bộ chuyên cần tháng","")</f>
        <v/>
      </c>
      <c r="AI121" s="14"/>
      <c r="AJ121" s="14"/>
    </row>
    <row r="122" spans="1:36" x14ac:dyDescent="0.25">
      <c r="A122" s="4" t="s">
        <v>172</v>
      </c>
      <c r="B122" s="1" t="s">
        <v>173</v>
      </c>
      <c r="C122" s="1" t="s">
        <v>20</v>
      </c>
      <c r="D122" s="1" t="s">
        <v>136</v>
      </c>
      <c r="E122" s="1" t="s">
        <v>22</v>
      </c>
      <c r="F122" s="1" t="s">
        <v>23</v>
      </c>
      <c r="G122" s="1" t="s">
        <v>12</v>
      </c>
      <c r="H122" s="12" t="s">
        <v>197</v>
      </c>
      <c r="I122" s="1" t="s">
        <v>24</v>
      </c>
      <c r="J122" s="1" t="s">
        <v>25</v>
      </c>
      <c r="K122" s="1" t="s">
        <v>25</v>
      </c>
      <c r="L122" s="1" t="s">
        <v>26</v>
      </c>
      <c r="M122" s="1" t="s">
        <v>25</v>
      </c>
      <c r="N122" s="1" t="s">
        <v>25</v>
      </c>
      <c r="O122" s="1" t="s">
        <v>25</v>
      </c>
      <c r="P122" s="1" t="s">
        <v>25</v>
      </c>
      <c r="Q122" s="1" t="s">
        <v>25</v>
      </c>
      <c r="R122" s="70" t="str">
        <f t="shared" si="4"/>
        <v>1245930</v>
      </c>
      <c r="S122" t="str">
        <f>VLOOKUP(A122,Data_NV!$A:$C,3,0)</f>
        <v xml:space="preserve"> Hoàng Đức Thanh    </v>
      </c>
      <c r="T122" t="str">
        <f>VLOOKUP(A122,Data_NV!$A:$E,4,0)</f>
        <v>Vận Hành</v>
      </c>
      <c r="U122" s="67">
        <f>DATEVALUE(Table2[[#This Row],[Ngày]])</f>
        <v>45930</v>
      </c>
      <c r="V122" t="str">
        <f>VLOOKUP(A122,Data_NV!$A:$E,5,0)</f>
        <v>Đang làm việc</v>
      </c>
      <c r="W122" s="11">
        <f>VLOOKUP(A122,Data_NV!$A:$I,8,0)</f>
        <v>0.3125</v>
      </c>
      <c r="X122" s="11">
        <f>VLOOKUP(A122,Data_NV!$A:$I,9,0)</f>
        <v>0.6875</v>
      </c>
      <c r="Y122" s="11">
        <f>IFERROR(TIMEVALUE(Table2[[#This Row],[Vào]]),0)</f>
        <v>0.29749999999999999</v>
      </c>
      <c r="Z122" s="11">
        <f>IFERROR(TIMEVALUE(Table2[[#This Row],[Ra]]),0)</f>
        <v>0</v>
      </c>
      <c r="AA122" t="str">
        <f t="shared" si="5"/>
        <v>x</v>
      </c>
      <c r="AB122" s="14">
        <f t="shared" si="6"/>
        <v>0</v>
      </c>
      <c r="AC122" s="14" t="str">
        <f>IF(VLOOKUP(A122,Data_NV!$A:$I,7,0)="Không","",IF(OR(AND(Y122=0,Z122=0),AND(Y122&lt;&gt;0,Z122&lt;&gt;0)),"","Quên chấm công"))</f>
        <v/>
      </c>
      <c r="AD122" s="14">
        <f>IF(VLOOKUP(A122,Data_NV!$A:$I,7,0)="Không",0,IF(AND(Y122=0,Z122=0),0,IF(X122&lt;=Z122,0,ROUNDDOWN((X122-Z122)*24*60,0))))</f>
        <v>0</v>
      </c>
      <c r="AE122" s="14">
        <f>IF(VLOOKUP(A122,Data_NV!$A:$I,6,0)="Không",0,IF(Z122&lt;=X122,0,ROUNDDOWN((Z122-X122)*24*60,0)))</f>
        <v>0</v>
      </c>
      <c r="AF122" s="29">
        <f t="shared" si="7"/>
        <v>0</v>
      </c>
      <c r="AG122" s="30" t="str">
        <f>IF(AC122="","",IF(COUNTIFS($AC$3:AC122,"Quên chấm công",$S$3:S122,S122)&gt;3,"Không chấm công do vi phạm quá 3 lần",IF(COUNTIFS($AC$3:AC122,"Quên chấm công",$S$3:S122,S122)&gt;2,"Trừ toàn bộ chuyên cần tháng do vi phạm lần 3",IF(COUNTIFS($AC$3:AC122,"Quên chấm công",$S$3:S122,S122)&gt;1,"Trừ 1/2 ngày lương",50000))))</f>
        <v/>
      </c>
      <c r="AH122" s="14" t="str">
        <f>IF(COUNTIFS($AF$3:AF122,"&gt;0",$S$3:S122,S122)&gt;3,"Trừ toàn bộ chuyên cần tháng","")</f>
        <v/>
      </c>
      <c r="AI122" s="14"/>
      <c r="AJ122" s="14"/>
    </row>
    <row r="123" spans="1:36" x14ac:dyDescent="0.25">
      <c r="A123" s="4" t="s">
        <v>198</v>
      </c>
      <c r="B123" s="1" t="s">
        <v>199</v>
      </c>
      <c r="C123" s="1" t="s">
        <v>20</v>
      </c>
      <c r="D123" s="1" t="s">
        <v>21</v>
      </c>
      <c r="E123" s="1" t="s">
        <v>22</v>
      </c>
      <c r="F123" s="1" t="s">
        <v>23</v>
      </c>
      <c r="G123" s="1" t="s">
        <v>12</v>
      </c>
      <c r="H123" s="12" t="s">
        <v>24</v>
      </c>
      <c r="I123" s="1" t="s">
        <v>24</v>
      </c>
      <c r="J123" s="1" t="s">
        <v>25</v>
      </c>
      <c r="K123" s="1" t="s">
        <v>25</v>
      </c>
      <c r="L123" s="1" t="s">
        <v>26</v>
      </c>
      <c r="M123" s="1" t="s">
        <v>25</v>
      </c>
      <c r="N123" s="1" t="s">
        <v>25</v>
      </c>
      <c r="O123" s="1" t="s">
        <v>25</v>
      </c>
      <c r="P123" s="1" t="s">
        <v>25</v>
      </c>
      <c r="Q123" s="1" t="s">
        <v>25</v>
      </c>
      <c r="R123" s="70" t="str">
        <f t="shared" si="4"/>
        <v>1345901</v>
      </c>
      <c r="S123" t="str">
        <f>VLOOKUP(A123,Data_NV!$A:$C,3,0)</f>
        <v xml:space="preserve"> Nguyễn Quốc Minh   </v>
      </c>
      <c r="T123" t="str">
        <f>VLOOKUP(A123,Data_NV!$A:$E,4,0)</f>
        <v>Vận Hành</v>
      </c>
      <c r="U123" s="67">
        <f>DATEVALUE(Table2[[#This Row],[Ngày]])</f>
        <v>45901</v>
      </c>
      <c r="V123" t="str">
        <f>VLOOKUP(A123,Data_NV!$A:$E,5,0)</f>
        <v>Đang làm việc</v>
      </c>
      <c r="W123" s="11">
        <f>VLOOKUP(A123,Data_NV!$A:$I,8,0)</f>
        <v>0.3125</v>
      </c>
      <c r="X123" s="11">
        <f>VLOOKUP(A123,Data_NV!$A:$I,9,0)</f>
        <v>0.6875</v>
      </c>
      <c r="Y123" s="11">
        <f>IFERROR(TIMEVALUE(Table2[[#This Row],[Vào]]),0)</f>
        <v>0</v>
      </c>
      <c r="Z123" s="11">
        <f>IFERROR(TIMEVALUE(Table2[[#This Row],[Ra]]),0)</f>
        <v>0</v>
      </c>
      <c r="AA123" s="10" t="s">
        <v>771</v>
      </c>
      <c r="AB123" s="14">
        <f t="shared" si="6"/>
        <v>0</v>
      </c>
      <c r="AC123" s="14" t="str">
        <f>IF(VLOOKUP(A123,Data_NV!$A:$I,7,0)="Không","",IF(OR(AND(Y123=0,Z123=0),AND(Y123&lt;&gt;0,Z123&lt;&gt;0)),"","Quên chấm công"))</f>
        <v/>
      </c>
      <c r="AD123" s="14">
        <f>IF(VLOOKUP(A123,Data_NV!$A:$I,7,0)="Không",0,IF(AND(Y123=0,Z123=0),0,IF(X123&lt;=Z123,0,ROUNDDOWN((X123-Z123)*24*60,0))))</f>
        <v>0</v>
      </c>
      <c r="AE123" s="14">
        <f>IF(VLOOKUP(A123,Data_NV!$A:$I,6,0)="Không",0,IF(Z123&lt;=X123,0,ROUNDDOWN((Z123-X123)*24*60,0)))</f>
        <v>0</v>
      </c>
      <c r="AF123" s="29">
        <f t="shared" si="7"/>
        <v>0</v>
      </c>
      <c r="AG123" s="30" t="str">
        <f>IF(AC123="","",IF(COUNTIFS($AC$3:AC123,"Quên chấm công",$S$3:S123,S123)&gt;3,"Không chấm công do vi phạm quá 3 lần",IF(COUNTIFS($AC$3:AC123,"Quên chấm công",$S$3:S123,S123)&gt;2,"Trừ toàn bộ chuyên cần tháng do vi phạm lần 3",IF(COUNTIFS($AC$3:AC123,"Quên chấm công",$S$3:S123,S123)&gt;1,"Trừ 1/2 ngày lương",50000))))</f>
        <v/>
      </c>
      <c r="AH123" s="14" t="str">
        <f>IF(COUNTIFS($AF$3:AF123,"&gt;0",$S$3:S123,S123)&gt;3,"Trừ toàn bộ chuyên cần tháng","")</f>
        <v/>
      </c>
      <c r="AI123" s="14"/>
      <c r="AJ123" s="14"/>
    </row>
    <row r="124" spans="1:36" x14ac:dyDescent="0.25">
      <c r="A124" s="4" t="s">
        <v>198</v>
      </c>
      <c r="B124" s="1" t="s">
        <v>199</v>
      </c>
      <c r="C124" s="1" t="s">
        <v>20</v>
      </c>
      <c r="D124" s="1" t="s">
        <v>27</v>
      </c>
      <c r="E124" s="1" t="s">
        <v>22</v>
      </c>
      <c r="F124" s="1" t="s">
        <v>23</v>
      </c>
      <c r="G124" s="1" t="s">
        <v>12</v>
      </c>
      <c r="H124" s="12" t="s">
        <v>24</v>
      </c>
      <c r="I124" s="1" t="s">
        <v>24</v>
      </c>
      <c r="J124" s="1" t="s">
        <v>25</v>
      </c>
      <c r="K124" s="1" t="s">
        <v>25</v>
      </c>
      <c r="L124" s="1" t="s">
        <v>26</v>
      </c>
      <c r="M124" s="1" t="s">
        <v>25</v>
      </c>
      <c r="N124" s="1" t="s">
        <v>25</v>
      </c>
      <c r="O124" s="1" t="s">
        <v>25</v>
      </c>
      <c r="P124" s="1" t="s">
        <v>25</v>
      </c>
      <c r="Q124" s="1" t="s">
        <v>25</v>
      </c>
      <c r="R124" s="70" t="str">
        <f t="shared" si="4"/>
        <v>1345902</v>
      </c>
      <c r="S124" t="str">
        <f>VLOOKUP(A124,Data_NV!$A:$C,3,0)</f>
        <v xml:space="preserve"> Nguyễn Quốc Minh   </v>
      </c>
      <c r="T124" t="str">
        <f>VLOOKUP(A124,Data_NV!$A:$E,4,0)</f>
        <v>Vận Hành</v>
      </c>
      <c r="U124" s="67">
        <f>DATEVALUE(Table2[[#This Row],[Ngày]])</f>
        <v>45902</v>
      </c>
      <c r="V124" t="str">
        <f>VLOOKUP(A124,Data_NV!$A:$E,5,0)</f>
        <v>Đang làm việc</v>
      </c>
      <c r="W124" s="11">
        <f>VLOOKUP(A124,Data_NV!$A:$I,8,0)</f>
        <v>0.3125</v>
      </c>
      <c r="X124" s="11">
        <f>VLOOKUP(A124,Data_NV!$A:$I,9,0)</f>
        <v>0.6875</v>
      </c>
      <c r="Y124" s="11">
        <f>IFERROR(TIMEVALUE(Table2[[#This Row],[Vào]]),0)</f>
        <v>0</v>
      </c>
      <c r="Z124" s="11">
        <f>IFERROR(TIMEVALUE(Table2[[#This Row],[Ra]]),0)</f>
        <v>0</v>
      </c>
      <c r="AA124" s="10" t="s">
        <v>771</v>
      </c>
      <c r="AB124" s="14">
        <f t="shared" si="6"/>
        <v>0</v>
      </c>
      <c r="AC124" s="14" t="str">
        <f>IF(VLOOKUP(A124,Data_NV!$A:$I,7,0)="Không","",IF(OR(AND(Y124=0,Z124=0),AND(Y124&lt;&gt;0,Z124&lt;&gt;0)),"","Quên chấm công"))</f>
        <v/>
      </c>
      <c r="AD124" s="14">
        <f>IF(VLOOKUP(A124,Data_NV!$A:$I,7,0)="Không",0,IF(AND(Y124=0,Z124=0),0,IF(X124&lt;=Z124,0,ROUNDDOWN((X124-Z124)*24*60,0))))</f>
        <v>0</v>
      </c>
      <c r="AE124" s="14">
        <f>IF(VLOOKUP(A124,Data_NV!$A:$I,6,0)="Không",0,IF(Z124&lt;=X124,0,ROUNDDOWN((Z124-X124)*24*60,0)))</f>
        <v>0</v>
      </c>
      <c r="AF124" s="29">
        <f t="shared" si="7"/>
        <v>0</v>
      </c>
      <c r="AG124" s="30" t="str">
        <f>IF(AC124="","",IF(COUNTIFS($AC$3:AC124,"Quên chấm công",$S$3:S124,S124)&gt;3,"Không chấm công do vi phạm quá 3 lần",IF(COUNTIFS($AC$3:AC124,"Quên chấm công",$S$3:S124,S124)&gt;2,"Trừ toàn bộ chuyên cần tháng do vi phạm lần 3",IF(COUNTIFS($AC$3:AC124,"Quên chấm công",$S$3:S124,S124)&gt;1,"Trừ 1/2 ngày lương",50000))))</f>
        <v/>
      </c>
      <c r="AH124" s="14" t="str">
        <f>IF(COUNTIFS($AF$3:AF124,"&gt;0",$S$3:S124,S124)&gt;3,"Trừ toàn bộ chuyên cần tháng","")</f>
        <v/>
      </c>
      <c r="AI124" s="14"/>
      <c r="AJ124" s="14"/>
    </row>
    <row r="125" spans="1:36" x14ac:dyDescent="0.25">
      <c r="A125" s="4" t="s">
        <v>198</v>
      </c>
      <c r="B125" s="1" t="s">
        <v>199</v>
      </c>
      <c r="C125" s="1" t="s">
        <v>20</v>
      </c>
      <c r="D125" s="1" t="s">
        <v>28</v>
      </c>
      <c r="E125" s="1" t="s">
        <v>22</v>
      </c>
      <c r="F125" s="1" t="s">
        <v>23</v>
      </c>
      <c r="G125" s="1" t="s">
        <v>12</v>
      </c>
      <c r="H125" s="12" t="s">
        <v>200</v>
      </c>
      <c r="I125" s="1" t="s">
        <v>24</v>
      </c>
      <c r="J125" s="1" t="s">
        <v>25</v>
      </c>
      <c r="K125" s="1" t="s">
        <v>25</v>
      </c>
      <c r="L125" s="1" t="s">
        <v>26</v>
      </c>
      <c r="M125" s="1" t="s">
        <v>25</v>
      </c>
      <c r="N125" s="1" t="s">
        <v>25</v>
      </c>
      <c r="O125" s="1" t="s">
        <v>25</v>
      </c>
      <c r="P125" s="1" t="s">
        <v>25</v>
      </c>
      <c r="Q125" s="1" t="s">
        <v>25</v>
      </c>
      <c r="R125" s="70" t="str">
        <f t="shared" si="4"/>
        <v>1345903</v>
      </c>
      <c r="S125" t="str">
        <f>VLOOKUP(A125,Data_NV!$A:$C,3,0)</f>
        <v xml:space="preserve"> Nguyễn Quốc Minh   </v>
      </c>
      <c r="T125" t="str">
        <f>VLOOKUP(A125,Data_NV!$A:$E,4,0)</f>
        <v>Vận Hành</v>
      </c>
      <c r="U125" s="67">
        <f>DATEVALUE(Table2[[#This Row],[Ngày]])</f>
        <v>45903</v>
      </c>
      <c r="V125" t="str">
        <f>VLOOKUP(A125,Data_NV!$A:$E,5,0)</f>
        <v>Đang làm việc</v>
      </c>
      <c r="W125" s="11">
        <f>VLOOKUP(A125,Data_NV!$A:$I,8,0)</f>
        <v>0.3125</v>
      </c>
      <c r="X125" s="11">
        <f>VLOOKUP(A125,Data_NV!$A:$I,9,0)</f>
        <v>0.6875</v>
      </c>
      <c r="Y125" s="11">
        <f>IFERROR(TIMEVALUE(Table2[[#This Row],[Vào]]),0)</f>
        <v>0.29524305555555558</v>
      </c>
      <c r="Z125" s="11">
        <f>IFERROR(TIMEVALUE(Table2[[#This Row],[Ra]]),0)</f>
        <v>0</v>
      </c>
      <c r="AA125" t="str">
        <f t="shared" si="5"/>
        <v>x</v>
      </c>
      <c r="AB125" s="14">
        <f t="shared" si="6"/>
        <v>0</v>
      </c>
      <c r="AC125" s="14" t="str">
        <f>IF(VLOOKUP(A125,Data_NV!$A:$I,7,0)="Không","",IF(OR(AND(Y125=0,Z125=0),AND(Y125&lt;&gt;0,Z125&lt;&gt;0)),"","Quên chấm công"))</f>
        <v/>
      </c>
      <c r="AD125" s="14">
        <f>IF(VLOOKUP(A125,Data_NV!$A:$I,7,0)="Không",0,IF(AND(Y125=0,Z125=0),0,IF(X125&lt;=Z125,0,ROUNDDOWN((X125-Z125)*24*60,0))))</f>
        <v>0</v>
      </c>
      <c r="AE125" s="14">
        <f>IF(VLOOKUP(A125,Data_NV!$A:$I,6,0)="Không",0,IF(Z125&lt;=X125,0,ROUNDDOWN((Z125-X125)*24*60,0)))</f>
        <v>0</v>
      </c>
      <c r="AF125" s="29">
        <f t="shared" si="7"/>
        <v>0</v>
      </c>
      <c r="AG125" s="30" t="str">
        <f>IF(AC125="","",IF(COUNTIFS($AC$3:AC125,"Quên chấm công",$S$3:S125,S125)&gt;3,"Không chấm công do vi phạm quá 3 lần",IF(COUNTIFS($AC$3:AC125,"Quên chấm công",$S$3:S125,S125)&gt;2,"Trừ toàn bộ chuyên cần tháng do vi phạm lần 3",IF(COUNTIFS($AC$3:AC125,"Quên chấm công",$S$3:S125,S125)&gt;1,"Trừ 1/2 ngày lương",50000))))</f>
        <v/>
      </c>
      <c r="AH125" s="14" t="str">
        <f>IF(COUNTIFS($AF$3:AF125,"&gt;0",$S$3:S125,S125)&gt;3,"Trừ toàn bộ chuyên cần tháng","")</f>
        <v/>
      </c>
      <c r="AI125" s="14"/>
      <c r="AJ125" s="14"/>
    </row>
    <row r="126" spans="1:36" x14ac:dyDescent="0.25">
      <c r="A126" s="4" t="s">
        <v>198</v>
      </c>
      <c r="B126" s="1" t="s">
        <v>199</v>
      </c>
      <c r="C126" s="1" t="s">
        <v>20</v>
      </c>
      <c r="D126" s="1" t="s">
        <v>35</v>
      </c>
      <c r="E126" s="1" t="s">
        <v>22</v>
      </c>
      <c r="F126" s="1" t="s">
        <v>23</v>
      </c>
      <c r="G126" s="1" t="s">
        <v>12</v>
      </c>
      <c r="H126" s="12" t="s">
        <v>24</v>
      </c>
      <c r="I126" s="1" t="s">
        <v>24</v>
      </c>
      <c r="J126" s="1" t="s">
        <v>25</v>
      </c>
      <c r="K126" s="1" t="s">
        <v>25</v>
      </c>
      <c r="L126" s="1" t="s">
        <v>26</v>
      </c>
      <c r="M126" s="1" t="s">
        <v>25</v>
      </c>
      <c r="N126" s="1" t="s">
        <v>25</v>
      </c>
      <c r="O126" s="1" t="s">
        <v>25</v>
      </c>
      <c r="P126" s="1" t="s">
        <v>25</v>
      </c>
      <c r="Q126" s="1" t="s">
        <v>25</v>
      </c>
      <c r="R126" s="70" t="str">
        <f t="shared" si="4"/>
        <v>1345904</v>
      </c>
      <c r="S126" t="str">
        <f>VLOOKUP(A126,Data_NV!$A:$C,3,0)</f>
        <v xml:space="preserve"> Nguyễn Quốc Minh   </v>
      </c>
      <c r="T126" t="str">
        <f>VLOOKUP(A126,Data_NV!$A:$E,4,0)</f>
        <v>Vận Hành</v>
      </c>
      <c r="U126" s="67">
        <f>DATEVALUE(Table2[[#This Row],[Ngày]])</f>
        <v>45904</v>
      </c>
      <c r="V126" t="str">
        <f>VLOOKUP(A126,Data_NV!$A:$E,5,0)</f>
        <v>Đang làm việc</v>
      </c>
      <c r="W126" s="11">
        <f>VLOOKUP(A126,Data_NV!$A:$I,8,0)</f>
        <v>0.3125</v>
      </c>
      <c r="X126" s="11">
        <f>VLOOKUP(A126,Data_NV!$A:$I,9,0)</f>
        <v>0.6875</v>
      </c>
      <c r="Y126" s="11">
        <f>IFERROR(TIMEVALUE(Table2[[#This Row],[Vào]]),0)</f>
        <v>0</v>
      </c>
      <c r="Z126" s="11">
        <f>IFERROR(TIMEVALUE(Table2[[#This Row],[Ra]]),0)</f>
        <v>0</v>
      </c>
      <c r="AA126" t="str">
        <f t="shared" si="5"/>
        <v/>
      </c>
      <c r="AB126" s="14">
        <f t="shared" si="6"/>
        <v>0</v>
      </c>
      <c r="AC126" s="14" t="str">
        <f>IF(VLOOKUP(A126,Data_NV!$A:$I,7,0)="Không","",IF(OR(AND(Y126=0,Z126=0),AND(Y126&lt;&gt;0,Z126&lt;&gt;0)),"","Quên chấm công"))</f>
        <v/>
      </c>
      <c r="AD126" s="14">
        <f>IF(VLOOKUP(A126,Data_NV!$A:$I,7,0)="Không",0,IF(AND(Y126=0,Z126=0),0,IF(X126&lt;=Z126,0,ROUNDDOWN((X126-Z126)*24*60,0))))</f>
        <v>0</v>
      </c>
      <c r="AE126" s="14">
        <f>IF(VLOOKUP(A126,Data_NV!$A:$I,6,0)="Không",0,IF(Z126&lt;=X126,0,ROUNDDOWN((Z126-X126)*24*60,0)))</f>
        <v>0</v>
      </c>
      <c r="AF126" s="29">
        <f t="shared" si="7"/>
        <v>0</v>
      </c>
      <c r="AG126" s="30" t="str">
        <f>IF(AC126="","",IF(COUNTIFS($AC$3:AC126,"Quên chấm công",$S$3:S126,S126)&gt;3,"Không chấm công do vi phạm quá 3 lần",IF(COUNTIFS($AC$3:AC126,"Quên chấm công",$S$3:S126,S126)&gt;2,"Trừ toàn bộ chuyên cần tháng do vi phạm lần 3",IF(COUNTIFS($AC$3:AC126,"Quên chấm công",$S$3:S126,S126)&gt;1,"Trừ 1/2 ngày lương",50000))))</f>
        <v/>
      </c>
      <c r="AH126" s="14" t="str">
        <f>IF(COUNTIFS($AF$3:AF126,"&gt;0",$S$3:S126,S126)&gt;3,"Trừ toàn bộ chuyên cần tháng","")</f>
        <v/>
      </c>
      <c r="AI126" s="14"/>
      <c r="AJ126" s="14"/>
    </row>
    <row r="127" spans="1:36" x14ac:dyDescent="0.25">
      <c r="A127" s="4" t="s">
        <v>198</v>
      </c>
      <c r="B127" s="1" t="s">
        <v>199</v>
      </c>
      <c r="C127" s="1" t="s">
        <v>20</v>
      </c>
      <c r="D127" s="1" t="s">
        <v>37</v>
      </c>
      <c r="E127" s="1" t="s">
        <v>22</v>
      </c>
      <c r="F127" s="1" t="s">
        <v>23</v>
      </c>
      <c r="G127" s="1" t="s">
        <v>12</v>
      </c>
      <c r="H127" s="12" t="s">
        <v>201</v>
      </c>
      <c r="I127" s="1" t="s">
        <v>24</v>
      </c>
      <c r="J127" s="1" t="s">
        <v>25</v>
      </c>
      <c r="K127" s="1" t="s">
        <v>25</v>
      </c>
      <c r="L127" s="1" t="s">
        <v>26</v>
      </c>
      <c r="M127" s="1" t="s">
        <v>25</v>
      </c>
      <c r="N127" s="1" t="s">
        <v>25</v>
      </c>
      <c r="O127" s="1" t="s">
        <v>25</v>
      </c>
      <c r="P127" s="1" t="s">
        <v>25</v>
      </c>
      <c r="Q127" s="1" t="s">
        <v>25</v>
      </c>
      <c r="R127" s="70" t="str">
        <f t="shared" si="4"/>
        <v>1345905</v>
      </c>
      <c r="S127" t="str">
        <f>VLOOKUP(A127,Data_NV!$A:$C,3,0)</f>
        <v xml:space="preserve"> Nguyễn Quốc Minh   </v>
      </c>
      <c r="T127" t="str">
        <f>VLOOKUP(A127,Data_NV!$A:$E,4,0)</f>
        <v>Vận Hành</v>
      </c>
      <c r="U127" s="67">
        <f>DATEVALUE(Table2[[#This Row],[Ngày]])</f>
        <v>45905</v>
      </c>
      <c r="V127" t="str">
        <f>VLOOKUP(A127,Data_NV!$A:$E,5,0)</f>
        <v>Đang làm việc</v>
      </c>
      <c r="W127" s="11">
        <f>VLOOKUP(A127,Data_NV!$A:$I,8,0)</f>
        <v>0.3125</v>
      </c>
      <c r="X127" s="11">
        <f>VLOOKUP(A127,Data_NV!$A:$I,9,0)</f>
        <v>0.6875</v>
      </c>
      <c r="Y127" s="11">
        <f>IFERROR(TIMEVALUE(Table2[[#This Row],[Vào]]),0)</f>
        <v>0.31730324074074073</v>
      </c>
      <c r="Z127" s="11">
        <f>IFERROR(TIMEVALUE(Table2[[#This Row],[Ra]]),0)</f>
        <v>0</v>
      </c>
      <c r="AA127" t="str">
        <f t="shared" si="5"/>
        <v>x</v>
      </c>
      <c r="AB127" s="14">
        <f t="shared" si="6"/>
        <v>6</v>
      </c>
      <c r="AC127" s="14" t="str">
        <f>IF(VLOOKUP(A127,Data_NV!$A:$I,7,0)="Không","",IF(OR(AND(Y127=0,Z127=0),AND(Y127&lt;&gt;0,Z127&lt;&gt;0)),"","Quên chấm công"))</f>
        <v/>
      </c>
      <c r="AD127" s="14">
        <f>IF(VLOOKUP(A127,Data_NV!$A:$I,7,0)="Không",0,IF(AND(Y127=0,Z127=0),0,IF(X127&lt;=Z127,0,ROUNDDOWN((X127-Z127)*24*60,0))))</f>
        <v>0</v>
      </c>
      <c r="AE127" s="14">
        <f>IF(VLOOKUP(A127,Data_NV!$A:$I,6,0)="Không",0,IF(Z127&lt;=X127,0,ROUNDDOWN((Z127-X127)*24*60,0)))</f>
        <v>0</v>
      </c>
      <c r="AF127" s="29">
        <f t="shared" si="7"/>
        <v>0</v>
      </c>
      <c r="AG127" s="30" t="str">
        <f>IF(AC127="","",IF(COUNTIFS($AC$3:AC127,"Quên chấm công",$S$3:S127,S127)&gt;3,"Không chấm công do vi phạm quá 3 lần",IF(COUNTIFS($AC$3:AC127,"Quên chấm công",$S$3:S127,S127)&gt;2,"Trừ toàn bộ chuyên cần tháng do vi phạm lần 3",IF(COUNTIFS($AC$3:AC127,"Quên chấm công",$S$3:S127,S127)&gt;1,"Trừ 1/2 ngày lương",50000))))</f>
        <v/>
      </c>
      <c r="AH127" s="14" t="str">
        <f>IF(COUNTIFS($AF$3:AF127,"&gt;0",$S$3:S127,S127)&gt;3,"Trừ toàn bộ chuyên cần tháng","")</f>
        <v/>
      </c>
      <c r="AI127" s="14"/>
      <c r="AJ127" s="14"/>
    </row>
    <row r="128" spans="1:36" x14ac:dyDescent="0.25">
      <c r="A128" s="4" t="s">
        <v>198</v>
      </c>
      <c r="B128" s="1" t="s">
        <v>199</v>
      </c>
      <c r="C128" s="1" t="s">
        <v>20</v>
      </c>
      <c r="D128" s="1" t="s">
        <v>42</v>
      </c>
      <c r="E128" s="1" t="s">
        <v>22</v>
      </c>
      <c r="F128" s="1" t="s">
        <v>23</v>
      </c>
      <c r="G128" s="1" t="s">
        <v>12</v>
      </c>
      <c r="H128" s="12" t="s">
        <v>202</v>
      </c>
      <c r="I128" s="1" t="s">
        <v>24</v>
      </c>
      <c r="J128" s="1" t="s">
        <v>25</v>
      </c>
      <c r="K128" s="1" t="s">
        <v>25</v>
      </c>
      <c r="L128" s="1" t="s">
        <v>26</v>
      </c>
      <c r="M128" s="1" t="s">
        <v>25</v>
      </c>
      <c r="N128" s="1" t="s">
        <v>25</v>
      </c>
      <c r="O128" s="1" t="s">
        <v>25</v>
      </c>
      <c r="P128" s="1" t="s">
        <v>25</v>
      </c>
      <c r="Q128" s="1" t="s">
        <v>25</v>
      </c>
      <c r="R128" s="70" t="str">
        <f t="shared" si="4"/>
        <v>1345906</v>
      </c>
      <c r="S128" t="str">
        <f>VLOOKUP(A128,Data_NV!$A:$C,3,0)</f>
        <v xml:space="preserve"> Nguyễn Quốc Minh   </v>
      </c>
      <c r="T128" t="str">
        <f>VLOOKUP(A128,Data_NV!$A:$E,4,0)</f>
        <v>Vận Hành</v>
      </c>
      <c r="U128" s="67">
        <f>DATEVALUE(Table2[[#This Row],[Ngày]])</f>
        <v>45906</v>
      </c>
      <c r="V128" t="str">
        <f>VLOOKUP(A128,Data_NV!$A:$E,5,0)</f>
        <v>Đang làm việc</v>
      </c>
      <c r="W128" s="11">
        <f>VLOOKUP(A128,Data_NV!$A:$I,8,0)</f>
        <v>0.3125</v>
      </c>
      <c r="X128" s="11">
        <f>VLOOKUP(A128,Data_NV!$A:$I,9,0)</f>
        <v>0.6875</v>
      </c>
      <c r="Y128" s="11">
        <f>IFERROR(TIMEVALUE(Table2[[#This Row],[Vào]]),0)</f>
        <v>0.30052083333333335</v>
      </c>
      <c r="Z128" s="11">
        <f>IFERROR(TIMEVALUE(Table2[[#This Row],[Ra]]),0)</f>
        <v>0</v>
      </c>
      <c r="AA128" t="str">
        <f t="shared" si="5"/>
        <v>x</v>
      </c>
      <c r="AB128" s="14">
        <f t="shared" si="6"/>
        <v>0</v>
      </c>
      <c r="AC128" s="14" t="str">
        <f>IF(VLOOKUP(A128,Data_NV!$A:$I,7,0)="Không","",IF(OR(AND(Y128=0,Z128=0),AND(Y128&lt;&gt;0,Z128&lt;&gt;0)),"","Quên chấm công"))</f>
        <v/>
      </c>
      <c r="AD128" s="14">
        <f>IF(VLOOKUP(A128,Data_NV!$A:$I,7,0)="Không",0,IF(AND(Y128=0,Z128=0),0,IF(X128&lt;=Z128,0,ROUNDDOWN((X128-Z128)*24*60,0))))</f>
        <v>0</v>
      </c>
      <c r="AE128" s="14">
        <f>IF(VLOOKUP(A128,Data_NV!$A:$I,6,0)="Không",0,IF(Z128&lt;=X128,0,ROUNDDOWN((Z128-X128)*24*60,0)))</f>
        <v>0</v>
      </c>
      <c r="AF128" s="29">
        <f t="shared" si="7"/>
        <v>0</v>
      </c>
      <c r="AG128" s="30" t="str">
        <f>IF(AC128="","",IF(COUNTIFS($AC$3:AC128,"Quên chấm công",$S$3:S128,S128)&gt;3,"Không chấm công do vi phạm quá 3 lần",IF(COUNTIFS($AC$3:AC128,"Quên chấm công",$S$3:S128,S128)&gt;2,"Trừ toàn bộ chuyên cần tháng do vi phạm lần 3",IF(COUNTIFS($AC$3:AC128,"Quên chấm công",$S$3:S128,S128)&gt;1,"Trừ 1/2 ngày lương",50000))))</f>
        <v/>
      </c>
      <c r="AH128" s="14" t="str">
        <f>IF(COUNTIFS($AF$3:AF128,"&gt;0",$S$3:S128,S128)&gt;3,"Trừ toàn bộ chuyên cần tháng","")</f>
        <v/>
      </c>
      <c r="AI128" s="14"/>
      <c r="AJ128" s="14"/>
    </row>
    <row r="129" spans="1:36" x14ac:dyDescent="0.25">
      <c r="A129" s="4" t="s">
        <v>198</v>
      </c>
      <c r="B129" s="1" t="s">
        <v>199</v>
      </c>
      <c r="C129" s="1" t="s">
        <v>20</v>
      </c>
      <c r="D129" s="1" t="s">
        <v>47</v>
      </c>
      <c r="E129" s="1" t="s">
        <v>22</v>
      </c>
      <c r="F129" s="1" t="s">
        <v>23</v>
      </c>
      <c r="G129" s="1" t="s">
        <v>12</v>
      </c>
      <c r="H129" s="12" t="s">
        <v>24</v>
      </c>
      <c r="I129" s="1" t="s">
        <v>24</v>
      </c>
      <c r="J129" s="1" t="s">
        <v>25</v>
      </c>
      <c r="K129" s="1" t="s">
        <v>25</v>
      </c>
      <c r="L129" s="1" t="s">
        <v>26</v>
      </c>
      <c r="M129" s="1" t="s">
        <v>25</v>
      </c>
      <c r="N129" s="1" t="s">
        <v>25</v>
      </c>
      <c r="O129" s="1" t="s">
        <v>25</v>
      </c>
      <c r="P129" s="1" t="s">
        <v>25</v>
      </c>
      <c r="Q129" s="1" t="s">
        <v>25</v>
      </c>
      <c r="R129" s="70" t="str">
        <f t="shared" si="4"/>
        <v>1345907</v>
      </c>
      <c r="S129" t="str">
        <f>VLOOKUP(A129,Data_NV!$A:$C,3,0)</f>
        <v xml:space="preserve"> Nguyễn Quốc Minh   </v>
      </c>
      <c r="T129" t="str">
        <f>VLOOKUP(A129,Data_NV!$A:$E,4,0)</f>
        <v>Vận Hành</v>
      </c>
      <c r="U129" s="67">
        <f>DATEVALUE(Table2[[#This Row],[Ngày]])</f>
        <v>45907</v>
      </c>
      <c r="V129" t="str">
        <f>VLOOKUP(A129,Data_NV!$A:$E,5,0)</f>
        <v>Đang làm việc</v>
      </c>
      <c r="W129" s="11">
        <f>VLOOKUP(A129,Data_NV!$A:$I,8,0)</f>
        <v>0.3125</v>
      </c>
      <c r="X129" s="11">
        <f>VLOOKUP(A129,Data_NV!$A:$I,9,0)</f>
        <v>0.6875</v>
      </c>
      <c r="Y129" s="11">
        <f>IFERROR(TIMEVALUE(Table2[[#This Row],[Vào]]),0)</f>
        <v>0</v>
      </c>
      <c r="Z129" s="11">
        <f>IFERROR(TIMEVALUE(Table2[[#This Row],[Ra]]),0)</f>
        <v>0</v>
      </c>
      <c r="AA129" t="str">
        <f t="shared" si="5"/>
        <v/>
      </c>
      <c r="AB129" s="14">
        <f t="shared" si="6"/>
        <v>0</v>
      </c>
      <c r="AC129" s="14" t="str">
        <f>IF(VLOOKUP(A129,Data_NV!$A:$I,7,0)="Không","",IF(OR(AND(Y129=0,Z129=0),AND(Y129&lt;&gt;0,Z129&lt;&gt;0)),"","Quên chấm công"))</f>
        <v/>
      </c>
      <c r="AD129" s="14">
        <f>IF(VLOOKUP(A129,Data_NV!$A:$I,7,0)="Không",0,IF(AND(Y129=0,Z129=0),0,IF(X129&lt;=Z129,0,ROUNDDOWN((X129-Z129)*24*60,0))))</f>
        <v>0</v>
      </c>
      <c r="AE129" s="14">
        <f>IF(VLOOKUP(A129,Data_NV!$A:$I,6,0)="Không",0,IF(Z129&lt;=X129,0,ROUNDDOWN((Z129-X129)*24*60,0)))</f>
        <v>0</v>
      </c>
      <c r="AF129" s="29">
        <f t="shared" si="7"/>
        <v>0</v>
      </c>
      <c r="AG129" s="30" t="str">
        <f>IF(AC129="","",IF(COUNTIFS($AC$3:AC129,"Quên chấm công",$S$3:S129,S129)&gt;3,"Không chấm công do vi phạm quá 3 lần",IF(COUNTIFS($AC$3:AC129,"Quên chấm công",$S$3:S129,S129)&gt;2,"Trừ toàn bộ chuyên cần tháng do vi phạm lần 3",IF(COUNTIFS($AC$3:AC129,"Quên chấm công",$S$3:S129,S129)&gt;1,"Trừ 1/2 ngày lương",50000))))</f>
        <v/>
      </c>
      <c r="AH129" s="14" t="str">
        <f>IF(COUNTIFS($AF$3:AF129,"&gt;0",$S$3:S129,S129)&gt;3,"Trừ toàn bộ chuyên cần tháng","")</f>
        <v/>
      </c>
      <c r="AI129" s="14"/>
      <c r="AJ129" s="14"/>
    </row>
    <row r="130" spans="1:36" x14ac:dyDescent="0.25">
      <c r="A130" s="4" t="s">
        <v>198</v>
      </c>
      <c r="B130" s="1" t="s">
        <v>199</v>
      </c>
      <c r="C130" s="1" t="s">
        <v>20</v>
      </c>
      <c r="D130" s="1" t="s">
        <v>48</v>
      </c>
      <c r="E130" s="1" t="s">
        <v>22</v>
      </c>
      <c r="F130" s="1" t="s">
        <v>23</v>
      </c>
      <c r="G130" s="1" t="s">
        <v>12</v>
      </c>
      <c r="H130" s="12" t="s">
        <v>203</v>
      </c>
      <c r="I130" s="1" t="s">
        <v>24</v>
      </c>
      <c r="J130" s="1" t="s">
        <v>25</v>
      </c>
      <c r="K130" s="1" t="s">
        <v>25</v>
      </c>
      <c r="L130" s="1" t="s">
        <v>26</v>
      </c>
      <c r="M130" s="1" t="s">
        <v>25</v>
      </c>
      <c r="N130" s="1" t="s">
        <v>25</v>
      </c>
      <c r="O130" s="1" t="s">
        <v>25</v>
      </c>
      <c r="P130" s="1" t="s">
        <v>25</v>
      </c>
      <c r="Q130" s="1" t="s">
        <v>25</v>
      </c>
      <c r="R130" s="70" t="str">
        <f t="shared" si="4"/>
        <v>1345908</v>
      </c>
      <c r="S130" t="str">
        <f>VLOOKUP(A130,Data_NV!$A:$C,3,0)</f>
        <v xml:space="preserve"> Nguyễn Quốc Minh   </v>
      </c>
      <c r="T130" t="str">
        <f>VLOOKUP(A130,Data_NV!$A:$E,4,0)</f>
        <v>Vận Hành</v>
      </c>
      <c r="U130" s="67">
        <f>DATEVALUE(Table2[[#This Row],[Ngày]])</f>
        <v>45908</v>
      </c>
      <c r="V130" t="str">
        <f>VLOOKUP(A130,Data_NV!$A:$E,5,0)</f>
        <v>Đang làm việc</v>
      </c>
      <c r="W130" s="11">
        <f>VLOOKUP(A130,Data_NV!$A:$I,8,0)</f>
        <v>0.3125</v>
      </c>
      <c r="X130" s="11">
        <f>VLOOKUP(A130,Data_NV!$A:$I,9,0)</f>
        <v>0.6875</v>
      </c>
      <c r="Y130" s="11">
        <f>IFERROR(TIMEVALUE(Table2[[#This Row],[Vào]]),0)</f>
        <v>0.31528935185185186</v>
      </c>
      <c r="Z130" s="11">
        <f>IFERROR(TIMEVALUE(Table2[[#This Row],[Ra]]),0)</f>
        <v>0</v>
      </c>
      <c r="AA130" t="str">
        <f t="shared" si="5"/>
        <v>x</v>
      </c>
      <c r="AB130" s="14">
        <f t="shared" si="6"/>
        <v>4</v>
      </c>
      <c r="AC130" s="14" t="str">
        <f>IF(VLOOKUP(A130,Data_NV!$A:$I,7,0)="Không","",IF(OR(AND(Y130=0,Z130=0),AND(Y130&lt;&gt;0,Z130&lt;&gt;0)),"","Quên chấm công"))</f>
        <v/>
      </c>
      <c r="AD130" s="14">
        <f>IF(VLOOKUP(A130,Data_NV!$A:$I,7,0)="Không",0,IF(AND(Y130=0,Z130=0),0,IF(X130&lt;=Z130,0,ROUNDDOWN((X130-Z130)*24*60,0))))</f>
        <v>0</v>
      </c>
      <c r="AE130" s="14">
        <f>IF(VLOOKUP(A130,Data_NV!$A:$I,6,0)="Không",0,IF(Z130&lt;=X130,0,ROUNDDOWN((Z130-X130)*24*60,0)))</f>
        <v>0</v>
      </c>
      <c r="AF130" s="29">
        <f t="shared" si="7"/>
        <v>0</v>
      </c>
      <c r="AG130" s="30" t="str">
        <f>IF(AC130="","",IF(COUNTIFS($AC$3:AC130,"Quên chấm công",$S$3:S130,S130)&gt;3,"Không chấm công do vi phạm quá 3 lần",IF(COUNTIFS($AC$3:AC130,"Quên chấm công",$S$3:S130,S130)&gt;2,"Trừ toàn bộ chuyên cần tháng do vi phạm lần 3",IF(COUNTIFS($AC$3:AC130,"Quên chấm công",$S$3:S130,S130)&gt;1,"Trừ 1/2 ngày lương",50000))))</f>
        <v/>
      </c>
      <c r="AH130" s="14" t="str">
        <f>IF(COUNTIFS($AF$3:AF130,"&gt;0",$S$3:S130,S130)&gt;3,"Trừ toàn bộ chuyên cần tháng","")</f>
        <v/>
      </c>
      <c r="AI130" s="14"/>
      <c r="AJ130" s="14"/>
    </row>
    <row r="131" spans="1:36" x14ac:dyDescent="0.25">
      <c r="A131" s="4" t="s">
        <v>198</v>
      </c>
      <c r="B131" s="1" t="s">
        <v>199</v>
      </c>
      <c r="C131" s="1" t="s">
        <v>20</v>
      </c>
      <c r="D131" s="1" t="s">
        <v>53</v>
      </c>
      <c r="E131" s="1" t="s">
        <v>22</v>
      </c>
      <c r="F131" s="1" t="s">
        <v>23</v>
      </c>
      <c r="G131" s="1" t="s">
        <v>12</v>
      </c>
      <c r="H131" s="12" t="s">
        <v>204</v>
      </c>
      <c r="I131" s="1" t="s">
        <v>24</v>
      </c>
      <c r="J131" s="1" t="s">
        <v>25</v>
      </c>
      <c r="K131" s="1" t="s">
        <v>25</v>
      </c>
      <c r="L131" s="1" t="s">
        <v>26</v>
      </c>
      <c r="M131" s="1" t="s">
        <v>25</v>
      </c>
      <c r="N131" s="1" t="s">
        <v>25</v>
      </c>
      <c r="O131" s="1" t="s">
        <v>25</v>
      </c>
      <c r="P131" s="1" t="s">
        <v>25</v>
      </c>
      <c r="Q131" s="1" t="s">
        <v>25</v>
      </c>
      <c r="R131" s="70" t="str">
        <f t="shared" ref="R131:R164" si="8">A131&amp;U131</f>
        <v>1345909</v>
      </c>
      <c r="S131" t="str">
        <f>VLOOKUP(A131,Data_NV!$A:$C,3,0)</f>
        <v xml:space="preserve"> Nguyễn Quốc Minh   </v>
      </c>
      <c r="T131" t="str">
        <f>VLOOKUP(A131,Data_NV!$A:$E,4,0)</f>
        <v>Vận Hành</v>
      </c>
      <c r="U131" s="67">
        <f>DATEVALUE(Table2[[#This Row],[Ngày]])</f>
        <v>45909</v>
      </c>
      <c r="V131" t="str">
        <f>VLOOKUP(A131,Data_NV!$A:$E,5,0)</f>
        <v>Đang làm việc</v>
      </c>
      <c r="W131" s="11">
        <f>VLOOKUP(A131,Data_NV!$A:$I,8,0)</f>
        <v>0.3125</v>
      </c>
      <c r="X131" s="11">
        <f>VLOOKUP(A131,Data_NV!$A:$I,9,0)</f>
        <v>0.6875</v>
      </c>
      <c r="Y131" s="11">
        <f>IFERROR(TIMEVALUE(Table2[[#This Row],[Vào]]),0)</f>
        <v>0.30600694444444443</v>
      </c>
      <c r="Z131" s="11">
        <f>IFERROR(TIMEVALUE(Table2[[#This Row],[Ra]]),0)</f>
        <v>0</v>
      </c>
      <c r="AA131" t="str">
        <f t="shared" ref="AA131:AA164" si="9">IF(OR(AND(Y131=0,Z131=0),AG131="Không chấm công do vi phạm quá 3 lần"),"",IF(OR(AG131="Trừ 1/2 ngày lương",AF131="Trừ 1/2 ngày lương",AB131&gt;=60),"1/2","x"))</f>
        <v>x</v>
      </c>
      <c r="AB131" s="14">
        <f t="shared" ref="AB131:AB152" si="10">IF(Y131&lt;=W131,0,ROUNDDOWN((Y131-W131)*24*60,0))</f>
        <v>0</v>
      </c>
      <c r="AC131" s="14" t="str">
        <f>IF(VLOOKUP(A131,Data_NV!$A:$I,7,0)="Không","",IF(OR(AND(Y131=0,Z131=0),AND(Y131&lt;&gt;0,Z131&lt;&gt;0)),"","Quên chấm công"))</f>
        <v/>
      </c>
      <c r="AD131" s="14">
        <f>IF(VLOOKUP(A131,Data_NV!$A:$I,7,0)="Không",0,IF(AND(Y131=0,Z131=0),0,IF(X131&lt;=Z131,0,ROUNDDOWN((X131-Z131)*24*60,0))))</f>
        <v>0</v>
      </c>
      <c r="AE131" s="14">
        <f>IF(VLOOKUP(A131,Data_NV!$A:$I,6,0)="Không",0,IF(Z131&lt;=X131,0,ROUNDDOWN((Z131-X131)*24*60,0)))</f>
        <v>0</v>
      </c>
      <c r="AF131" s="29">
        <f t="shared" ref="AF131:AF164" si="11">IF(AB131&gt;60,"Trừ 1/2 ngày lương",IF(AB131&gt;15,50000,IF(AB131&gt;6,30000,0)))</f>
        <v>0</v>
      </c>
      <c r="AG131" s="30" t="str">
        <f>IF(AC131="","",IF(COUNTIFS($AC$3:AC131,"Quên chấm công",$S$3:S131,S131)&gt;3,"Không chấm công do vi phạm quá 3 lần",IF(COUNTIFS($AC$3:AC131,"Quên chấm công",$S$3:S131,S131)&gt;2,"Trừ toàn bộ chuyên cần tháng do vi phạm lần 3",IF(COUNTIFS($AC$3:AC131,"Quên chấm công",$S$3:S131,S131)&gt;1,"Trừ 1/2 ngày lương",50000))))</f>
        <v/>
      </c>
      <c r="AH131" s="14" t="str">
        <f>IF(COUNTIFS($AF$3:AF131,"&gt;0",$S$3:S131,S131)&gt;3,"Trừ toàn bộ chuyên cần tháng","")</f>
        <v/>
      </c>
      <c r="AI131" s="14"/>
      <c r="AJ131" s="14"/>
    </row>
    <row r="132" spans="1:36" x14ac:dyDescent="0.25">
      <c r="A132" s="4" t="s">
        <v>198</v>
      </c>
      <c r="B132" s="1" t="s">
        <v>199</v>
      </c>
      <c r="C132" s="1" t="s">
        <v>20</v>
      </c>
      <c r="D132" s="1" t="s">
        <v>58</v>
      </c>
      <c r="E132" s="1" t="s">
        <v>22</v>
      </c>
      <c r="F132" s="1" t="s">
        <v>23</v>
      </c>
      <c r="G132" s="1" t="s">
        <v>12</v>
      </c>
      <c r="H132" s="12" t="s">
        <v>205</v>
      </c>
      <c r="I132" s="1" t="s">
        <v>24</v>
      </c>
      <c r="J132" s="1" t="s">
        <v>25</v>
      </c>
      <c r="K132" s="1" t="s">
        <v>25</v>
      </c>
      <c r="L132" s="1" t="s">
        <v>26</v>
      </c>
      <c r="M132" s="1" t="s">
        <v>25</v>
      </c>
      <c r="N132" s="1" t="s">
        <v>25</v>
      </c>
      <c r="O132" s="1" t="s">
        <v>25</v>
      </c>
      <c r="P132" s="1" t="s">
        <v>25</v>
      </c>
      <c r="Q132" s="1" t="s">
        <v>25</v>
      </c>
      <c r="R132" s="70" t="str">
        <f t="shared" si="8"/>
        <v>1345910</v>
      </c>
      <c r="S132" t="str">
        <f>VLOOKUP(A132,Data_NV!$A:$C,3,0)</f>
        <v xml:space="preserve"> Nguyễn Quốc Minh   </v>
      </c>
      <c r="T132" t="str">
        <f>VLOOKUP(A132,Data_NV!$A:$E,4,0)</f>
        <v>Vận Hành</v>
      </c>
      <c r="U132" s="67">
        <f>DATEVALUE(Table2[[#This Row],[Ngày]])</f>
        <v>45910</v>
      </c>
      <c r="V132" t="str">
        <f>VLOOKUP(A132,Data_NV!$A:$E,5,0)</f>
        <v>Đang làm việc</v>
      </c>
      <c r="W132" s="11">
        <f>VLOOKUP(A132,Data_NV!$A:$I,8,0)</f>
        <v>0.3125</v>
      </c>
      <c r="X132" s="11">
        <f>VLOOKUP(A132,Data_NV!$A:$I,9,0)</f>
        <v>0.6875</v>
      </c>
      <c r="Y132" s="11">
        <f>IFERROR(TIMEVALUE(Table2[[#This Row],[Vào]]),0)</f>
        <v>0.29671296296296296</v>
      </c>
      <c r="Z132" s="11">
        <f>IFERROR(TIMEVALUE(Table2[[#This Row],[Ra]]),0)</f>
        <v>0</v>
      </c>
      <c r="AA132" t="str">
        <f t="shared" si="9"/>
        <v>x</v>
      </c>
      <c r="AB132" s="14">
        <f t="shared" si="10"/>
        <v>0</v>
      </c>
      <c r="AC132" s="14" t="str">
        <f>IF(VLOOKUP(A132,Data_NV!$A:$I,7,0)="Không","",IF(OR(AND(Y132=0,Z132=0),AND(Y132&lt;&gt;0,Z132&lt;&gt;0)),"","Quên chấm công"))</f>
        <v/>
      </c>
      <c r="AD132" s="14">
        <f>IF(VLOOKUP(A132,Data_NV!$A:$I,7,0)="Không",0,IF(AND(Y132=0,Z132=0),0,IF(X132&lt;=Z132,0,ROUNDDOWN((X132-Z132)*24*60,0))))</f>
        <v>0</v>
      </c>
      <c r="AE132" s="14">
        <f>IF(VLOOKUP(A132,Data_NV!$A:$I,6,0)="Không",0,IF(Z132&lt;=X132,0,ROUNDDOWN((Z132-X132)*24*60,0)))</f>
        <v>0</v>
      </c>
      <c r="AF132" s="29">
        <f t="shared" si="11"/>
        <v>0</v>
      </c>
      <c r="AG132" s="30" t="str">
        <f>IF(AC132="","",IF(COUNTIFS($AC$3:AC132,"Quên chấm công",$S$3:S132,S132)&gt;3,"Không chấm công do vi phạm quá 3 lần",IF(COUNTIFS($AC$3:AC132,"Quên chấm công",$S$3:S132,S132)&gt;2,"Trừ toàn bộ chuyên cần tháng do vi phạm lần 3",IF(COUNTIFS($AC$3:AC132,"Quên chấm công",$S$3:S132,S132)&gt;1,"Trừ 1/2 ngày lương",50000))))</f>
        <v/>
      </c>
      <c r="AH132" s="14" t="str">
        <f>IF(COUNTIFS($AF$3:AF132,"&gt;0",$S$3:S132,S132)&gt;3,"Trừ toàn bộ chuyên cần tháng","")</f>
        <v/>
      </c>
      <c r="AI132" s="14"/>
      <c r="AJ132" s="14"/>
    </row>
    <row r="133" spans="1:36" x14ac:dyDescent="0.25">
      <c r="A133" s="4" t="s">
        <v>198</v>
      </c>
      <c r="B133" s="1" t="s">
        <v>199</v>
      </c>
      <c r="C133" s="1" t="s">
        <v>20</v>
      </c>
      <c r="D133" s="1" t="s">
        <v>63</v>
      </c>
      <c r="E133" s="1" t="s">
        <v>22</v>
      </c>
      <c r="F133" s="1" t="s">
        <v>23</v>
      </c>
      <c r="G133" s="1" t="s">
        <v>12</v>
      </c>
      <c r="H133" s="12" t="s">
        <v>206</v>
      </c>
      <c r="I133" s="1" t="s">
        <v>24</v>
      </c>
      <c r="J133" s="1" t="s">
        <v>25</v>
      </c>
      <c r="K133" s="1" t="s">
        <v>25</v>
      </c>
      <c r="L133" s="1" t="s">
        <v>26</v>
      </c>
      <c r="M133" s="1" t="s">
        <v>25</v>
      </c>
      <c r="N133" s="1" t="s">
        <v>25</v>
      </c>
      <c r="O133" s="1" t="s">
        <v>25</v>
      </c>
      <c r="P133" s="1" t="s">
        <v>25</v>
      </c>
      <c r="Q133" s="1" t="s">
        <v>25</v>
      </c>
      <c r="R133" s="70" t="str">
        <f t="shared" si="8"/>
        <v>1345911</v>
      </c>
      <c r="S133" t="str">
        <f>VLOOKUP(A133,Data_NV!$A:$C,3,0)</f>
        <v xml:space="preserve"> Nguyễn Quốc Minh   </v>
      </c>
      <c r="T133" t="str">
        <f>VLOOKUP(A133,Data_NV!$A:$E,4,0)</f>
        <v>Vận Hành</v>
      </c>
      <c r="U133" s="67">
        <f>DATEVALUE(Table2[[#This Row],[Ngày]])</f>
        <v>45911</v>
      </c>
      <c r="V133" t="str">
        <f>VLOOKUP(A133,Data_NV!$A:$E,5,0)</f>
        <v>Đang làm việc</v>
      </c>
      <c r="W133" s="11">
        <f>VLOOKUP(A133,Data_NV!$A:$I,8,0)</f>
        <v>0.3125</v>
      </c>
      <c r="X133" s="11">
        <f>VLOOKUP(A133,Data_NV!$A:$I,9,0)</f>
        <v>0.6875</v>
      </c>
      <c r="Y133" s="11">
        <f>IFERROR(TIMEVALUE(Table2[[#This Row],[Vào]]),0)</f>
        <v>0.30722222222222223</v>
      </c>
      <c r="Z133" s="11">
        <f>IFERROR(TIMEVALUE(Table2[[#This Row],[Ra]]),0)</f>
        <v>0</v>
      </c>
      <c r="AA133" t="str">
        <f t="shared" si="9"/>
        <v>x</v>
      </c>
      <c r="AB133" s="14">
        <f t="shared" si="10"/>
        <v>0</v>
      </c>
      <c r="AC133" s="14" t="str">
        <f>IF(VLOOKUP(A133,Data_NV!$A:$I,7,0)="Không","",IF(OR(AND(Y133=0,Z133=0),AND(Y133&lt;&gt;0,Z133&lt;&gt;0)),"","Quên chấm công"))</f>
        <v/>
      </c>
      <c r="AD133" s="14">
        <f>IF(VLOOKUP(A133,Data_NV!$A:$I,7,0)="Không",0,IF(AND(Y133=0,Z133=0),0,IF(X133&lt;=Z133,0,ROUNDDOWN((X133-Z133)*24*60,0))))</f>
        <v>0</v>
      </c>
      <c r="AE133" s="14">
        <f>IF(VLOOKUP(A133,Data_NV!$A:$I,6,0)="Không",0,IF(Z133&lt;=X133,0,ROUNDDOWN((Z133-X133)*24*60,0)))</f>
        <v>0</v>
      </c>
      <c r="AF133" s="29">
        <f t="shared" si="11"/>
        <v>0</v>
      </c>
      <c r="AG133" s="30" t="str">
        <f>IF(AC133="","",IF(COUNTIFS($AC$3:AC133,"Quên chấm công",$S$3:S133,S133)&gt;3,"Không chấm công do vi phạm quá 3 lần",IF(COUNTIFS($AC$3:AC133,"Quên chấm công",$S$3:S133,S133)&gt;2,"Trừ toàn bộ chuyên cần tháng do vi phạm lần 3",IF(COUNTIFS($AC$3:AC133,"Quên chấm công",$S$3:S133,S133)&gt;1,"Trừ 1/2 ngày lương",50000))))</f>
        <v/>
      </c>
      <c r="AH133" s="14" t="str">
        <f>IF(COUNTIFS($AF$3:AF133,"&gt;0",$S$3:S133,S133)&gt;3,"Trừ toàn bộ chuyên cần tháng","")</f>
        <v/>
      </c>
      <c r="AI133" s="14"/>
      <c r="AJ133" s="14"/>
    </row>
    <row r="134" spans="1:36" x14ac:dyDescent="0.25">
      <c r="A134" s="4" t="s">
        <v>198</v>
      </c>
      <c r="B134" s="1" t="s">
        <v>199</v>
      </c>
      <c r="C134" s="1" t="s">
        <v>20</v>
      </c>
      <c r="D134" s="1" t="s">
        <v>67</v>
      </c>
      <c r="E134" s="1" t="s">
        <v>22</v>
      </c>
      <c r="F134" s="1" t="s">
        <v>23</v>
      </c>
      <c r="G134" s="1" t="s">
        <v>12</v>
      </c>
      <c r="H134" s="12" t="s">
        <v>207</v>
      </c>
      <c r="I134" s="1" t="s">
        <v>24</v>
      </c>
      <c r="J134" s="1" t="s">
        <v>25</v>
      </c>
      <c r="K134" s="1" t="s">
        <v>25</v>
      </c>
      <c r="L134" s="1" t="s">
        <v>26</v>
      </c>
      <c r="M134" s="1" t="s">
        <v>25</v>
      </c>
      <c r="N134" s="1" t="s">
        <v>25</v>
      </c>
      <c r="O134" s="1" t="s">
        <v>25</v>
      </c>
      <c r="P134" s="1" t="s">
        <v>25</v>
      </c>
      <c r="Q134" s="1" t="s">
        <v>25</v>
      </c>
      <c r="R134" s="70" t="str">
        <f t="shared" si="8"/>
        <v>1345912</v>
      </c>
      <c r="S134" t="str">
        <f>VLOOKUP(A134,Data_NV!$A:$C,3,0)</f>
        <v xml:space="preserve"> Nguyễn Quốc Minh   </v>
      </c>
      <c r="T134" t="str">
        <f>VLOOKUP(A134,Data_NV!$A:$E,4,0)</f>
        <v>Vận Hành</v>
      </c>
      <c r="U134" s="67">
        <f>DATEVALUE(Table2[[#This Row],[Ngày]])</f>
        <v>45912</v>
      </c>
      <c r="V134" t="str">
        <f>VLOOKUP(A134,Data_NV!$A:$E,5,0)</f>
        <v>Đang làm việc</v>
      </c>
      <c r="W134" s="11">
        <f>VLOOKUP(A134,Data_NV!$A:$I,8,0)</f>
        <v>0.3125</v>
      </c>
      <c r="X134" s="11">
        <f>VLOOKUP(A134,Data_NV!$A:$I,9,0)</f>
        <v>0.6875</v>
      </c>
      <c r="Y134" s="11">
        <f>IFERROR(TIMEVALUE(Table2[[#This Row],[Vào]]),0)</f>
        <v>0.29464120370370372</v>
      </c>
      <c r="Z134" s="11">
        <f>IFERROR(TIMEVALUE(Table2[[#This Row],[Ra]]),0)</f>
        <v>0</v>
      </c>
      <c r="AA134" t="str">
        <f t="shared" si="9"/>
        <v>x</v>
      </c>
      <c r="AB134" s="14">
        <f t="shared" si="10"/>
        <v>0</v>
      </c>
      <c r="AC134" s="14" t="str">
        <f>IF(VLOOKUP(A134,Data_NV!$A:$I,7,0)="Không","",IF(OR(AND(Y134=0,Z134=0),AND(Y134&lt;&gt;0,Z134&lt;&gt;0)),"","Quên chấm công"))</f>
        <v/>
      </c>
      <c r="AD134" s="14">
        <f>IF(VLOOKUP(A134,Data_NV!$A:$I,7,0)="Không",0,IF(AND(Y134=0,Z134=0),0,IF(X134&lt;=Z134,0,ROUNDDOWN((X134-Z134)*24*60,0))))</f>
        <v>0</v>
      </c>
      <c r="AE134" s="14">
        <f>IF(VLOOKUP(A134,Data_NV!$A:$I,6,0)="Không",0,IF(Z134&lt;=X134,0,ROUNDDOWN((Z134-X134)*24*60,0)))</f>
        <v>0</v>
      </c>
      <c r="AF134" s="29">
        <f t="shared" si="11"/>
        <v>0</v>
      </c>
      <c r="AG134" s="30" t="str">
        <f>IF(AC134="","",IF(COUNTIFS($AC$3:AC134,"Quên chấm công",$S$3:S134,S134)&gt;3,"Không chấm công do vi phạm quá 3 lần",IF(COUNTIFS($AC$3:AC134,"Quên chấm công",$S$3:S134,S134)&gt;2,"Trừ toàn bộ chuyên cần tháng do vi phạm lần 3",IF(COUNTIFS($AC$3:AC134,"Quên chấm công",$S$3:S134,S134)&gt;1,"Trừ 1/2 ngày lương",50000))))</f>
        <v/>
      </c>
      <c r="AH134" s="14" t="str">
        <f>IF(COUNTIFS($AF$3:AF134,"&gt;0",$S$3:S134,S134)&gt;3,"Trừ toàn bộ chuyên cần tháng","")</f>
        <v/>
      </c>
      <c r="AI134" s="14"/>
      <c r="AJ134" s="14"/>
    </row>
    <row r="135" spans="1:36" x14ac:dyDescent="0.25">
      <c r="A135" s="4" t="s">
        <v>198</v>
      </c>
      <c r="B135" s="1" t="s">
        <v>199</v>
      </c>
      <c r="C135" s="1" t="s">
        <v>20</v>
      </c>
      <c r="D135" s="1" t="s">
        <v>69</v>
      </c>
      <c r="E135" s="1" t="s">
        <v>22</v>
      </c>
      <c r="F135" s="1" t="s">
        <v>23</v>
      </c>
      <c r="G135" s="1" t="s">
        <v>12</v>
      </c>
      <c r="H135" s="12" t="s">
        <v>208</v>
      </c>
      <c r="I135" s="1" t="s">
        <v>24</v>
      </c>
      <c r="J135" s="1" t="s">
        <v>25</v>
      </c>
      <c r="K135" s="1" t="s">
        <v>25</v>
      </c>
      <c r="L135" s="1" t="s">
        <v>26</v>
      </c>
      <c r="M135" s="1" t="s">
        <v>25</v>
      </c>
      <c r="N135" s="1" t="s">
        <v>25</v>
      </c>
      <c r="O135" s="1" t="s">
        <v>25</v>
      </c>
      <c r="P135" s="1" t="s">
        <v>25</v>
      </c>
      <c r="Q135" s="1" t="s">
        <v>25</v>
      </c>
      <c r="R135" s="70" t="str">
        <f t="shared" si="8"/>
        <v>1345913</v>
      </c>
      <c r="S135" t="str">
        <f>VLOOKUP(A135,Data_NV!$A:$C,3,0)</f>
        <v xml:space="preserve"> Nguyễn Quốc Minh   </v>
      </c>
      <c r="T135" t="str">
        <f>VLOOKUP(A135,Data_NV!$A:$E,4,0)</f>
        <v>Vận Hành</v>
      </c>
      <c r="U135" s="67">
        <f>DATEVALUE(Table2[[#This Row],[Ngày]])</f>
        <v>45913</v>
      </c>
      <c r="V135" t="str">
        <f>VLOOKUP(A135,Data_NV!$A:$E,5,0)</f>
        <v>Đang làm việc</v>
      </c>
      <c r="W135" s="11">
        <f>VLOOKUP(A135,Data_NV!$A:$I,8,0)</f>
        <v>0.3125</v>
      </c>
      <c r="X135" s="11">
        <f>VLOOKUP(A135,Data_NV!$A:$I,9,0)</f>
        <v>0.6875</v>
      </c>
      <c r="Y135" s="11">
        <f>IFERROR(TIMEVALUE(Table2[[#This Row],[Vào]]),0)</f>
        <v>0.30914351851851851</v>
      </c>
      <c r="Z135" s="11">
        <f>IFERROR(TIMEVALUE(Table2[[#This Row],[Ra]]),0)</f>
        <v>0</v>
      </c>
      <c r="AA135" t="str">
        <f t="shared" si="9"/>
        <v>x</v>
      </c>
      <c r="AB135" s="14">
        <f t="shared" si="10"/>
        <v>0</v>
      </c>
      <c r="AC135" s="14" t="str">
        <f>IF(VLOOKUP(A135,Data_NV!$A:$I,7,0)="Không","",IF(OR(AND(Y135=0,Z135=0),AND(Y135&lt;&gt;0,Z135&lt;&gt;0)),"","Quên chấm công"))</f>
        <v/>
      </c>
      <c r="AD135" s="14">
        <f>IF(VLOOKUP(A135,Data_NV!$A:$I,7,0)="Không",0,IF(AND(Y135=0,Z135=0),0,IF(X135&lt;=Z135,0,ROUNDDOWN((X135-Z135)*24*60,0))))</f>
        <v>0</v>
      </c>
      <c r="AE135" s="14">
        <f>IF(VLOOKUP(A135,Data_NV!$A:$I,6,0)="Không",0,IF(Z135&lt;=X135,0,ROUNDDOWN((Z135-X135)*24*60,0)))</f>
        <v>0</v>
      </c>
      <c r="AF135" s="29">
        <f t="shared" si="11"/>
        <v>0</v>
      </c>
      <c r="AG135" s="30" t="str">
        <f>IF(AC135="","",IF(COUNTIFS($AC$3:AC135,"Quên chấm công",$S$3:S135,S135)&gt;3,"Không chấm công do vi phạm quá 3 lần",IF(COUNTIFS($AC$3:AC135,"Quên chấm công",$S$3:S135,S135)&gt;2,"Trừ toàn bộ chuyên cần tháng do vi phạm lần 3",IF(COUNTIFS($AC$3:AC135,"Quên chấm công",$S$3:S135,S135)&gt;1,"Trừ 1/2 ngày lương",50000))))</f>
        <v/>
      </c>
      <c r="AH135" s="14" t="str">
        <f>IF(COUNTIFS($AF$3:AF135,"&gt;0",$S$3:S135,S135)&gt;3,"Trừ toàn bộ chuyên cần tháng","")</f>
        <v/>
      </c>
      <c r="AI135" s="14"/>
      <c r="AJ135" s="14"/>
    </row>
    <row r="136" spans="1:36" x14ac:dyDescent="0.25">
      <c r="A136" s="4" t="s">
        <v>198</v>
      </c>
      <c r="B136" s="1" t="s">
        <v>199</v>
      </c>
      <c r="C136" s="1" t="s">
        <v>20</v>
      </c>
      <c r="D136" s="1" t="s">
        <v>74</v>
      </c>
      <c r="E136" s="1" t="s">
        <v>22</v>
      </c>
      <c r="F136" s="1" t="s">
        <v>23</v>
      </c>
      <c r="G136" s="1" t="s">
        <v>12</v>
      </c>
      <c r="H136" s="12" t="s">
        <v>24</v>
      </c>
      <c r="I136" s="1" t="s">
        <v>24</v>
      </c>
      <c r="J136" s="1" t="s">
        <v>25</v>
      </c>
      <c r="K136" s="1" t="s">
        <v>25</v>
      </c>
      <c r="L136" s="1" t="s">
        <v>26</v>
      </c>
      <c r="M136" s="1" t="s">
        <v>25</v>
      </c>
      <c r="N136" s="1" t="s">
        <v>25</v>
      </c>
      <c r="O136" s="1" t="s">
        <v>25</v>
      </c>
      <c r="P136" s="1" t="s">
        <v>25</v>
      </c>
      <c r="Q136" s="1" t="s">
        <v>25</v>
      </c>
      <c r="R136" s="70" t="str">
        <f t="shared" si="8"/>
        <v>1345914</v>
      </c>
      <c r="S136" t="str">
        <f>VLOOKUP(A136,Data_NV!$A:$C,3,0)</f>
        <v xml:space="preserve"> Nguyễn Quốc Minh   </v>
      </c>
      <c r="T136" t="str">
        <f>VLOOKUP(A136,Data_NV!$A:$E,4,0)</f>
        <v>Vận Hành</v>
      </c>
      <c r="U136" s="67">
        <f>DATEVALUE(Table2[[#This Row],[Ngày]])</f>
        <v>45914</v>
      </c>
      <c r="V136" t="str">
        <f>VLOOKUP(A136,Data_NV!$A:$E,5,0)</f>
        <v>Đang làm việc</v>
      </c>
      <c r="W136" s="11">
        <f>VLOOKUP(A136,Data_NV!$A:$I,8,0)</f>
        <v>0.3125</v>
      </c>
      <c r="X136" s="11">
        <f>VLOOKUP(A136,Data_NV!$A:$I,9,0)</f>
        <v>0.6875</v>
      </c>
      <c r="Y136" s="11">
        <f>IFERROR(TIMEVALUE(Table2[[#This Row],[Vào]]),0)</f>
        <v>0</v>
      </c>
      <c r="Z136" s="11">
        <f>IFERROR(TIMEVALUE(Table2[[#This Row],[Ra]]),0)</f>
        <v>0</v>
      </c>
      <c r="AA136" t="str">
        <f t="shared" si="9"/>
        <v/>
      </c>
      <c r="AB136" s="14">
        <f t="shared" si="10"/>
        <v>0</v>
      </c>
      <c r="AC136" s="14" t="str">
        <f>IF(VLOOKUP(A136,Data_NV!$A:$I,7,0)="Không","",IF(OR(AND(Y136=0,Z136=0),AND(Y136&lt;&gt;0,Z136&lt;&gt;0)),"","Quên chấm công"))</f>
        <v/>
      </c>
      <c r="AD136" s="14">
        <f>IF(VLOOKUP(A136,Data_NV!$A:$I,7,0)="Không",0,IF(AND(Y136=0,Z136=0),0,IF(X136&lt;=Z136,0,ROUNDDOWN((X136-Z136)*24*60,0))))</f>
        <v>0</v>
      </c>
      <c r="AE136" s="14">
        <f>IF(VLOOKUP(A136,Data_NV!$A:$I,6,0)="Không",0,IF(Z136&lt;=X136,0,ROUNDDOWN((Z136-X136)*24*60,0)))</f>
        <v>0</v>
      </c>
      <c r="AF136" s="29">
        <f t="shared" si="11"/>
        <v>0</v>
      </c>
      <c r="AG136" s="30" t="str">
        <f>IF(AC136="","",IF(COUNTIFS($AC$3:AC136,"Quên chấm công",$S$3:S136,S136)&gt;3,"Không chấm công do vi phạm quá 3 lần",IF(COUNTIFS($AC$3:AC136,"Quên chấm công",$S$3:S136,S136)&gt;2,"Trừ toàn bộ chuyên cần tháng do vi phạm lần 3",IF(COUNTIFS($AC$3:AC136,"Quên chấm công",$S$3:S136,S136)&gt;1,"Trừ 1/2 ngày lương",50000))))</f>
        <v/>
      </c>
      <c r="AH136" s="14" t="str">
        <f>IF(COUNTIFS($AF$3:AF136,"&gt;0",$S$3:S136,S136)&gt;3,"Trừ toàn bộ chuyên cần tháng","")</f>
        <v/>
      </c>
      <c r="AI136" s="14"/>
      <c r="AJ136" s="14"/>
    </row>
    <row r="137" spans="1:36" x14ac:dyDescent="0.25">
      <c r="A137" s="4" t="s">
        <v>198</v>
      </c>
      <c r="B137" s="1" t="s">
        <v>199</v>
      </c>
      <c r="C137" s="1" t="s">
        <v>20</v>
      </c>
      <c r="D137" s="1" t="s">
        <v>75</v>
      </c>
      <c r="E137" s="1" t="s">
        <v>22</v>
      </c>
      <c r="F137" s="1" t="s">
        <v>23</v>
      </c>
      <c r="G137" s="1" t="s">
        <v>12</v>
      </c>
      <c r="H137" s="12" t="s">
        <v>209</v>
      </c>
      <c r="I137" s="1" t="s">
        <v>24</v>
      </c>
      <c r="J137" s="1" t="s">
        <v>25</v>
      </c>
      <c r="K137" s="1" t="s">
        <v>25</v>
      </c>
      <c r="L137" s="1" t="s">
        <v>26</v>
      </c>
      <c r="M137" s="1" t="s">
        <v>25</v>
      </c>
      <c r="N137" s="1" t="s">
        <v>25</v>
      </c>
      <c r="O137" s="1" t="s">
        <v>25</v>
      </c>
      <c r="P137" s="1" t="s">
        <v>25</v>
      </c>
      <c r="Q137" s="1" t="s">
        <v>25</v>
      </c>
      <c r="R137" s="70" t="str">
        <f t="shared" si="8"/>
        <v>1345915</v>
      </c>
      <c r="S137" t="str">
        <f>VLOOKUP(A137,Data_NV!$A:$C,3,0)</f>
        <v xml:space="preserve"> Nguyễn Quốc Minh   </v>
      </c>
      <c r="T137" t="str">
        <f>VLOOKUP(A137,Data_NV!$A:$E,4,0)</f>
        <v>Vận Hành</v>
      </c>
      <c r="U137" s="67">
        <f>DATEVALUE(Table2[[#This Row],[Ngày]])</f>
        <v>45915</v>
      </c>
      <c r="V137" t="str">
        <f>VLOOKUP(A137,Data_NV!$A:$E,5,0)</f>
        <v>Đang làm việc</v>
      </c>
      <c r="W137" s="11">
        <f>VLOOKUP(A137,Data_NV!$A:$I,8,0)</f>
        <v>0.3125</v>
      </c>
      <c r="X137" s="11">
        <f>VLOOKUP(A137,Data_NV!$A:$I,9,0)</f>
        <v>0.6875</v>
      </c>
      <c r="Y137" s="11">
        <f>IFERROR(TIMEVALUE(Table2[[#This Row],[Vào]]),0)</f>
        <v>0.29346064814814815</v>
      </c>
      <c r="Z137" s="11">
        <f>IFERROR(TIMEVALUE(Table2[[#This Row],[Ra]]),0)</f>
        <v>0</v>
      </c>
      <c r="AA137" t="str">
        <f t="shared" si="9"/>
        <v>x</v>
      </c>
      <c r="AB137" s="14">
        <f t="shared" si="10"/>
        <v>0</v>
      </c>
      <c r="AC137" s="14" t="str">
        <f>IF(VLOOKUP(A137,Data_NV!$A:$I,7,0)="Không","",IF(OR(AND(Y137=0,Z137=0),AND(Y137&lt;&gt;0,Z137&lt;&gt;0)),"","Quên chấm công"))</f>
        <v/>
      </c>
      <c r="AD137" s="14">
        <f>IF(VLOOKUP(A137,Data_NV!$A:$I,7,0)="Không",0,IF(AND(Y137=0,Z137=0),0,IF(X137&lt;=Z137,0,ROUNDDOWN((X137-Z137)*24*60,0))))</f>
        <v>0</v>
      </c>
      <c r="AE137" s="14">
        <f>IF(VLOOKUP(A137,Data_NV!$A:$I,6,0)="Không",0,IF(Z137&lt;=X137,0,ROUNDDOWN((Z137-X137)*24*60,0)))</f>
        <v>0</v>
      </c>
      <c r="AF137" s="29">
        <f t="shared" si="11"/>
        <v>0</v>
      </c>
      <c r="AG137" s="30" t="str">
        <f>IF(AC137="","",IF(COUNTIFS($AC$3:AC137,"Quên chấm công",$S$3:S137,S137)&gt;3,"Không chấm công do vi phạm quá 3 lần",IF(COUNTIFS($AC$3:AC137,"Quên chấm công",$S$3:S137,S137)&gt;2,"Trừ toàn bộ chuyên cần tháng do vi phạm lần 3",IF(COUNTIFS($AC$3:AC137,"Quên chấm công",$S$3:S137,S137)&gt;1,"Trừ 1/2 ngày lương",50000))))</f>
        <v/>
      </c>
      <c r="AH137" s="14" t="str">
        <f>IF(COUNTIFS($AF$3:AF137,"&gt;0",$S$3:S137,S137)&gt;3,"Trừ toàn bộ chuyên cần tháng","")</f>
        <v/>
      </c>
      <c r="AI137" s="14"/>
      <c r="AJ137" s="14"/>
    </row>
    <row r="138" spans="1:36" x14ac:dyDescent="0.25">
      <c r="A138" s="4" t="s">
        <v>198</v>
      </c>
      <c r="B138" s="1" t="s">
        <v>199</v>
      </c>
      <c r="C138" s="1" t="s">
        <v>20</v>
      </c>
      <c r="D138" s="1" t="s">
        <v>80</v>
      </c>
      <c r="E138" s="1" t="s">
        <v>22</v>
      </c>
      <c r="F138" s="1" t="s">
        <v>23</v>
      </c>
      <c r="G138" s="1" t="s">
        <v>12</v>
      </c>
      <c r="H138" s="12" t="s">
        <v>210</v>
      </c>
      <c r="I138" s="1" t="s">
        <v>24</v>
      </c>
      <c r="J138" s="1" t="s">
        <v>25</v>
      </c>
      <c r="K138" s="1" t="s">
        <v>25</v>
      </c>
      <c r="L138" s="1" t="s">
        <v>26</v>
      </c>
      <c r="M138" s="1" t="s">
        <v>25</v>
      </c>
      <c r="N138" s="1" t="s">
        <v>25</v>
      </c>
      <c r="O138" s="1" t="s">
        <v>25</v>
      </c>
      <c r="P138" s="1" t="s">
        <v>25</v>
      </c>
      <c r="Q138" s="1" t="s">
        <v>25</v>
      </c>
      <c r="R138" s="70" t="str">
        <f t="shared" si="8"/>
        <v>1345916</v>
      </c>
      <c r="S138" t="str">
        <f>VLOOKUP(A138,Data_NV!$A:$C,3,0)</f>
        <v xml:space="preserve"> Nguyễn Quốc Minh   </v>
      </c>
      <c r="T138" t="str">
        <f>VLOOKUP(A138,Data_NV!$A:$E,4,0)</f>
        <v>Vận Hành</v>
      </c>
      <c r="U138" s="67">
        <f>DATEVALUE(Table2[[#This Row],[Ngày]])</f>
        <v>45916</v>
      </c>
      <c r="V138" t="str">
        <f>VLOOKUP(A138,Data_NV!$A:$E,5,0)</f>
        <v>Đang làm việc</v>
      </c>
      <c r="W138" s="11">
        <f>VLOOKUP(A138,Data_NV!$A:$I,8,0)</f>
        <v>0.3125</v>
      </c>
      <c r="X138" s="11">
        <f>VLOOKUP(A138,Data_NV!$A:$I,9,0)</f>
        <v>0.6875</v>
      </c>
      <c r="Y138" s="11">
        <f>IFERROR(TIMEVALUE(Table2[[#This Row],[Vào]]),0)</f>
        <v>0.30541666666666667</v>
      </c>
      <c r="Z138" s="11">
        <f>IFERROR(TIMEVALUE(Table2[[#This Row],[Ra]]),0)</f>
        <v>0</v>
      </c>
      <c r="AA138" t="str">
        <f t="shared" si="9"/>
        <v>x</v>
      </c>
      <c r="AB138" s="14">
        <f t="shared" si="10"/>
        <v>0</v>
      </c>
      <c r="AC138" s="14" t="str">
        <f>IF(VLOOKUP(A138,Data_NV!$A:$I,7,0)="Không","",IF(OR(AND(Y138=0,Z138=0),AND(Y138&lt;&gt;0,Z138&lt;&gt;0)),"","Quên chấm công"))</f>
        <v/>
      </c>
      <c r="AD138" s="14">
        <f>IF(VLOOKUP(A138,Data_NV!$A:$I,7,0)="Không",0,IF(AND(Y138=0,Z138=0),0,IF(X138&lt;=Z138,0,ROUNDDOWN((X138-Z138)*24*60,0))))</f>
        <v>0</v>
      </c>
      <c r="AE138" s="14">
        <f>IF(VLOOKUP(A138,Data_NV!$A:$I,6,0)="Không",0,IF(Z138&lt;=X138,0,ROUNDDOWN((Z138-X138)*24*60,0)))</f>
        <v>0</v>
      </c>
      <c r="AF138" s="29">
        <f t="shared" si="11"/>
        <v>0</v>
      </c>
      <c r="AG138" s="30" t="str">
        <f>IF(AC138="","",IF(COUNTIFS($AC$3:AC138,"Quên chấm công",$S$3:S138,S138)&gt;3,"Không chấm công do vi phạm quá 3 lần",IF(COUNTIFS($AC$3:AC138,"Quên chấm công",$S$3:S138,S138)&gt;2,"Trừ toàn bộ chuyên cần tháng do vi phạm lần 3",IF(COUNTIFS($AC$3:AC138,"Quên chấm công",$S$3:S138,S138)&gt;1,"Trừ 1/2 ngày lương",50000))))</f>
        <v/>
      </c>
      <c r="AH138" s="14" t="str">
        <f>IF(COUNTIFS($AF$3:AF138,"&gt;0",$S$3:S138,S138)&gt;3,"Trừ toàn bộ chuyên cần tháng","")</f>
        <v/>
      </c>
      <c r="AI138" s="14"/>
      <c r="AJ138" s="14"/>
    </row>
    <row r="139" spans="1:36" x14ac:dyDescent="0.25">
      <c r="A139" s="4" t="s">
        <v>198</v>
      </c>
      <c r="B139" s="1" t="s">
        <v>199</v>
      </c>
      <c r="C139" s="1" t="s">
        <v>20</v>
      </c>
      <c r="D139" s="1" t="s">
        <v>85</v>
      </c>
      <c r="E139" s="1" t="s">
        <v>22</v>
      </c>
      <c r="F139" s="1" t="s">
        <v>23</v>
      </c>
      <c r="G139" s="1" t="s">
        <v>12</v>
      </c>
      <c r="H139" s="12" t="s">
        <v>211</v>
      </c>
      <c r="I139" s="1" t="s">
        <v>24</v>
      </c>
      <c r="J139" s="1" t="s">
        <v>25</v>
      </c>
      <c r="K139" s="1" t="s">
        <v>25</v>
      </c>
      <c r="L139" s="1" t="s">
        <v>26</v>
      </c>
      <c r="M139" s="1" t="s">
        <v>25</v>
      </c>
      <c r="N139" s="1" t="s">
        <v>25</v>
      </c>
      <c r="O139" s="1" t="s">
        <v>25</v>
      </c>
      <c r="P139" s="1" t="s">
        <v>25</v>
      </c>
      <c r="Q139" s="1" t="s">
        <v>25</v>
      </c>
      <c r="R139" s="70" t="str">
        <f t="shared" si="8"/>
        <v>1345917</v>
      </c>
      <c r="S139" t="str">
        <f>VLOOKUP(A139,Data_NV!$A:$C,3,0)</f>
        <v xml:space="preserve"> Nguyễn Quốc Minh   </v>
      </c>
      <c r="T139" t="str">
        <f>VLOOKUP(A139,Data_NV!$A:$E,4,0)</f>
        <v>Vận Hành</v>
      </c>
      <c r="U139" s="67">
        <f>DATEVALUE(Table2[[#This Row],[Ngày]])</f>
        <v>45917</v>
      </c>
      <c r="V139" t="str">
        <f>VLOOKUP(A139,Data_NV!$A:$E,5,0)</f>
        <v>Đang làm việc</v>
      </c>
      <c r="W139" s="11">
        <f>VLOOKUP(A139,Data_NV!$A:$I,8,0)</f>
        <v>0.3125</v>
      </c>
      <c r="X139" s="11">
        <f>VLOOKUP(A139,Data_NV!$A:$I,9,0)</f>
        <v>0.6875</v>
      </c>
      <c r="Y139" s="11">
        <f>IFERROR(TIMEVALUE(Table2[[#This Row],[Vào]]),0)</f>
        <v>0.30524305555555553</v>
      </c>
      <c r="Z139" s="11">
        <f>IFERROR(TIMEVALUE(Table2[[#This Row],[Ra]]),0)</f>
        <v>0</v>
      </c>
      <c r="AA139" t="str">
        <f t="shared" si="9"/>
        <v>x</v>
      </c>
      <c r="AB139" s="14">
        <f t="shared" si="10"/>
        <v>0</v>
      </c>
      <c r="AC139" s="14" t="str">
        <f>IF(VLOOKUP(A139,Data_NV!$A:$I,7,0)="Không","",IF(OR(AND(Y139=0,Z139=0),AND(Y139&lt;&gt;0,Z139&lt;&gt;0)),"","Quên chấm công"))</f>
        <v/>
      </c>
      <c r="AD139" s="14">
        <f>IF(VLOOKUP(A139,Data_NV!$A:$I,7,0)="Không",0,IF(AND(Y139=0,Z139=0),0,IF(X139&lt;=Z139,0,ROUNDDOWN((X139-Z139)*24*60,0))))</f>
        <v>0</v>
      </c>
      <c r="AE139" s="14">
        <f>IF(VLOOKUP(A139,Data_NV!$A:$I,6,0)="Không",0,IF(Z139&lt;=X139,0,ROUNDDOWN((Z139-X139)*24*60,0)))</f>
        <v>0</v>
      </c>
      <c r="AF139" s="29">
        <f t="shared" si="11"/>
        <v>0</v>
      </c>
      <c r="AG139" s="30" t="str">
        <f>IF(AC139="","",IF(COUNTIFS($AC$3:AC139,"Quên chấm công",$S$3:S139,S139)&gt;3,"Không chấm công do vi phạm quá 3 lần",IF(COUNTIFS($AC$3:AC139,"Quên chấm công",$S$3:S139,S139)&gt;2,"Trừ toàn bộ chuyên cần tháng do vi phạm lần 3",IF(COUNTIFS($AC$3:AC139,"Quên chấm công",$S$3:S139,S139)&gt;1,"Trừ 1/2 ngày lương",50000))))</f>
        <v/>
      </c>
      <c r="AH139" s="14" t="str">
        <f>IF(COUNTIFS($AF$3:AF139,"&gt;0",$S$3:S139,S139)&gt;3,"Trừ toàn bộ chuyên cần tháng","")</f>
        <v/>
      </c>
      <c r="AI139" s="14"/>
      <c r="AJ139" s="14"/>
    </row>
    <row r="140" spans="1:36" x14ac:dyDescent="0.25">
      <c r="A140" s="4" t="s">
        <v>198</v>
      </c>
      <c r="B140" s="1" t="s">
        <v>199</v>
      </c>
      <c r="C140" s="1" t="s">
        <v>20</v>
      </c>
      <c r="D140" s="1" t="s">
        <v>90</v>
      </c>
      <c r="E140" s="1" t="s">
        <v>22</v>
      </c>
      <c r="F140" s="1" t="s">
        <v>23</v>
      </c>
      <c r="G140" s="1" t="s">
        <v>12</v>
      </c>
      <c r="H140" s="12" t="s">
        <v>212</v>
      </c>
      <c r="I140" s="1" t="s">
        <v>24</v>
      </c>
      <c r="J140" s="1" t="s">
        <v>25</v>
      </c>
      <c r="K140" s="1" t="s">
        <v>25</v>
      </c>
      <c r="L140" s="1" t="s">
        <v>26</v>
      </c>
      <c r="M140" s="1" t="s">
        <v>25</v>
      </c>
      <c r="N140" s="1" t="s">
        <v>25</v>
      </c>
      <c r="O140" s="1" t="s">
        <v>25</v>
      </c>
      <c r="P140" s="1" t="s">
        <v>25</v>
      </c>
      <c r="Q140" s="1" t="s">
        <v>25</v>
      </c>
      <c r="R140" s="70" t="str">
        <f t="shared" si="8"/>
        <v>1345918</v>
      </c>
      <c r="S140" t="str">
        <f>VLOOKUP(A140,Data_NV!$A:$C,3,0)</f>
        <v xml:space="preserve"> Nguyễn Quốc Minh   </v>
      </c>
      <c r="T140" t="str">
        <f>VLOOKUP(A140,Data_NV!$A:$E,4,0)</f>
        <v>Vận Hành</v>
      </c>
      <c r="U140" s="67">
        <f>DATEVALUE(Table2[[#This Row],[Ngày]])</f>
        <v>45918</v>
      </c>
      <c r="V140" t="str">
        <f>VLOOKUP(A140,Data_NV!$A:$E,5,0)</f>
        <v>Đang làm việc</v>
      </c>
      <c r="W140" s="11">
        <f>VLOOKUP(A140,Data_NV!$A:$I,8,0)</f>
        <v>0.3125</v>
      </c>
      <c r="X140" s="11">
        <f>VLOOKUP(A140,Data_NV!$A:$I,9,0)</f>
        <v>0.6875</v>
      </c>
      <c r="Y140" s="11">
        <f>IFERROR(TIMEVALUE(Table2[[#This Row],[Vào]]),0)</f>
        <v>0.29633101851851851</v>
      </c>
      <c r="Z140" s="11">
        <f>IFERROR(TIMEVALUE(Table2[[#This Row],[Ra]]),0)</f>
        <v>0</v>
      </c>
      <c r="AA140" t="str">
        <f t="shared" si="9"/>
        <v>x</v>
      </c>
      <c r="AB140" s="14">
        <f t="shared" si="10"/>
        <v>0</v>
      </c>
      <c r="AC140" s="14" t="str">
        <f>IF(VLOOKUP(A140,Data_NV!$A:$I,7,0)="Không","",IF(OR(AND(Y140=0,Z140=0),AND(Y140&lt;&gt;0,Z140&lt;&gt;0)),"","Quên chấm công"))</f>
        <v/>
      </c>
      <c r="AD140" s="14">
        <f>IF(VLOOKUP(A140,Data_NV!$A:$I,7,0)="Không",0,IF(AND(Y140=0,Z140=0),0,IF(X140&lt;=Z140,0,ROUNDDOWN((X140-Z140)*24*60,0))))</f>
        <v>0</v>
      </c>
      <c r="AE140" s="14">
        <f>IF(VLOOKUP(A140,Data_NV!$A:$I,6,0)="Không",0,IF(Z140&lt;=X140,0,ROUNDDOWN((Z140-X140)*24*60,0)))</f>
        <v>0</v>
      </c>
      <c r="AF140" s="29">
        <f t="shared" si="11"/>
        <v>0</v>
      </c>
      <c r="AG140" s="30" t="str">
        <f>IF(AC140="","",IF(COUNTIFS($AC$3:AC140,"Quên chấm công",$S$3:S140,S140)&gt;3,"Không chấm công do vi phạm quá 3 lần",IF(COUNTIFS($AC$3:AC140,"Quên chấm công",$S$3:S140,S140)&gt;2,"Trừ toàn bộ chuyên cần tháng do vi phạm lần 3",IF(COUNTIFS($AC$3:AC140,"Quên chấm công",$S$3:S140,S140)&gt;1,"Trừ 1/2 ngày lương",50000))))</f>
        <v/>
      </c>
      <c r="AH140" s="14" t="str">
        <f>IF(COUNTIFS($AF$3:AF140,"&gt;0",$S$3:S140,S140)&gt;3,"Trừ toàn bộ chuyên cần tháng","")</f>
        <v/>
      </c>
      <c r="AI140" s="14"/>
      <c r="AJ140" s="14"/>
    </row>
    <row r="141" spans="1:36" x14ac:dyDescent="0.25">
      <c r="A141" s="4" t="s">
        <v>198</v>
      </c>
      <c r="B141" s="1" t="s">
        <v>199</v>
      </c>
      <c r="C141" s="1" t="s">
        <v>20</v>
      </c>
      <c r="D141" s="1" t="s">
        <v>95</v>
      </c>
      <c r="E141" s="1" t="s">
        <v>22</v>
      </c>
      <c r="F141" s="1" t="s">
        <v>23</v>
      </c>
      <c r="G141" s="1" t="s">
        <v>12</v>
      </c>
      <c r="H141" s="12" t="s">
        <v>213</v>
      </c>
      <c r="I141" s="1" t="s">
        <v>24</v>
      </c>
      <c r="J141" s="1" t="s">
        <v>25</v>
      </c>
      <c r="K141" s="1" t="s">
        <v>25</v>
      </c>
      <c r="L141" s="1" t="s">
        <v>26</v>
      </c>
      <c r="M141" s="1" t="s">
        <v>25</v>
      </c>
      <c r="N141" s="1" t="s">
        <v>25</v>
      </c>
      <c r="O141" s="1" t="s">
        <v>25</v>
      </c>
      <c r="P141" s="1" t="s">
        <v>25</v>
      </c>
      <c r="Q141" s="1" t="s">
        <v>25</v>
      </c>
      <c r="R141" s="70" t="str">
        <f t="shared" si="8"/>
        <v>1345919</v>
      </c>
      <c r="S141" t="str">
        <f>VLOOKUP(A141,Data_NV!$A:$C,3,0)</f>
        <v xml:space="preserve"> Nguyễn Quốc Minh   </v>
      </c>
      <c r="T141" t="str">
        <f>VLOOKUP(A141,Data_NV!$A:$E,4,0)</f>
        <v>Vận Hành</v>
      </c>
      <c r="U141" s="67">
        <f>DATEVALUE(Table2[[#This Row],[Ngày]])</f>
        <v>45919</v>
      </c>
      <c r="V141" t="str">
        <f>VLOOKUP(A141,Data_NV!$A:$E,5,0)</f>
        <v>Đang làm việc</v>
      </c>
      <c r="W141" s="11">
        <f>VLOOKUP(A141,Data_NV!$A:$I,8,0)</f>
        <v>0.3125</v>
      </c>
      <c r="X141" s="11">
        <f>VLOOKUP(A141,Data_NV!$A:$I,9,0)</f>
        <v>0.6875</v>
      </c>
      <c r="Y141" s="11">
        <f>IFERROR(TIMEVALUE(Table2[[#This Row],[Vào]]),0)</f>
        <v>0.30031249999999998</v>
      </c>
      <c r="Z141" s="11">
        <f>IFERROR(TIMEVALUE(Table2[[#This Row],[Ra]]),0)</f>
        <v>0</v>
      </c>
      <c r="AA141" t="str">
        <f t="shared" si="9"/>
        <v>x</v>
      </c>
      <c r="AB141" s="14">
        <f t="shared" si="10"/>
        <v>0</v>
      </c>
      <c r="AC141" s="14" t="str">
        <f>IF(VLOOKUP(A141,Data_NV!$A:$I,7,0)="Không","",IF(OR(AND(Y141=0,Z141=0),AND(Y141&lt;&gt;0,Z141&lt;&gt;0)),"","Quên chấm công"))</f>
        <v/>
      </c>
      <c r="AD141" s="14">
        <f>IF(VLOOKUP(A141,Data_NV!$A:$I,7,0)="Không",0,IF(AND(Y141=0,Z141=0),0,IF(X141&lt;=Z141,0,ROUNDDOWN((X141-Z141)*24*60,0))))</f>
        <v>0</v>
      </c>
      <c r="AE141" s="14">
        <f>IF(VLOOKUP(A141,Data_NV!$A:$I,6,0)="Không",0,IF(Z141&lt;=X141,0,ROUNDDOWN((Z141-X141)*24*60,0)))</f>
        <v>0</v>
      </c>
      <c r="AF141" s="29">
        <f t="shared" si="11"/>
        <v>0</v>
      </c>
      <c r="AG141" s="30" t="str">
        <f>IF(AC141="","",IF(COUNTIFS($AC$3:AC141,"Quên chấm công",$S$3:S141,S141)&gt;3,"Không chấm công do vi phạm quá 3 lần",IF(COUNTIFS($AC$3:AC141,"Quên chấm công",$S$3:S141,S141)&gt;2,"Trừ toàn bộ chuyên cần tháng do vi phạm lần 3",IF(COUNTIFS($AC$3:AC141,"Quên chấm công",$S$3:S141,S141)&gt;1,"Trừ 1/2 ngày lương",50000))))</f>
        <v/>
      </c>
      <c r="AH141" s="14" t="str">
        <f>IF(COUNTIFS($AF$3:AF141,"&gt;0",$S$3:S141,S141)&gt;3,"Trừ toàn bộ chuyên cần tháng","")</f>
        <v/>
      </c>
      <c r="AI141" s="14"/>
      <c r="AJ141" s="14"/>
    </row>
    <row r="142" spans="1:36" x14ac:dyDescent="0.25">
      <c r="A142" s="4" t="s">
        <v>198</v>
      </c>
      <c r="B142" s="1" t="s">
        <v>199</v>
      </c>
      <c r="C142" s="1" t="s">
        <v>20</v>
      </c>
      <c r="D142" s="1" t="s">
        <v>100</v>
      </c>
      <c r="E142" s="1" t="s">
        <v>22</v>
      </c>
      <c r="F142" s="1" t="s">
        <v>23</v>
      </c>
      <c r="G142" s="1" t="s">
        <v>12</v>
      </c>
      <c r="H142" s="12" t="s">
        <v>214</v>
      </c>
      <c r="I142" s="1" t="s">
        <v>24</v>
      </c>
      <c r="J142" s="1" t="s">
        <v>25</v>
      </c>
      <c r="K142" s="1" t="s">
        <v>25</v>
      </c>
      <c r="L142" s="1" t="s">
        <v>26</v>
      </c>
      <c r="M142" s="1" t="s">
        <v>25</v>
      </c>
      <c r="N142" s="1" t="s">
        <v>25</v>
      </c>
      <c r="O142" s="1" t="s">
        <v>25</v>
      </c>
      <c r="P142" s="1" t="s">
        <v>25</v>
      </c>
      <c r="Q142" s="1" t="s">
        <v>25</v>
      </c>
      <c r="R142" s="70" t="str">
        <f t="shared" si="8"/>
        <v>1345920</v>
      </c>
      <c r="S142" t="str">
        <f>VLOOKUP(A142,Data_NV!$A:$C,3,0)</f>
        <v xml:space="preserve"> Nguyễn Quốc Minh   </v>
      </c>
      <c r="T142" t="str">
        <f>VLOOKUP(A142,Data_NV!$A:$E,4,0)</f>
        <v>Vận Hành</v>
      </c>
      <c r="U142" s="67">
        <f>DATEVALUE(Table2[[#This Row],[Ngày]])</f>
        <v>45920</v>
      </c>
      <c r="V142" t="str">
        <f>VLOOKUP(A142,Data_NV!$A:$E,5,0)</f>
        <v>Đang làm việc</v>
      </c>
      <c r="W142" s="11">
        <f>VLOOKUP(A142,Data_NV!$A:$I,8,0)</f>
        <v>0.3125</v>
      </c>
      <c r="X142" s="11">
        <f>VLOOKUP(A142,Data_NV!$A:$I,9,0)</f>
        <v>0.6875</v>
      </c>
      <c r="Y142" s="11">
        <f>IFERROR(TIMEVALUE(Table2[[#This Row],[Vào]]),0)</f>
        <v>0.30405092592592592</v>
      </c>
      <c r="Z142" s="11">
        <f>IFERROR(TIMEVALUE(Table2[[#This Row],[Ra]]),0)</f>
        <v>0</v>
      </c>
      <c r="AA142" t="str">
        <f t="shared" si="9"/>
        <v>x</v>
      </c>
      <c r="AB142" s="14">
        <f t="shared" si="10"/>
        <v>0</v>
      </c>
      <c r="AC142" s="14" t="str">
        <f>IF(VLOOKUP(A142,Data_NV!$A:$I,7,0)="Không","",IF(OR(AND(Y142=0,Z142=0),AND(Y142&lt;&gt;0,Z142&lt;&gt;0)),"","Quên chấm công"))</f>
        <v/>
      </c>
      <c r="AD142" s="14">
        <f>IF(VLOOKUP(A142,Data_NV!$A:$I,7,0)="Không",0,IF(AND(Y142=0,Z142=0),0,IF(X142&lt;=Z142,0,ROUNDDOWN((X142-Z142)*24*60,0))))</f>
        <v>0</v>
      </c>
      <c r="AE142" s="14">
        <f>IF(VLOOKUP(A142,Data_NV!$A:$I,6,0)="Không",0,IF(Z142&lt;=X142,0,ROUNDDOWN((Z142-X142)*24*60,0)))</f>
        <v>0</v>
      </c>
      <c r="AF142" s="29">
        <f t="shared" si="11"/>
        <v>0</v>
      </c>
      <c r="AG142" s="30" t="str">
        <f>IF(AC142="","",IF(COUNTIFS($AC$3:AC142,"Quên chấm công",$S$3:S142,S142)&gt;3,"Không chấm công do vi phạm quá 3 lần",IF(COUNTIFS($AC$3:AC142,"Quên chấm công",$S$3:S142,S142)&gt;2,"Trừ toàn bộ chuyên cần tháng do vi phạm lần 3",IF(COUNTIFS($AC$3:AC142,"Quên chấm công",$S$3:S142,S142)&gt;1,"Trừ 1/2 ngày lương",50000))))</f>
        <v/>
      </c>
      <c r="AH142" s="14" t="str">
        <f>IF(COUNTIFS($AF$3:AF142,"&gt;0",$S$3:S142,S142)&gt;3,"Trừ toàn bộ chuyên cần tháng","")</f>
        <v/>
      </c>
      <c r="AI142" s="14"/>
      <c r="AJ142" s="14"/>
    </row>
    <row r="143" spans="1:36" x14ac:dyDescent="0.25">
      <c r="A143" s="4" t="s">
        <v>198</v>
      </c>
      <c r="B143" s="1" t="s">
        <v>199</v>
      </c>
      <c r="C143" s="1" t="s">
        <v>20</v>
      </c>
      <c r="D143" s="1" t="s">
        <v>105</v>
      </c>
      <c r="E143" s="1" t="s">
        <v>22</v>
      </c>
      <c r="F143" s="1" t="s">
        <v>23</v>
      </c>
      <c r="G143" s="1" t="s">
        <v>12</v>
      </c>
      <c r="H143" s="12" t="s">
        <v>24</v>
      </c>
      <c r="I143" s="1" t="s">
        <v>24</v>
      </c>
      <c r="J143" s="1" t="s">
        <v>25</v>
      </c>
      <c r="K143" s="1" t="s">
        <v>25</v>
      </c>
      <c r="L143" s="1" t="s">
        <v>26</v>
      </c>
      <c r="M143" s="1" t="s">
        <v>25</v>
      </c>
      <c r="N143" s="1" t="s">
        <v>25</v>
      </c>
      <c r="O143" s="1" t="s">
        <v>25</v>
      </c>
      <c r="P143" s="1" t="s">
        <v>25</v>
      </c>
      <c r="Q143" s="1" t="s">
        <v>25</v>
      </c>
      <c r="R143" s="70" t="str">
        <f t="shared" si="8"/>
        <v>1345921</v>
      </c>
      <c r="S143" t="str">
        <f>VLOOKUP(A143,Data_NV!$A:$C,3,0)</f>
        <v xml:space="preserve"> Nguyễn Quốc Minh   </v>
      </c>
      <c r="T143" t="str">
        <f>VLOOKUP(A143,Data_NV!$A:$E,4,0)</f>
        <v>Vận Hành</v>
      </c>
      <c r="U143" s="67">
        <f>DATEVALUE(Table2[[#This Row],[Ngày]])</f>
        <v>45921</v>
      </c>
      <c r="V143" t="str">
        <f>VLOOKUP(A143,Data_NV!$A:$E,5,0)</f>
        <v>Đang làm việc</v>
      </c>
      <c r="W143" s="11">
        <f>VLOOKUP(A143,Data_NV!$A:$I,8,0)</f>
        <v>0.3125</v>
      </c>
      <c r="X143" s="11">
        <f>VLOOKUP(A143,Data_NV!$A:$I,9,0)</f>
        <v>0.6875</v>
      </c>
      <c r="Y143" s="11">
        <f>IFERROR(TIMEVALUE(Table2[[#This Row],[Vào]]),0)</f>
        <v>0</v>
      </c>
      <c r="Z143" s="11">
        <f>IFERROR(TIMEVALUE(Table2[[#This Row],[Ra]]),0)</f>
        <v>0</v>
      </c>
      <c r="AA143" t="str">
        <f t="shared" si="9"/>
        <v/>
      </c>
      <c r="AB143" s="14">
        <f t="shared" si="10"/>
        <v>0</v>
      </c>
      <c r="AC143" s="14" t="str">
        <f>IF(VLOOKUP(A143,Data_NV!$A:$I,7,0)="Không","",IF(OR(AND(Y143=0,Z143=0),AND(Y143&lt;&gt;0,Z143&lt;&gt;0)),"","Quên chấm công"))</f>
        <v/>
      </c>
      <c r="AD143" s="14">
        <f>IF(VLOOKUP(A143,Data_NV!$A:$I,7,0)="Không",0,IF(AND(Y143=0,Z143=0),0,IF(X143&lt;=Z143,0,ROUNDDOWN((X143-Z143)*24*60,0))))</f>
        <v>0</v>
      </c>
      <c r="AE143" s="14">
        <f>IF(VLOOKUP(A143,Data_NV!$A:$I,6,0)="Không",0,IF(Z143&lt;=X143,0,ROUNDDOWN((Z143-X143)*24*60,0)))</f>
        <v>0</v>
      </c>
      <c r="AF143" s="29">
        <f t="shared" si="11"/>
        <v>0</v>
      </c>
      <c r="AG143" s="30" t="str">
        <f>IF(AC143="","",IF(COUNTIFS($AC$3:AC143,"Quên chấm công",$S$3:S143,S143)&gt;3,"Không chấm công do vi phạm quá 3 lần",IF(COUNTIFS($AC$3:AC143,"Quên chấm công",$S$3:S143,S143)&gt;2,"Trừ toàn bộ chuyên cần tháng do vi phạm lần 3",IF(COUNTIFS($AC$3:AC143,"Quên chấm công",$S$3:S143,S143)&gt;1,"Trừ 1/2 ngày lương",50000))))</f>
        <v/>
      </c>
      <c r="AH143" s="14" t="str">
        <f>IF(COUNTIFS($AF$3:AF143,"&gt;0",$S$3:S143,S143)&gt;3,"Trừ toàn bộ chuyên cần tháng","")</f>
        <v/>
      </c>
      <c r="AI143" s="14"/>
      <c r="AJ143" s="14"/>
    </row>
    <row r="144" spans="1:36" x14ac:dyDescent="0.25">
      <c r="A144" s="4" t="s">
        <v>198</v>
      </c>
      <c r="B144" s="1" t="s">
        <v>199</v>
      </c>
      <c r="C144" s="1" t="s">
        <v>20</v>
      </c>
      <c r="D144" s="1" t="s">
        <v>106</v>
      </c>
      <c r="E144" s="1" t="s">
        <v>22</v>
      </c>
      <c r="F144" s="1" t="s">
        <v>23</v>
      </c>
      <c r="G144" s="1" t="s">
        <v>12</v>
      </c>
      <c r="H144" s="12" t="s">
        <v>215</v>
      </c>
      <c r="I144" s="1" t="s">
        <v>24</v>
      </c>
      <c r="J144" s="1" t="s">
        <v>25</v>
      </c>
      <c r="K144" s="1" t="s">
        <v>25</v>
      </c>
      <c r="L144" s="1" t="s">
        <v>26</v>
      </c>
      <c r="M144" s="1" t="s">
        <v>25</v>
      </c>
      <c r="N144" s="1" t="s">
        <v>25</v>
      </c>
      <c r="O144" s="1" t="s">
        <v>25</v>
      </c>
      <c r="P144" s="1" t="s">
        <v>25</v>
      </c>
      <c r="Q144" s="1" t="s">
        <v>25</v>
      </c>
      <c r="R144" s="70" t="str">
        <f t="shared" si="8"/>
        <v>1345922</v>
      </c>
      <c r="S144" t="str">
        <f>VLOOKUP(A144,Data_NV!$A:$C,3,0)</f>
        <v xml:space="preserve"> Nguyễn Quốc Minh   </v>
      </c>
      <c r="T144" t="str">
        <f>VLOOKUP(A144,Data_NV!$A:$E,4,0)</f>
        <v>Vận Hành</v>
      </c>
      <c r="U144" s="67">
        <f>DATEVALUE(Table2[[#This Row],[Ngày]])</f>
        <v>45922</v>
      </c>
      <c r="V144" t="str">
        <f>VLOOKUP(A144,Data_NV!$A:$E,5,0)</f>
        <v>Đang làm việc</v>
      </c>
      <c r="W144" s="11">
        <f>VLOOKUP(A144,Data_NV!$A:$I,8,0)</f>
        <v>0.3125</v>
      </c>
      <c r="X144" s="11">
        <f>VLOOKUP(A144,Data_NV!$A:$I,9,0)</f>
        <v>0.6875</v>
      </c>
      <c r="Y144" s="11">
        <f>IFERROR(TIMEVALUE(Table2[[#This Row],[Vào]]),0)</f>
        <v>0.28841435185185182</v>
      </c>
      <c r="Z144" s="11">
        <f>IFERROR(TIMEVALUE(Table2[[#This Row],[Ra]]),0)</f>
        <v>0</v>
      </c>
      <c r="AA144" t="str">
        <f t="shared" si="9"/>
        <v>x</v>
      </c>
      <c r="AB144" s="14">
        <f t="shared" si="10"/>
        <v>0</v>
      </c>
      <c r="AC144" s="14" t="str">
        <f>IF(VLOOKUP(A144,Data_NV!$A:$I,7,0)="Không","",IF(OR(AND(Y144=0,Z144=0),AND(Y144&lt;&gt;0,Z144&lt;&gt;0)),"","Quên chấm công"))</f>
        <v/>
      </c>
      <c r="AD144" s="14">
        <f>IF(VLOOKUP(A144,Data_NV!$A:$I,7,0)="Không",0,IF(AND(Y144=0,Z144=0),0,IF(X144&lt;=Z144,0,ROUNDDOWN((X144-Z144)*24*60,0))))</f>
        <v>0</v>
      </c>
      <c r="AE144" s="14">
        <f>IF(VLOOKUP(A144,Data_NV!$A:$I,6,0)="Không",0,IF(Z144&lt;=X144,0,ROUNDDOWN((Z144-X144)*24*60,0)))</f>
        <v>0</v>
      </c>
      <c r="AF144" s="29">
        <f t="shared" si="11"/>
        <v>0</v>
      </c>
      <c r="AG144" s="30" t="str">
        <f>IF(AC144="","",IF(COUNTIFS($AC$3:AC144,"Quên chấm công",$S$3:S144,S144)&gt;3,"Không chấm công do vi phạm quá 3 lần",IF(COUNTIFS($AC$3:AC144,"Quên chấm công",$S$3:S144,S144)&gt;2,"Trừ toàn bộ chuyên cần tháng do vi phạm lần 3",IF(COUNTIFS($AC$3:AC144,"Quên chấm công",$S$3:S144,S144)&gt;1,"Trừ 1/2 ngày lương",50000))))</f>
        <v/>
      </c>
      <c r="AH144" s="14" t="str">
        <f>IF(COUNTIFS($AF$3:AF144,"&gt;0",$S$3:S144,S144)&gt;3,"Trừ toàn bộ chuyên cần tháng","")</f>
        <v/>
      </c>
      <c r="AI144" s="14"/>
      <c r="AJ144" s="14"/>
    </row>
    <row r="145" spans="1:36" x14ac:dyDescent="0.25">
      <c r="A145" s="4" t="s">
        <v>198</v>
      </c>
      <c r="B145" s="1" t="s">
        <v>199</v>
      </c>
      <c r="C145" s="1" t="s">
        <v>20</v>
      </c>
      <c r="D145" s="1" t="s">
        <v>111</v>
      </c>
      <c r="E145" s="1" t="s">
        <v>22</v>
      </c>
      <c r="F145" s="1" t="s">
        <v>23</v>
      </c>
      <c r="G145" s="1" t="s">
        <v>12</v>
      </c>
      <c r="H145" s="12" t="s">
        <v>216</v>
      </c>
      <c r="I145" s="1" t="s">
        <v>24</v>
      </c>
      <c r="J145" s="1" t="s">
        <v>25</v>
      </c>
      <c r="K145" s="1" t="s">
        <v>25</v>
      </c>
      <c r="L145" s="1" t="s">
        <v>26</v>
      </c>
      <c r="M145" s="1" t="s">
        <v>25</v>
      </c>
      <c r="N145" s="1" t="s">
        <v>25</v>
      </c>
      <c r="O145" s="1" t="s">
        <v>25</v>
      </c>
      <c r="P145" s="1" t="s">
        <v>25</v>
      </c>
      <c r="Q145" s="1" t="s">
        <v>25</v>
      </c>
      <c r="R145" s="70" t="str">
        <f t="shared" si="8"/>
        <v>1345923</v>
      </c>
      <c r="S145" t="str">
        <f>VLOOKUP(A145,Data_NV!$A:$C,3,0)</f>
        <v xml:space="preserve"> Nguyễn Quốc Minh   </v>
      </c>
      <c r="T145" t="str">
        <f>VLOOKUP(A145,Data_NV!$A:$E,4,0)</f>
        <v>Vận Hành</v>
      </c>
      <c r="U145" s="67">
        <f>DATEVALUE(Table2[[#This Row],[Ngày]])</f>
        <v>45923</v>
      </c>
      <c r="V145" t="str">
        <f>VLOOKUP(A145,Data_NV!$A:$E,5,0)</f>
        <v>Đang làm việc</v>
      </c>
      <c r="W145" s="11">
        <f>VLOOKUP(A145,Data_NV!$A:$I,8,0)</f>
        <v>0.3125</v>
      </c>
      <c r="X145" s="11">
        <f>VLOOKUP(A145,Data_NV!$A:$I,9,0)</f>
        <v>0.6875</v>
      </c>
      <c r="Y145" s="11">
        <f>IFERROR(TIMEVALUE(Table2[[#This Row],[Vào]]),0)</f>
        <v>0.29269675925925925</v>
      </c>
      <c r="Z145" s="11">
        <f>IFERROR(TIMEVALUE(Table2[[#This Row],[Ra]]),0)</f>
        <v>0</v>
      </c>
      <c r="AA145" t="str">
        <f t="shared" si="9"/>
        <v>x</v>
      </c>
      <c r="AB145" s="14">
        <f t="shared" si="10"/>
        <v>0</v>
      </c>
      <c r="AC145" s="14" t="str">
        <f>IF(VLOOKUP(A145,Data_NV!$A:$I,7,0)="Không","",IF(OR(AND(Y145=0,Z145=0),AND(Y145&lt;&gt;0,Z145&lt;&gt;0)),"","Quên chấm công"))</f>
        <v/>
      </c>
      <c r="AD145" s="14">
        <f>IF(VLOOKUP(A145,Data_NV!$A:$I,7,0)="Không",0,IF(AND(Y145=0,Z145=0),0,IF(X145&lt;=Z145,0,ROUNDDOWN((X145-Z145)*24*60,0))))</f>
        <v>0</v>
      </c>
      <c r="AE145" s="14">
        <f>IF(VLOOKUP(A145,Data_NV!$A:$I,6,0)="Không",0,IF(Z145&lt;=X145,0,ROUNDDOWN((Z145-X145)*24*60,0)))</f>
        <v>0</v>
      </c>
      <c r="AF145" s="29">
        <f t="shared" si="11"/>
        <v>0</v>
      </c>
      <c r="AG145" s="30" t="str">
        <f>IF(AC145="","",IF(COUNTIFS($AC$3:AC145,"Quên chấm công",$S$3:S145,S145)&gt;3,"Không chấm công do vi phạm quá 3 lần",IF(COUNTIFS($AC$3:AC145,"Quên chấm công",$S$3:S145,S145)&gt;2,"Trừ toàn bộ chuyên cần tháng do vi phạm lần 3",IF(COUNTIFS($AC$3:AC145,"Quên chấm công",$S$3:S145,S145)&gt;1,"Trừ 1/2 ngày lương",50000))))</f>
        <v/>
      </c>
      <c r="AH145" s="14" t="str">
        <f>IF(COUNTIFS($AF$3:AF145,"&gt;0",$S$3:S145,S145)&gt;3,"Trừ toàn bộ chuyên cần tháng","")</f>
        <v/>
      </c>
      <c r="AI145" s="14"/>
      <c r="AJ145" s="14"/>
    </row>
    <row r="146" spans="1:36" x14ac:dyDescent="0.25">
      <c r="A146" s="4" t="s">
        <v>198</v>
      </c>
      <c r="B146" s="1" t="s">
        <v>199</v>
      </c>
      <c r="C146" s="1" t="s">
        <v>20</v>
      </c>
      <c r="D146" s="1" t="s">
        <v>116</v>
      </c>
      <c r="E146" s="1" t="s">
        <v>22</v>
      </c>
      <c r="F146" s="1" t="s">
        <v>23</v>
      </c>
      <c r="G146" s="1" t="s">
        <v>12</v>
      </c>
      <c r="H146" s="12" t="s">
        <v>217</v>
      </c>
      <c r="I146" s="1" t="s">
        <v>24</v>
      </c>
      <c r="J146" s="1" t="s">
        <v>25</v>
      </c>
      <c r="K146" s="1" t="s">
        <v>25</v>
      </c>
      <c r="L146" s="1" t="s">
        <v>26</v>
      </c>
      <c r="M146" s="1" t="s">
        <v>25</v>
      </c>
      <c r="N146" s="1" t="s">
        <v>25</v>
      </c>
      <c r="O146" s="1" t="s">
        <v>25</v>
      </c>
      <c r="P146" s="1" t="s">
        <v>25</v>
      </c>
      <c r="Q146" s="1" t="s">
        <v>25</v>
      </c>
      <c r="R146" s="70" t="str">
        <f t="shared" si="8"/>
        <v>1345924</v>
      </c>
      <c r="S146" t="str">
        <f>VLOOKUP(A146,Data_NV!$A:$C,3,0)</f>
        <v xml:space="preserve"> Nguyễn Quốc Minh   </v>
      </c>
      <c r="T146" t="str">
        <f>VLOOKUP(A146,Data_NV!$A:$E,4,0)</f>
        <v>Vận Hành</v>
      </c>
      <c r="U146" s="67">
        <f>DATEVALUE(Table2[[#This Row],[Ngày]])</f>
        <v>45924</v>
      </c>
      <c r="V146" t="str">
        <f>VLOOKUP(A146,Data_NV!$A:$E,5,0)</f>
        <v>Đang làm việc</v>
      </c>
      <c r="W146" s="11">
        <f>VLOOKUP(A146,Data_NV!$A:$I,8,0)</f>
        <v>0.3125</v>
      </c>
      <c r="X146" s="11">
        <f>VLOOKUP(A146,Data_NV!$A:$I,9,0)</f>
        <v>0.6875</v>
      </c>
      <c r="Y146" s="11">
        <f>IFERROR(TIMEVALUE(Table2[[#This Row],[Vào]]),0)</f>
        <v>0.30054398148148148</v>
      </c>
      <c r="Z146" s="11">
        <f>IFERROR(TIMEVALUE(Table2[[#This Row],[Ra]]),0)</f>
        <v>0</v>
      </c>
      <c r="AA146" t="str">
        <f t="shared" si="9"/>
        <v>x</v>
      </c>
      <c r="AB146" s="14">
        <f t="shared" si="10"/>
        <v>0</v>
      </c>
      <c r="AC146" s="14" t="str">
        <f>IF(VLOOKUP(A146,Data_NV!$A:$I,7,0)="Không","",IF(OR(AND(Y146=0,Z146=0),AND(Y146&lt;&gt;0,Z146&lt;&gt;0)),"","Quên chấm công"))</f>
        <v/>
      </c>
      <c r="AD146" s="14">
        <f>IF(VLOOKUP(A146,Data_NV!$A:$I,7,0)="Không",0,IF(AND(Y146=0,Z146=0),0,IF(X146&lt;=Z146,0,ROUNDDOWN((X146-Z146)*24*60,0))))</f>
        <v>0</v>
      </c>
      <c r="AE146" s="14">
        <f>IF(VLOOKUP(A146,Data_NV!$A:$I,6,0)="Không",0,IF(Z146&lt;=X146,0,ROUNDDOWN((Z146-X146)*24*60,0)))</f>
        <v>0</v>
      </c>
      <c r="AF146" s="29">
        <f t="shared" si="11"/>
        <v>0</v>
      </c>
      <c r="AG146" s="30" t="str">
        <f>IF(AC146="","",IF(COUNTIFS($AC$3:AC146,"Quên chấm công",$S$3:S146,S146)&gt;3,"Không chấm công do vi phạm quá 3 lần",IF(COUNTIFS($AC$3:AC146,"Quên chấm công",$S$3:S146,S146)&gt;2,"Trừ toàn bộ chuyên cần tháng do vi phạm lần 3",IF(COUNTIFS($AC$3:AC146,"Quên chấm công",$S$3:S146,S146)&gt;1,"Trừ 1/2 ngày lương",50000))))</f>
        <v/>
      </c>
      <c r="AH146" s="14" t="str">
        <f>IF(COUNTIFS($AF$3:AF146,"&gt;0",$S$3:S146,S146)&gt;3,"Trừ toàn bộ chuyên cần tháng","")</f>
        <v/>
      </c>
      <c r="AI146" s="14"/>
      <c r="AJ146" s="14"/>
    </row>
    <row r="147" spans="1:36" x14ac:dyDescent="0.25">
      <c r="A147" s="4" t="s">
        <v>198</v>
      </c>
      <c r="B147" s="1" t="s">
        <v>199</v>
      </c>
      <c r="C147" s="1" t="s">
        <v>20</v>
      </c>
      <c r="D147" s="1" t="s">
        <v>121</v>
      </c>
      <c r="E147" s="1" t="s">
        <v>22</v>
      </c>
      <c r="F147" s="1" t="s">
        <v>23</v>
      </c>
      <c r="G147" s="1" t="s">
        <v>12</v>
      </c>
      <c r="H147" s="12" t="s">
        <v>86</v>
      </c>
      <c r="I147" s="1" t="s">
        <v>24</v>
      </c>
      <c r="J147" s="1" t="s">
        <v>25</v>
      </c>
      <c r="K147" s="1" t="s">
        <v>25</v>
      </c>
      <c r="L147" s="1" t="s">
        <v>26</v>
      </c>
      <c r="M147" s="1" t="s">
        <v>25</v>
      </c>
      <c r="N147" s="1" t="s">
        <v>25</v>
      </c>
      <c r="O147" s="1" t="s">
        <v>25</v>
      </c>
      <c r="P147" s="1" t="s">
        <v>25</v>
      </c>
      <c r="Q147" s="1" t="s">
        <v>25</v>
      </c>
      <c r="R147" s="70" t="str">
        <f t="shared" si="8"/>
        <v>1345925</v>
      </c>
      <c r="S147" t="str">
        <f>VLOOKUP(A147,Data_NV!$A:$C,3,0)</f>
        <v xml:space="preserve"> Nguyễn Quốc Minh   </v>
      </c>
      <c r="T147" t="str">
        <f>VLOOKUP(A147,Data_NV!$A:$E,4,0)</f>
        <v>Vận Hành</v>
      </c>
      <c r="U147" s="67">
        <f>DATEVALUE(Table2[[#This Row],[Ngày]])</f>
        <v>45925</v>
      </c>
      <c r="V147" t="str">
        <f>VLOOKUP(A147,Data_NV!$A:$E,5,0)</f>
        <v>Đang làm việc</v>
      </c>
      <c r="W147" s="11">
        <f>VLOOKUP(A147,Data_NV!$A:$I,8,0)</f>
        <v>0.3125</v>
      </c>
      <c r="X147" s="11">
        <f>VLOOKUP(A147,Data_NV!$A:$I,9,0)</f>
        <v>0.6875</v>
      </c>
      <c r="Y147" s="11">
        <f>IFERROR(TIMEVALUE(Table2[[#This Row],[Vào]]),0)</f>
        <v>0.30554398148148149</v>
      </c>
      <c r="Z147" s="11">
        <f>IFERROR(TIMEVALUE(Table2[[#This Row],[Ra]]),0)</f>
        <v>0</v>
      </c>
      <c r="AA147" t="str">
        <f t="shared" si="9"/>
        <v>x</v>
      </c>
      <c r="AB147" s="14">
        <f t="shared" si="10"/>
        <v>0</v>
      </c>
      <c r="AC147" s="14" t="str">
        <f>IF(VLOOKUP(A147,Data_NV!$A:$I,7,0)="Không","",IF(OR(AND(Y147=0,Z147=0),AND(Y147&lt;&gt;0,Z147&lt;&gt;0)),"","Quên chấm công"))</f>
        <v/>
      </c>
      <c r="AD147" s="14">
        <f>IF(VLOOKUP(A147,Data_NV!$A:$I,7,0)="Không",0,IF(AND(Y147=0,Z147=0),0,IF(X147&lt;=Z147,0,ROUNDDOWN((X147-Z147)*24*60,0))))</f>
        <v>0</v>
      </c>
      <c r="AE147" s="14">
        <f>IF(VLOOKUP(A147,Data_NV!$A:$I,6,0)="Không",0,IF(Z147&lt;=X147,0,ROUNDDOWN((Z147-X147)*24*60,0)))</f>
        <v>0</v>
      </c>
      <c r="AF147" s="29">
        <f t="shared" si="11"/>
        <v>0</v>
      </c>
      <c r="AG147" s="30" t="str">
        <f>IF(AC147="","",IF(COUNTIFS($AC$3:AC147,"Quên chấm công",$S$3:S147,S147)&gt;3,"Không chấm công do vi phạm quá 3 lần",IF(COUNTIFS($AC$3:AC147,"Quên chấm công",$S$3:S147,S147)&gt;2,"Trừ toàn bộ chuyên cần tháng do vi phạm lần 3",IF(COUNTIFS($AC$3:AC147,"Quên chấm công",$S$3:S147,S147)&gt;1,"Trừ 1/2 ngày lương",50000))))</f>
        <v/>
      </c>
      <c r="AH147" s="14" t="str">
        <f>IF(COUNTIFS($AF$3:AF147,"&gt;0",$S$3:S147,S147)&gt;3,"Trừ toàn bộ chuyên cần tháng","")</f>
        <v/>
      </c>
      <c r="AI147" s="14"/>
      <c r="AJ147" s="14"/>
    </row>
    <row r="148" spans="1:36" x14ac:dyDescent="0.25">
      <c r="A148" s="4" t="s">
        <v>198</v>
      </c>
      <c r="B148" s="1" t="s">
        <v>199</v>
      </c>
      <c r="C148" s="1" t="s">
        <v>20</v>
      </c>
      <c r="D148" s="1" t="s">
        <v>123</v>
      </c>
      <c r="E148" s="1" t="s">
        <v>22</v>
      </c>
      <c r="F148" s="1" t="s">
        <v>23</v>
      </c>
      <c r="G148" s="1" t="s">
        <v>12</v>
      </c>
      <c r="H148" s="12" t="s">
        <v>218</v>
      </c>
      <c r="I148" s="1" t="s">
        <v>24</v>
      </c>
      <c r="J148" s="1" t="s">
        <v>25</v>
      </c>
      <c r="K148" s="1" t="s">
        <v>25</v>
      </c>
      <c r="L148" s="1" t="s">
        <v>26</v>
      </c>
      <c r="M148" s="1" t="s">
        <v>25</v>
      </c>
      <c r="N148" s="1" t="s">
        <v>25</v>
      </c>
      <c r="O148" s="1" t="s">
        <v>25</v>
      </c>
      <c r="P148" s="1" t="s">
        <v>25</v>
      </c>
      <c r="Q148" s="1" t="s">
        <v>25</v>
      </c>
      <c r="R148" s="70" t="str">
        <f t="shared" si="8"/>
        <v>1345926</v>
      </c>
      <c r="S148" t="str">
        <f>VLOOKUP(A148,Data_NV!$A:$C,3,0)</f>
        <v xml:space="preserve"> Nguyễn Quốc Minh   </v>
      </c>
      <c r="T148" t="str">
        <f>VLOOKUP(A148,Data_NV!$A:$E,4,0)</f>
        <v>Vận Hành</v>
      </c>
      <c r="U148" s="67">
        <f>DATEVALUE(Table2[[#This Row],[Ngày]])</f>
        <v>45926</v>
      </c>
      <c r="V148" t="str">
        <f>VLOOKUP(A148,Data_NV!$A:$E,5,0)</f>
        <v>Đang làm việc</v>
      </c>
      <c r="W148" s="11">
        <f>VLOOKUP(A148,Data_NV!$A:$I,8,0)</f>
        <v>0.3125</v>
      </c>
      <c r="X148" s="11">
        <f>VLOOKUP(A148,Data_NV!$A:$I,9,0)</f>
        <v>0.6875</v>
      </c>
      <c r="Y148" s="11">
        <f>IFERROR(TIMEVALUE(Table2[[#This Row],[Vào]]),0)</f>
        <v>0.30872685185185184</v>
      </c>
      <c r="Z148" s="11">
        <f>IFERROR(TIMEVALUE(Table2[[#This Row],[Ra]]),0)</f>
        <v>0</v>
      </c>
      <c r="AA148" t="str">
        <f t="shared" si="9"/>
        <v>x</v>
      </c>
      <c r="AB148" s="14">
        <f t="shared" si="10"/>
        <v>0</v>
      </c>
      <c r="AC148" s="14" t="str">
        <f>IF(VLOOKUP(A148,Data_NV!$A:$I,7,0)="Không","",IF(OR(AND(Y148=0,Z148=0),AND(Y148&lt;&gt;0,Z148&lt;&gt;0)),"","Quên chấm công"))</f>
        <v/>
      </c>
      <c r="AD148" s="14">
        <f>IF(VLOOKUP(A148,Data_NV!$A:$I,7,0)="Không",0,IF(AND(Y148=0,Z148=0),0,IF(X148&lt;=Z148,0,ROUNDDOWN((X148-Z148)*24*60,0))))</f>
        <v>0</v>
      </c>
      <c r="AE148" s="14">
        <f>IF(VLOOKUP(A148,Data_NV!$A:$I,6,0)="Không",0,IF(Z148&lt;=X148,0,ROUNDDOWN((Z148-X148)*24*60,0)))</f>
        <v>0</v>
      </c>
      <c r="AF148" s="29">
        <f t="shared" si="11"/>
        <v>0</v>
      </c>
      <c r="AG148" s="30" t="str">
        <f>IF(AC148="","",IF(COUNTIFS($AC$3:AC148,"Quên chấm công",$S$3:S148,S148)&gt;3,"Không chấm công do vi phạm quá 3 lần",IF(COUNTIFS($AC$3:AC148,"Quên chấm công",$S$3:S148,S148)&gt;2,"Trừ toàn bộ chuyên cần tháng do vi phạm lần 3",IF(COUNTIFS($AC$3:AC148,"Quên chấm công",$S$3:S148,S148)&gt;1,"Trừ 1/2 ngày lương",50000))))</f>
        <v/>
      </c>
      <c r="AH148" s="14" t="str">
        <f>IF(COUNTIFS($AF$3:AF148,"&gt;0",$S$3:S148,S148)&gt;3,"Trừ toàn bộ chuyên cần tháng","")</f>
        <v/>
      </c>
      <c r="AI148" s="14"/>
      <c r="AJ148" s="14"/>
    </row>
    <row r="149" spans="1:36" x14ac:dyDescent="0.25">
      <c r="A149" s="4" t="s">
        <v>198</v>
      </c>
      <c r="B149" s="1" t="s">
        <v>199</v>
      </c>
      <c r="C149" s="1" t="s">
        <v>20</v>
      </c>
      <c r="D149" s="1" t="s">
        <v>125</v>
      </c>
      <c r="E149" s="1" t="s">
        <v>22</v>
      </c>
      <c r="F149" s="1" t="s">
        <v>23</v>
      </c>
      <c r="G149" s="1" t="s">
        <v>12</v>
      </c>
      <c r="H149" s="12" t="s">
        <v>219</v>
      </c>
      <c r="I149" s="1" t="s">
        <v>24</v>
      </c>
      <c r="J149" s="1" t="s">
        <v>25</v>
      </c>
      <c r="K149" s="1" t="s">
        <v>25</v>
      </c>
      <c r="L149" s="1" t="s">
        <v>26</v>
      </c>
      <c r="M149" s="1" t="s">
        <v>25</v>
      </c>
      <c r="N149" s="1" t="s">
        <v>25</v>
      </c>
      <c r="O149" s="1" t="s">
        <v>25</v>
      </c>
      <c r="P149" s="1" t="s">
        <v>25</v>
      </c>
      <c r="Q149" s="1" t="s">
        <v>25</v>
      </c>
      <c r="R149" s="70" t="str">
        <f t="shared" si="8"/>
        <v>1345927</v>
      </c>
      <c r="S149" t="str">
        <f>VLOOKUP(A149,Data_NV!$A:$C,3,0)</f>
        <v xml:space="preserve"> Nguyễn Quốc Minh   </v>
      </c>
      <c r="T149" t="str">
        <f>VLOOKUP(A149,Data_NV!$A:$E,4,0)</f>
        <v>Vận Hành</v>
      </c>
      <c r="U149" s="67">
        <f>DATEVALUE(Table2[[#This Row],[Ngày]])</f>
        <v>45927</v>
      </c>
      <c r="V149" t="str">
        <f>VLOOKUP(A149,Data_NV!$A:$E,5,0)</f>
        <v>Đang làm việc</v>
      </c>
      <c r="W149" s="11">
        <f>VLOOKUP(A149,Data_NV!$A:$I,8,0)</f>
        <v>0.3125</v>
      </c>
      <c r="X149" s="11">
        <f>VLOOKUP(A149,Data_NV!$A:$I,9,0)</f>
        <v>0.6875</v>
      </c>
      <c r="Y149" s="11">
        <f>IFERROR(TIMEVALUE(Table2[[#This Row],[Vào]]),0)</f>
        <v>0.29925925925925928</v>
      </c>
      <c r="Z149" s="11">
        <f>IFERROR(TIMEVALUE(Table2[[#This Row],[Ra]]),0)</f>
        <v>0</v>
      </c>
      <c r="AA149" t="str">
        <f t="shared" si="9"/>
        <v>x</v>
      </c>
      <c r="AB149" s="14">
        <f t="shared" si="10"/>
        <v>0</v>
      </c>
      <c r="AC149" s="14" t="str">
        <f>IF(VLOOKUP(A149,Data_NV!$A:$I,7,0)="Không","",IF(OR(AND(Y149=0,Z149=0),AND(Y149&lt;&gt;0,Z149&lt;&gt;0)),"","Quên chấm công"))</f>
        <v/>
      </c>
      <c r="AD149" s="14">
        <f>IF(VLOOKUP(A149,Data_NV!$A:$I,7,0)="Không",0,IF(AND(Y149=0,Z149=0),0,IF(X149&lt;=Z149,0,ROUNDDOWN((X149-Z149)*24*60,0))))</f>
        <v>0</v>
      </c>
      <c r="AE149" s="14">
        <f>IF(VLOOKUP(A149,Data_NV!$A:$I,6,0)="Không",0,IF(Z149&lt;=X149,0,ROUNDDOWN((Z149-X149)*24*60,0)))</f>
        <v>0</v>
      </c>
      <c r="AF149" s="29">
        <f t="shared" si="11"/>
        <v>0</v>
      </c>
      <c r="AG149" s="30" t="str">
        <f>IF(AC149="","",IF(COUNTIFS($AC$3:AC149,"Quên chấm công",$S$3:S149,S149)&gt;3,"Không chấm công do vi phạm quá 3 lần",IF(COUNTIFS($AC$3:AC149,"Quên chấm công",$S$3:S149,S149)&gt;2,"Trừ toàn bộ chuyên cần tháng do vi phạm lần 3",IF(COUNTIFS($AC$3:AC149,"Quên chấm công",$S$3:S149,S149)&gt;1,"Trừ 1/2 ngày lương",50000))))</f>
        <v/>
      </c>
      <c r="AH149" s="14" t="str">
        <f>IF(COUNTIFS($AF$3:AF149,"&gt;0",$S$3:S149,S149)&gt;3,"Trừ toàn bộ chuyên cần tháng","")</f>
        <v/>
      </c>
      <c r="AI149" s="14"/>
      <c r="AJ149" s="14"/>
    </row>
    <row r="150" spans="1:36" x14ac:dyDescent="0.25">
      <c r="A150" s="4" t="s">
        <v>198</v>
      </c>
      <c r="B150" s="1" t="s">
        <v>199</v>
      </c>
      <c r="C150" s="1" t="s">
        <v>20</v>
      </c>
      <c r="D150" s="1" t="s">
        <v>130</v>
      </c>
      <c r="E150" s="1" t="s">
        <v>22</v>
      </c>
      <c r="F150" s="1" t="s">
        <v>23</v>
      </c>
      <c r="G150" s="1" t="s">
        <v>12</v>
      </c>
      <c r="H150" s="12" t="s">
        <v>24</v>
      </c>
      <c r="I150" s="1" t="s">
        <v>24</v>
      </c>
      <c r="J150" s="1" t="s">
        <v>25</v>
      </c>
      <c r="K150" s="1" t="s">
        <v>25</v>
      </c>
      <c r="L150" s="1" t="s">
        <v>26</v>
      </c>
      <c r="M150" s="1" t="s">
        <v>25</v>
      </c>
      <c r="N150" s="1" t="s">
        <v>25</v>
      </c>
      <c r="O150" s="1" t="s">
        <v>25</v>
      </c>
      <c r="P150" s="1" t="s">
        <v>25</v>
      </c>
      <c r="Q150" s="1" t="s">
        <v>25</v>
      </c>
      <c r="R150" s="70" t="str">
        <f t="shared" si="8"/>
        <v>1345928</v>
      </c>
      <c r="S150" t="str">
        <f>VLOOKUP(A150,Data_NV!$A:$C,3,0)</f>
        <v xml:space="preserve"> Nguyễn Quốc Minh   </v>
      </c>
      <c r="T150" t="str">
        <f>VLOOKUP(A150,Data_NV!$A:$E,4,0)</f>
        <v>Vận Hành</v>
      </c>
      <c r="U150" s="67">
        <f>DATEVALUE(Table2[[#This Row],[Ngày]])</f>
        <v>45928</v>
      </c>
      <c r="V150" t="str">
        <f>VLOOKUP(A150,Data_NV!$A:$E,5,0)</f>
        <v>Đang làm việc</v>
      </c>
      <c r="W150" s="11">
        <f>VLOOKUP(A150,Data_NV!$A:$I,8,0)</f>
        <v>0.3125</v>
      </c>
      <c r="X150" s="11">
        <f>VLOOKUP(A150,Data_NV!$A:$I,9,0)</f>
        <v>0.6875</v>
      </c>
      <c r="Y150" s="11">
        <f>IFERROR(TIMEVALUE(Table2[[#This Row],[Vào]]),0)</f>
        <v>0</v>
      </c>
      <c r="Z150" s="11">
        <f>IFERROR(TIMEVALUE(Table2[[#This Row],[Ra]]),0)</f>
        <v>0</v>
      </c>
      <c r="AA150" t="str">
        <f t="shared" si="9"/>
        <v/>
      </c>
      <c r="AB150" s="14">
        <f t="shared" si="10"/>
        <v>0</v>
      </c>
      <c r="AC150" s="14" t="str">
        <f>IF(VLOOKUP(A150,Data_NV!$A:$I,7,0)="Không","",IF(OR(AND(Y150=0,Z150=0),AND(Y150&lt;&gt;0,Z150&lt;&gt;0)),"","Quên chấm công"))</f>
        <v/>
      </c>
      <c r="AD150" s="14">
        <f>IF(VLOOKUP(A150,Data_NV!$A:$I,7,0)="Không",0,IF(AND(Y150=0,Z150=0),0,IF(X150&lt;=Z150,0,ROUNDDOWN((X150-Z150)*24*60,0))))</f>
        <v>0</v>
      </c>
      <c r="AE150" s="14">
        <f>IF(VLOOKUP(A150,Data_NV!$A:$I,6,0)="Không",0,IF(Z150&lt;=X150,0,ROUNDDOWN((Z150-X150)*24*60,0)))</f>
        <v>0</v>
      </c>
      <c r="AF150" s="29">
        <f t="shared" si="11"/>
        <v>0</v>
      </c>
      <c r="AG150" s="30" t="str">
        <f>IF(AC150="","",IF(COUNTIFS($AC$3:AC150,"Quên chấm công",$S$3:S150,S150)&gt;3,"Không chấm công do vi phạm quá 3 lần",IF(COUNTIFS($AC$3:AC150,"Quên chấm công",$S$3:S150,S150)&gt;2,"Trừ toàn bộ chuyên cần tháng do vi phạm lần 3",IF(COUNTIFS($AC$3:AC150,"Quên chấm công",$S$3:S150,S150)&gt;1,"Trừ 1/2 ngày lương",50000))))</f>
        <v/>
      </c>
      <c r="AH150" s="14" t="str">
        <f>IF(COUNTIFS($AF$3:AF150,"&gt;0",$S$3:S150,S150)&gt;3,"Trừ toàn bộ chuyên cần tháng","")</f>
        <v/>
      </c>
      <c r="AI150" s="14"/>
      <c r="AJ150" s="14"/>
    </row>
    <row r="151" spans="1:36" x14ac:dyDescent="0.25">
      <c r="A151" s="4" t="s">
        <v>198</v>
      </c>
      <c r="B151" s="1" t="s">
        <v>199</v>
      </c>
      <c r="C151" s="1" t="s">
        <v>20</v>
      </c>
      <c r="D151" s="1" t="s">
        <v>131</v>
      </c>
      <c r="E151" s="1" t="s">
        <v>22</v>
      </c>
      <c r="F151" s="1" t="s">
        <v>23</v>
      </c>
      <c r="G151" s="1" t="s">
        <v>12</v>
      </c>
      <c r="H151" s="12" t="s">
        <v>220</v>
      </c>
      <c r="I151" s="1" t="s">
        <v>24</v>
      </c>
      <c r="J151" s="1" t="s">
        <v>25</v>
      </c>
      <c r="K151" s="1" t="s">
        <v>25</v>
      </c>
      <c r="L151" s="1" t="s">
        <v>26</v>
      </c>
      <c r="M151" s="1" t="s">
        <v>25</v>
      </c>
      <c r="N151" s="1" t="s">
        <v>25</v>
      </c>
      <c r="O151" s="1" t="s">
        <v>25</v>
      </c>
      <c r="P151" s="1" t="s">
        <v>25</v>
      </c>
      <c r="Q151" s="1" t="s">
        <v>25</v>
      </c>
      <c r="R151" s="70" t="str">
        <f t="shared" si="8"/>
        <v>1345929</v>
      </c>
      <c r="S151" t="str">
        <f>VLOOKUP(A151,Data_NV!$A:$C,3,0)</f>
        <v xml:space="preserve"> Nguyễn Quốc Minh   </v>
      </c>
      <c r="T151" t="str">
        <f>VLOOKUP(A151,Data_NV!$A:$E,4,0)</f>
        <v>Vận Hành</v>
      </c>
      <c r="U151" s="67">
        <f>DATEVALUE(Table2[[#This Row],[Ngày]])</f>
        <v>45929</v>
      </c>
      <c r="V151" t="str">
        <f>VLOOKUP(A151,Data_NV!$A:$E,5,0)</f>
        <v>Đang làm việc</v>
      </c>
      <c r="W151" s="11">
        <f>VLOOKUP(A151,Data_NV!$A:$I,8,0)</f>
        <v>0.3125</v>
      </c>
      <c r="X151" s="11">
        <f>VLOOKUP(A151,Data_NV!$A:$I,9,0)</f>
        <v>0.6875</v>
      </c>
      <c r="Y151" s="11">
        <f>IFERROR(TIMEVALUE(Table2[[#This Row],[Vào]]),0)</f>
        <v>0.32969907407407406</v>
      </c>
      <c r="Z151" s="11">
        <f>IFERROR(TIMEVALUE(Table2[[#This Row],[Ra]]),0)</f>
        <v>0</v>
      </c>
      <c r="AA151" t="str">
        <f t="shared" si="9"/>
        <v>x</v>
      </c>
      <c r="AB151" s="14">
        <f t="shared" si="10"/>
        <v>24</v>
      </c>
      <c r="AC151" s="14" t="str">
        <f>IF(VLOOKUP(A151,Data_NV!$A:$I,7,0)="Không","",IF(OR(AND(Y151=0,Z151=0),AND(Y151&lt;&gt;0,Z151&lt;&gt;0)),"","Quên chấm công"))</f>
        <v/>
      </c>
      <c r="AD151" s="14">
        <f>IF(VLOOKUP(A151,Data_NV!$A:$I,7,0)="Không",0,IF(AND(Y151=0,Z151=0),0,IF(X151&lt;=Z151,0,ROUNDDOWN((X151-Z151)*24*60,0))))</f>
        <v>0</v>
      </c>
      <c r="AE151" s="14">
        <f>IF(VLOOKUP(A151,Data_NV!$A:$I,6,0)="Không",0,IF(Z151&lt;=X151,0,ROUNDDOWN((Z151-X151)*24*60,0)))</f>
        <v>0</v>
      </c>
      <c r="AF151" s="29">
        <f t="shared" si="11"/>
        <v>50000</v>
      </c>
      <c r="AG151" s="30" t="str">
        <f>IF(AC151="","",IF(COUNTIFS($AC$3:AC151,"Quên chấm công",$S$3:S151,S151)&gt;3,"Không chấm công do vi phạm quá 3 lần",IF(COUNTIFS($AC$3:AC151,"Quên chấm công",$S$3:S151,S151)&gt;2,"Trừ toàn bộ chuyên cần tháng do vi phạm lần 3",IF(COUNTIFS($AC$3:AC151,"Quên chấm công",$S$3:S151,S151)&gt;1,"Trừ 1/2 ngày lương",50000))))</f>
        <v/>
      </c>
      <c r="AH151" s="14" t="str">
        <f>IF(COUNTIFS($AF$3:AF151,"&gt;0",$S$3:S151,S151)&gt;3,"Trừ toàn bộ chuyên cần tháng","")</f>
        <v/>
      </c>
      <c r="AI151" s="14"/>
      <c r="AJ151" s="14"/>
    </row>
    <row r="152" spans="1:36" x14ac:dyDescent="0.25">
      <c r="A152" s="4" t="s">
        <v>198</v>
      </c>
      <c r="B152" s="1" t="s">
        <v>199</v>
      </c>
      <c r="C152" s="1" t="s">
        <v>20</v>
      </c>
      <c r="D152" s="1" t="s">
        <v>136</v>
      </c>
      <c r="E152" s="1" t="s">
        <v>22</v>
      </c>
      <c r="F152" s="1" t="s">
        <v>23</v>
      </c>
      <c r="G152" s="1" t="s">
        <v>12</v>
      </c>
      <c r="H152" s="12" t="s">
        <v>24</v>
      </c>
      <c r="I152" s="1" t="s">
        <v>24</v>
      </c>
      <c r="J152" s="1" t="s">
        <v>25</v>
      </c>
      <c r="K152" s="1" t="s">
        <v>25</v>
      </c>
      <c r="L152" s="1" t="s">
        <v>26</v>
      </c>
      <c r="M152" s="1" t="s">
        <v>25</v>
      </c>
      <c r="N152" s="1" t="s">
        <v>25</v>
      </c>
      <c r="O152" s="1" t="s">
        <v>25</v>
      </c>
      <c r="P152" s="1" t="s">
        <v>25</v>
      </c>
      <c r="Q152" s="1" t="s">
        <v>25</v>
      </c>
      <c r="R152" s="70" t="str">
        <f t="shared" si="8"/>
        <v>1345930</v>
      </c>
      <c r="S152" t="str">
        <f>VLOOKUP(A152,Data_NV!$A:$C,3,0)</f>
        <v xml:space="preserve"> Nguyễn Quốc Minh   </v>
      </c>
      <c r="T152" t="str">
        <f>VLOOKUP(A152,Data_NV!$A:$E,4,0)</f>
        <v>Vận Hành</v>
      </c>
      <c r="U152" s="67">
        <f>DATEVALUE(Table2[[#This Row],[Ngày]])</f>
        <v>45930</v>
      </c>
      <c r="V152" t="str">
        <f>VLOOKUP(A152,Data_NV!$A:$E,5,0)</f>
        <v>Đang làm việc</v>
      </c>
      <c r="W152" s="11">
        <f>VLOOKUP(A152,Data_NV!$A:$I,8,0)</f>
        <v>0.3125</v>
      </c>
      <c r="X152" s="11">
        <f>VLOOKUP(A152,Data_NV!$A:$I,9,0)</f>
        <v>0.6875</v>
      </c>
      <c r="Y152" s="11">
        <f>IFERROR(TIMEVALUE(Table2[[#This Row],[Vào]]),0)</f>
        <v>0</v>
      </c>
      <c r="Z152" s="11">
        <f>IFERROR(TIMEVALUE(Table2[[#This Row],[Ra]]),0)</f>
        <v>0</v>
      </c>
      <c r="AA152" t="str">
        <f t="shared" si="9"/>
        <v/>
      </c>
      <c r="AB152" s="14">
        <f t="shared" si="10"/>
        <v>0</v>
      </c>
      <c r="AC152" s="14" t="str">
        <f>IF(VLOOKUP(A152,Data_NV!$A:$I,7,0)="Không","",IF(OR(AND(Y152=0,Z152=0),AND(Y152&lt;&gt;0,Z152&lt;&gt;0)),"","Quên chấm công"))</f>
        <v/>
      </c>
      <c r="AD152" s="14">
        <f>IF(VLOOKUP(A152,Data_NV!$A:$I,7,0)="Không",0,IF(AND(Y152=0,Z152=0),0,IF(X152&lt;=Z152,0,ROUNDDOWN((X152-Z152)*24*60,0))))</f>
        <v>0</v>
      </c>
      <c r="AE152" s="14">
        <f>IF(VLOOKUP(A152,Data_NV!$A:$I,6,0)="Không",0,IF(Z152&lt;=X152,0,ROUNDDOWN((Z152-X152)*24*60,0)))</f>
        <v>0</v>
      </c>
      <c r="AF152" s="29">
        <f t="shared" si="11"/>
        <v>0</v>
      </c>
      <c r="AG152" s="30" t="str">
        <f>IF(AC152="","",IF(COUNTIFS($AC$3:AC152,"Quên chấm công",$S$3:S152,S152)&gt;3,"Không chấm công do vi phạm quá 3 lần",IF(COUNTIFS($AC$3:AC152,"Quên chấm công",$S$3:S152,S152)&gt;2,"Trừ toàn bộ chuyên cần tháng do vi phạm lần 3",IF(COUNTIFS($AC$3:AC152,"Quên chấm công",$S$3:S152,S152)&gt;1,"Trừ 1/2 ngày lương",50000))))</f>
        <v/>
      </c>
      <c r="AH152" s="14" t="str">
        <f>IF(COUNTIFS($AF$3:AF152,"&gt;0",$S$3:S152,S152)&gt;3,"Trừ toàn bộ chuyên cần tháng","")</f>
        <v/>
      </c>
      <c r="AI152" s="14"/>
      <c r="AJ152" s="14"/>
    </row>
    <row r="153" spans="1:36" x14ac:dyDescent="0.25">
      <c r="A153" s="4" t="s">
        <v>233</v>
      </c>
      <c r="B153" s="1" t="s">
        <v>234</v>
      </c>
      <c r="C153" s="1" t="s">
        <v>20</v>
      </c>
      <c r="D153" s="1" t="s">
        <v>21</v>
      </c>
      <c r="E153" s="1" t="s">
        <v>22</v>
      </c>
      <c r="F153" s="1" t="s">
        <v>23</v>
      </c>
      <c r="G153" s="1" t="s">
        <v>12</v>
      </c>
      <c r="H153" s="12" t="s">
        <v>24</v>
      </c>
      <c r="I153" s="1" t="s">
        <v>24</v>
      </c>
      <c r="J153" s="1" t="s">
        <v>25</v>
      </c>
      <c r="K153" s="1" t="s">
        <v>25</v>
      </c>
      <c r="L153" s="1" t="s">
        <v>26</v>
      </c>
      <c r="M153" s="1" t="s">
        <v>25</v>
      </c>
      <c r="N153" s="1" t="s">
        <v>25</v>
      </c>
      <c r="O153" s="1" t="s">
        <v>25</v>
      </c>
      <c r="P153" s="1" t="s">
        <v>25</v>
      </c>
      <c r="Q153" s="1" t="s">
        <v>25</v>
      </c>
      <c r="R153" s="70" t="str">
        <f t="shared" si="8"/>
        <v>245901</v>
      </c>
      <c r="S153" t="str">
        <f>VLOOKUP(A153,Data_NV!$A:$C,3,0)</f>
        <v xml:space="preserve">Trần Kỳ Tâm    </v>
      </c>
      <c r="T153" t="str">
        <f>VLOOKUP(A153,Data_NV!$A:$E,4,0)</f>
        <v>Vận Hành</v>
      </c>
      <c r="U153" s="67">
        <f>DATEVALUE(Table2[[#This Row],[Ngày]])</f>
        <v>45901</v>
      </c>
      <c r="V153" t="str">
        <f>VLOOKUP(A153,Data_NV!$A:$E,5,0)</f>
        <v>Đang làm việc</v>
      </c>
      <c r="W153" s="11">
        <f>VLOOKUP(A153,Data_NV!$A:$I,8,0)</f>
        <v>0.33333333333333331</v>
      </c>
      <c r="X153" s="11">
        <f>VLOOKUP(A153,Data_NV!$A:$I,9,0)</f>
        <v>0.70833333333333337</v>
      </c>
      <c r="Y153" s="11">
        <f>IFERROR(TIMEVALUE(Table2[[#This Row],[Vào]]),0)</f>
        <v>0</v>
      </c>
      <c r="Z153" s="11">
        <f>IFERROR(TIMEVALUE(Table2[[#This Row],[Ra]]),0)</f>
        <v>0</v>
      </c>
      <c r="AA153" s="10" t="s">
        <v>771</v>
      </c>
      <c r="AB153" s="14">
        <f t="shared" ref="AB153:AB182" si="12">IF(Y153&lt;=W153,0,ROUNDDOWN((Y153-W153)*24*60,0))</f>
        <v>0</v>
      </c>
      <c r="AC153" s="14" t="str">
        <f>IF(VLOOKUP(A153,Data_NV!$A:$I,7,0)="Không","",IF(OR(AND(Y153=0,Z153=0),AND(Y153&lt;&gt;0,Z153&lt;&gt;0)),"","Quên chấm công"))</f>
        <v/>
      </c>
      <c r="AD153" s="14">
        <f>IF(VLOOKUP(A153,Data_NV!$A:$I,7,0)="Không",0,IF(AND(Y153=0,Z153=0),0,IF(X153&lt;=Z153,0,ROUNDDOWN((X153-Z153)*24*60,0))))</f>
        <v>0</v>
      </c>
      <c r="AE153" s="14">
        <f>IF(VLOOKUP(A153,Data_NV!$A:$I,6,0)="Không",0,IF(Z153&lt;=X153,0,ROUNDDOWN((Z153-X153)*24*60,0)))</f>
        <v>0</v>
      </c>
      <c r="AF153" s="29">
        <f t="shared" si="11"/>
        <v>0</v>
      </c>
      <c r="AG153" s="30" t="str">
        <f>IF(AC153="","",IF(COUNTIFS($AC$3:AC153,"Quên chấm công",$S$3:S153,S153)&gt;3,"Không chấm công do vi phạm quá 3 lần",IF(COUNTIFS($AC$3:AC153,"Quên chấm công",$S$3:S153,S153)&gt;2,"Trừ toàn bộ chuyên cần tháng do vi phạm lần 3",IF(COUNTIFS($AC$3:AC153,"Quên chấm công",$S$3:S153,S153)&gt;1,"Trừ 1/2 ngày lương",50000))))</f>
        <v/>
      </c>
      <c r="AH153" s="14" t="str">
        <f>IF(COUNTIFS($AF$3:AF153,"&gt;0",$S$3:S153,S153)&gt;3,"Trừ toàn bộ chuyên cần tháng","")</f>
        <v/>
      </c>
      <c r="AI153" s="14"/>
      <c r="AJ153" s="14"/>
    </row>
    <row r="154" spans="1:36" x14ac:dyDescent="0.25">
      <c r="A154" s="4" t="s">
        <v>233</v>
      </c>
      <c r="B154" s="1" t="s">
        <v>234</v>
      </c>
      <c r="C154" s="1" t="s">
        <v>20</v>
      </c>
      <c r="D154" s="1" t="s">
        <v>27</v>
      </c>
      <c r="E154" s="1" t="s">
        <v>22</v>
      </c>
      <c r="F154" s="1" t="s">
        <v>23</v>
      </c>
      <c r="G154" s="1" t="s">
        <v>12</v>
      </c>
      <c r="H154" s="12" t="s">
        <v>24</v>
      </c>
      <c r="I154" s="1" t="s">
        <v>24</v>
      </c>
      <c r="J154" s="1" t="s">
        <v>25</v>
      </c>
      <c r="K154" s="1" t="s">
        <v>25</v>
      </c>
      <c r="L154" s="1" t="s">
        <v>26</v>
      </c>
      <c r="M154" s="1" t="s">
        <v>25</v>
      </c>
      <c r="N154" s="1" t="s">
        <v>25</v>
      </c>
      <c r="O154" s="1" t="s">
        <v>25</v>
      </c>
      <c r="P154" s="1" t="s">
        <v>25</v>
      </c>
      <c r="Q154" s="1" t="s">
        <v>25</v>
      </c>
      <c r="R154" s="70" t="str">
        <f t="shared" si="8"/>
        <v>245902</v>
      </c>
      <c r="S154" t="str">
        <f>VLOOKUP(A154,Data_NV!$A:$C,3,0)</f>
        <v xml:space="preserve">Trần Kỳ Tâm    </v>
      </c>
      <c r="T154" t="str">
        <f>VLOOKUP(A154,Data_NV!$A:$E,4,0)</f>
        <v>Vận Hành</v>
      </c>
      <c r="U154" s="67">
        <f>DATEVALUE(Table2[[#This Row],[Ngày]])</f>
        <v>45902</v>
      </c>
      <c r="V154" t="str">
        <f>VLOOKUP(A154,Data_NV!$A:$E,5,0)</f>
        <v>Đang làm việc</v>
      </c>
      <c r="W154" s="11">
        <f>VLOOKUP(A154,Data_NV!$A:$I,8,0)</f>
        <v>0.33333333333333331</v>
      </c>
      <c r="X154" s="11">
        <f>VLOOKUP(A154,Data_NV!$A:$I,9,0)</f>
        <v>0.70833333333333337</v>
      </c>
      <c r="Y154" s="11">
        <f>IFERROR(TIMEVALUE(Table2[[#This Row],[Vào]]),0)</f>
        <v>0</v>
      </c>
      <c r="Z154" s="11">
        <f>IFERROR(TIMEVALUE(Table2[[#This Row],[Ra]]),0)</f>
        <v>0</v>
      </c>
      <c r="AA154" s="10" t="s">
        <v>771</v>
      </c>
      <c r="AB154" s="14">
        <f t="shared" si="12"/>
        <v>0</v>
      </c>
      <c r="AC154" s="14" t="str">
        <f>IF(VLOOKUP(A154,Data_NV!$A:$I,7,0)="Không","",IF(OR(AND(Y154=0,Z154=0),AND(Y154&lt;&gt;0,Z154&lt;&gt;0)),"","Quên chấm công"))</f>
        <v/>
      </c>
      <c r="AD154" s="14">
        <f>IF(VLOOKUP(A154,Data_NV!$A:$I,7,0)="Không",0,IF(AND(Y154=0,Z154=0),0,IF(X154&lt;=Z154,0,ROUNDDOWN((X154-Z154)*24*60,0))))</f>
        <v>0</v>
      </c>
      <c r="AE154" s="14">
        <f>IF(VLOOKUP(A154,Data_NV!$A:$I,6,0)="Không",0,IF(Z154&lt;=X154,0,ROUNDDOWN((Z154-X154)*24*60,0)))</f>
        <v>0</v>
      </c>
      <c r="AF154" s="29">
        <f t="shared" si="11"/>
        <v>0</v>
      </c>
      <c r="AG154" s="30" t="str">
        <f>IF(AC154="","",IF(COUNTIFS($AC$3:AC154,"Quên chấm công",$S$3:S154,S154)&gt;3,"Không chấm công do vi phạm quá 3 lần",IF(COUNTIFS($AC$3:AC154,"Quên chấm công",$S$3:S154,S154)&gt;2,"Trừ toàn bộ chuyên cần tháng do vi phạm lần 3",IF(COUNTIFS($AC$3:AC154,"Quên chấm công",$S$3:S154,S154)&gt;1,"Trừ 1/2 ngày lương",50000))))</f>
        <v/>
      </c>
      <c r="AH154" s="14" t="str">
        <f>IF(COUNTIFS($AF$3:AF154,"&gt;0",$S$3:S154,S154)&gt;3,"Trừ toàn bộ chuyên cần tháng","")</f>
        <v/>
      </c>
      <c r="AI154" s="14"/>
      <c r="AJ154" s="14"/>
    </row>
    <row r="155" spans="1:36" x14ac:dyDescent="0.25">
      <c r="A155" s="4" t="s">
        <v>233</v>
      </c>
      <c r="B155" s="1" t="s">
        <v>234</v>
      </c>
      <c r="C155" s="1" t="s">
        <v>20</v>
      </c>
      <c r="D155" s="1" t="s">
        <v>28</v>
      </c>
      <c r="E155" s="1" t="s">
        <v>22</v>
      </c>
      <c r="F155" s="1" t="s">
        <v>23</v>
      </c>
      <c r="G155" s="1" t="s">
        <v>29</v>
      </c>
      <c r="H155" s="12" t="s">
        <v>235</v>
      </c>
      <c r="I155" s="1" t="s">
        <v>236</v>
      </c>
      <c r="J155" s="1" t="s">
        <v>25</v>
      </c>
      <c r="K155" s="1" t="s">
        <v>237</v>
      </c>
      <c r="L155" s="1" t="s">
        <v>25</v>
      </c>
      <c r="M155" s="1" t="s">
        <v>26</v>
      </c>
      <c r="N155" s="1" t="s">
        <v>25</v>
      </c>
      <c r="O155" s="1" t="s">
        <v>238</v>
      </c>
      <c r="P155" s="1" t="s">
        <v>25</v>
      </c>
      <c r="Q155" s="1" t="s">
        <v>25</v>
      </c>
      <c r="R155" s="70" t="str">
        <f t="shared" si="8"/>
        <v>245903</v>
      </c>
      <c r="S155" t="str">
        <f>VLOOKUP(A155,Data_NV!$A:$C,3,0)</f>
        <v xml:space="preserve">Trần Kỳ Tâm    </v>
      </c>
      <c r="T155" t="str">
        <f>VLOOKUP(A155,Data_NV!$A:$E,4,0)</f>
        <v>Vận Hành</v>
      </c>
      <c r="U155" s="67">
        <f>DATEVALUE(Table2[[#This Row],[Ngày]])</f>
        <v>45903</v>
      </c>
      <c r="V155" t="str">
        <f>VLOOKUP(A155,Data_NV!$A:$E,5,0)</f>
        <v>Đang làm việc</v>
      </c>
      <c r="W155" s="11">
        <f>VLOOKUP(A155,Data_NV!$A:$I,8,0)</f>
        <v>0.33333333333333331</v>
      </c>
      <c r="X155" s="11">
        <f>VLOOKUP(A155,Data_NV!$A:$I,9,0)</f>
        <v>0.70833333333333337</v>
      </c>
      <c r="Y155" s="11">
        <f>IFERROR(TIMEVALUE(Table2[[#This Row],[Vào]]),0)</f>
        <v>0.33174768518518516</v>
      </c>
      <c r="Z155" s="11">
        <f>IFERROR(TIMEVALUE(Table2[[#This Row],[Ra]]),0)</f>
        <v>0.75984953703703706</v>
      </c>
      <c r="AA155" t="str">
        <f t="shared" si="9"/>
        <v>x</v>
      </c>
      <c r="AB155" s="14">
        <f t="shared" si="12"/>
        <v>0</v>
      </c>
      <c r="AC155" s="14" t="str">
        <f>IF(VLOOKUP(A155,Data_NV!$A:$I,7,0)="Không","",IF(OR(AND(Y155=0,Z155=0),AND(Y155&lt;&gt;0,Z155&lt;&gt;0)),"","Quên chấm công"))</f>
        <v/>
      </c>
      <c r="AD155" s="14">
        <f>IF(VLOOKUP(A155,Data_NV!$A:$I,7,0)="Không",0,IF(AND(Y155=0,Z155=0),0,IF(X155&lt;=Z155,0,ROUNDDOWN((X155-Z155)*24*60,0))))</f>
        <v>0</v>
      </c>
      <c r="AE155" s="14">
        <f>IF(VLOOKUP(A155,Data_NV!$A:$I,6,0)="Không",0,IF(Z155&lt;=X155,0,ROUNDDOWN((Z155-X155)*24*60,0)))</f>
        <v>74</v>
      </c>
      <c r="AF155" s="29">
        <f t="shared" si="11"/>
        <v>0</v>
      </c>
      <c r="AG155" s="30" t="str">
        <f>IF(AC155="","",IF(COUNTIFS($AC$3:AC155,"Quên chấm công",$S$3:S155,S155)&gt;3,"Không chấm công do vi phạm quá 3 lần",IF(COUNTIFS($AC$3:AC155,"Quên chấm công",$S$3:S155,S155)&gt;2,"Trừ toàn bộ chuyên cần tháng do vi phạm lần 3",IF(COUNTIFS($AC$3:AC155,"Quên chấm công",$S$3:S155,S155)&gt;1,"Trừ 1/2 ngày lương",50000))))</f>
        <v/>
      </c>
      <c r="AH155" s="14" t="str">
        <f>IF(COUNTIFS($AF$3:AF155,"&gt;0",$S$3:S155,S155)&gt;3,"Trừ toàn bộ chuyên cần tháng","")</f>
        <v/>
      </c>
      <c r="AI155" s="14"/>
      <c r="AJ155" s="14"/>
    </row>
    <row r="156" spans="1:36" x14ac:dyDescent="0.25">
      <c r="A156" s="4" t="s">
        <v>233</v>
      </c>
      <c r="B156" s="1" t="s">
        <v>234</v>
      </c>
      <c r="C156" s="1" t="s">
        <v>20</v>
      </c>
      <c r="D156" s="1" t="s">
        <v>35</v>
      </c>
      <c r="E156" s="1" t="s">
        <v>22</v>
      </c>
      <c r="F156" s="1" t="s">
        <v>23</v>
      </c>
      <c r="G156" s="1" t="s">
        <v>29</v>
      </c>
      <c r="H156" s="12" t="s">
        <v>239</v>
      </c>
      <c r="I156" s="1" t="s">
        <v>240</v>
      </c>
      <c r="J156" s="1" t="s">
        <v>25</v>
      </c>
      <c r="K156" s="1" t="s">
        <v>241</v>
      </c>
      <c r="L156" s="1" t="s">
        <v>25</v>
      </c>
      <c r="M156" s="1" t="s">
        <v>26</v>
      </c>
      <c r="N156" s="1" t="s">
        <v>25</v>
      </c>
      <c r="O156" s="1" t="s">
        <v>242</v>
      </c>
      <c r="P156" s="1" t="s">
        <v>25</v>
      </c>
      <c r="Q156" s="1" t="s">
        <v>25</v>
      </c>
      <c r="R156" s="70" t="str">
        <f t="shared" si="8"/>
        <v>245904</v>
      </c>
      <c r="S156" t="str">
        <f>VLOOKUP(A156,Data_NV!$A:$C,3,0)</f>
        <v xml:space="preserve">Trần Kỳ Tâm    </v>
      </c>
      <c r="T156" t="str">
        <f>VLOOKUP(A156,Data_NV!$A:$E,4,0)</f>
        <v>Vận Hành</v>
      </c>
      <c r="U156" s="67">
        <f>DATEVALUE(Table2[[#This Row],[Ngày]])</f>
        <v>45904</v>
      </c>
      <c r="V156" t="str">
        <f>VLOOKUP(A156,Data_NV!$A:$E,5,0)</f>
        <v>Đang làm việc</v>
      </c>
      <c r="W156" s="11">
        <f>VLOOKUP(A156,Data_NV!$A:$I,8,0)</f>
        <v>0.33333333333333331</v>
      </c>
      <c r="X156" s="11">
        <f>VLOOKUP(A156,Data_NV!$A:$I,9,0)</f>
        <v>0.70833333333333337</v>
      </c>
      <c r="Y156" s="11">
        <f>IFERROR(TIMEVALUE(Table2[[#This Row],[Vào]]),0)</f>
        <v>0.32763888888888887</v>
      </c>
      <c r="Z156" s="11">
        <f>IFERROR(TIMEVALUE(Table2[[#This Row],[Ra]]),0)</f>
        <v>0.73490740740740745</v>
      </c>
      <c r="AA156" t="str">
        <f t="shared" si="9"/>
        <v>x</v>
      </c>
      <c r="AB156" s="14">
        <f t="shared" si="12"/>
        <v>0</v>
      </c>
      <c r="AC156" s="14" t="str">
        <f>IF(VLOOKUP(A156,Data_NV!$A:$I,7,0)="Không","",IF(OR(AND(Y156=0,Z156=0),AND(Y156&lt;&gt;0,Z156&lt;&gt;0)),"","Quên chấm công"))</f>
        <v/>
      </c>
      <c r="AD156" s="14">
        <f>IF(VLOOKUP(A156,Data_NV!$A:$I,7,0)="Không",0,IF(AND(Y156=0,Z156=0),0,IF(X156&lt;=Z156,0,ROUNDDOWN((X156-Z156)*24*60,0))))</f>
        <v>0</v>
      </c>
      <c r="AE156" s="14">
        <f>IF(VLOOKUP(A156,Data_NV!$A:$I,6,0)="Không",0,IF(Z156&lt;=X156,0,ROUNDDOWN((Z156-X156)*24*60,0)))</f>
        <v>38</v>
      </c>
      <c r="AF156" s="29">
        <f t="shared" si="11"/>
        <v>0</v>
      </c>
      <c r="AG156" s="30" t="str">
        <f>IF(AC156="","",IF(COUNTIFS($AC$3:AC156,"Quên chấm công",$S$3:S156,S156)&gt;3,"Không chấm công do vi phạm quá 3 lần",IF(COUNTIFS($AC$3:AC156,"Quên chấm công",$S$3:S156,S156)&gt;2,"Trừ toàn bộ chuyên cần tháng do vi phạm lần 3",IF(COUNTIFS($AC$3:AC156,"Quên chấm công",$S$3:S156,S156)&gt;1,"Trừ 1/2 ngày lương",50000))))</f>
        <v/>
      </c>
      <c r="AH156" s="14" t="str">
        <f>IF(COUNTIFS($AF$3:AF156,"&gt;0",$S$3:S156,S156)&gt;3,"Trừ toàn bộ chuyên cần tháng","")</f>
        <v/>
      </c>
      <c r="AI156" s="14"/>
      <c r="AJ156" s="14"/>
    </row>
    <row r="157" spans="1:36" x14ac:dyDescent="0.25">
      <c r="A157" s="4" t="s">
        <v>233</v>
      </c>
      <c r="B157" s="1" t="s">
        <v>234</v>
      </c>
      <c r="C157" s="1" t="s">
        <v>20</v>
      </c>
      <c r="D157" s="1" t="s">
        <v>37</v>
      </c>
      <c r="E157" s="1" t="s">
        <v>22</v>
      </c>
      <c r="F157" s="1" t="s">
        <v>23</v>
      </c>
      <c r="G157" s="1" t="s">
        <v>29</v>
      </c>
      <c r="H157" s="12" t="s">
        <v>243</v>
      </c>
      <c r="I157" s="1" t="s">
        <v>244</v>
      </c>
      <c r="J157" s="1" t="s">
        <v>25</v>
      </c>
      <c r="K157" s="1" t="s">
        <v>245</v>
      </c>
      <c r="L157" s="1" t="s">
        <v>25</v>
      </c>
      <c r="M157" s="1" t="s">
        <v>26</v>
      </c>
      <c r="N157" s="1" t="s">
        <v>25</v>
      </c>
      <c r="O157" s="1" t="s">
        <v>232</v>
      </c>
      <c r="P157" s="1" t="s">
        <v>25</v>
      </c>
      <c r="Q157" s="1" t="s">
        <v>25</v>
      </c>
      <c r="R157" s="70" t="str">
        <f t="shared" si="8"/>
        <v>245905</v>
      </c>
      <c r="S157" t="str">
        <f>VLOOKUP(A157,Data_NV!$A:$C,3,0)</f>
        <v xml:space="preserve">Trần Kỳ Tâm    </v>
      </c>
      <c r="T157" t="str">
        <f>VLOOKUP(A157,Data_NV!$A:$E,4,0)</f>
        <v>Vận Hành</v>
      </c>
      <c r="U157" s="67">
        <f>DATEVALUE(Table2[[#This Row],[Ngày]])</f>
        <v>45905</v>
      </c>
      <c r="V157" t="str">
        <f>VLOOKUP(A157,Data_NV!$A:$E,5,0)</f>
        <v>Đang làm việc</v>
      </c>
      <c r="W157" s="11">
        <f>VLOOKUP(A157,Data_NV!$A:$I,8,0)</f>
        <v>0.33333333333333331</v>
      </c>
      <c r="X157" s="11">
        <f>VLOOKUP(A157,Data_NV!$A:$I,9,0)</f>
        <v>0.70833333333333337</v>
      </c>
      <c r="Y157" s="11">
        <f>IFERROR(TIMEVALUE(Table2[[#This Row],[Vào]]),0)</f>
        <v>0.32844907407407409</v>
      </c>
      <c r="Z157" s="11">
        <f>IFERROR(TIMEVALUE(Table2[[#This Row],[Ra]]),0)</f>
        <v>0.71596064814814819</v>
      </c>
      <c r="AA157" t="str">
        <f t="shared" si="9"/>
        <v>x</v>
      </c>
      <c r="AB157" s="14">
        <f t="shared" si="12"/>
        <v>0</v>
      </c>
      <c r="AC157" s="14" t="str">
        <f>IF(VLOOKUP(A157,Data_NV!$A:$I,7,0)="Không","",IF(OR(AND(Y157=0,Z157=0),AND(Y157&lt;&gt;0,Z157&lt;&gt;0)),"","Quên chấm công"))</f>
        <v/>
      </c>
      <c r="AD157" s="14">
        <f>IF(VLOOKUP(A157,Data_NV!$A:$I,7,0)="Không",0,IF(AND(Y157=0,Z157=0),0,IF(X157&lt;=Z157,0,ROUNDDOWN((X157-Z157)*24*60,0))))</f>
        <v>0</v>
      </c>
      <c r="AE157" s="14">
        <f>IF(VLOOKUP(A157,Data_NV!$A:$I,6,0)="Không",0,IF(Z157&lt;=X157,0,ROUNDDOWN((Z157-X157)*24*60,0)))</f>
        <v>10</v>
      </c>
      <c r="AF157" s="29">
        <f t="shared" si="11"/>
        <v>0</v>
      </c>
      <c r="AG157" s="30" t="str">
        <f>IF(AC157="","",IF(COUNTIFS($AC$3:AC157,"Quên chấm công",$S$3:S157,S157)&gt;3,"Không chấm công do vi phạm quá 3 lần",IF(COUNTIFS($AC$3:AC157,"Quên chấm công",$S$3:S157,S157)&gt;2,"Trừ toàn bộ chuyên cần tháng do vi phạm lần 3",IF(COUNTIFS($AC$3:AC157,"Quên chấm công",$S$3:S157,S157)&gt;1,"Trừ 1/2 ngày lương",50000))))</f>
        <v/>
      </c>
      <c r="AH157" s="14" t="str">
        <f>IF(COUNTIFS($AF$3:AF157,"&gt;0",$S$3:S157,S157)&gt;3,"Trừ toàn bộ chuyên cần tháng","")</f>
        <v/>
      </c>
      <c r="AI157" s="14"/>
      <c r="AJ157" s="14"/>
    </row>
    <row r="158" spans="1:36" x14ac:dyDescent="0.25">
      <c r="A158" s="4" t="s">
        <v>233</v>
      </c>
      <c r="B158" s="1" t="s">
        <v>234</v>
      </c>
      <c r="C158" s="1" t="s">
        <v>20</v>
      </c>
      <c r="D158" s="1" t="s">
        <v>42</v>
      </c>
      <c r="E158" s="1" t="s">
        <v>22</v>
      </c>
      <c r="F158" s="1" t="s">
        <v>23</v>
      </c>
      <c r="G158" s="1" t="s">
        <v>29</v>
      </c>
      <c r="H158" s="12" t="s">
        <v>246</v>
      </c>
      <c r="I158" s="1" t="s">
        <v>247</v>
      </c>
      <c r="J158" s="1" t="s">
        <v>25</v>
      </c>
      <c r="K158" s="1" t="s">
        <v>248</v>
      </c>
      <c r="L158" s="1" t="s">
        <v>25</v>
      </c>
      <c r="M158" s="1" t="s">
        <v>26</v>
      </c>
      <c r="N158" s="1" t="s">
        <v>25</v>
      </c>
      <c r="O158" s="1" t="s">
        <v>249</v>
      </c>
      <c r="P158" s="1" t="s">
        <v>25</v>
      </c>
      <c r="Q158" s="1" t="s">
        <v>25</v>
      </c>
      <c r="R158" s="70" t="str">
        <f t="shared" si="8"/>
        <v>245906</v>
      </c>
      <c r="S158" t="str">
        <f>VLOOKUP(A158,Data_NV!$A:$C,3,0)</f>
        <v xml:space="preserve">Trần Kỳ Tâm    </v>
      </c>
      <c r="T158" t="str">
        <f>VLOOKUP(A158,Data_NV!$A:$E,4,0)</f>
        <v>Vận Hành</v>
      </c>
      <c r="U158" s="67">
        <f>DATEVALUE(Table2[[#This Row],[Ngày]])</f>
        <v>45906</v>
      </c>
      <c r="V158" t="str">
        <f>VLOOKUP(A158,Data_NV!$A:$E,5,0)</f>
        <v>Đang làm việc</v>
      </c>
      <c r="W158" s="11">
        <f>VLOOKUP(A158,Data_NV!$A:$I,8,0)</f>
        <v>0.33333333333333331</v>
      </c>
      <c r="X158" s="11">
        <f>VLOOKUP(A158,Data_NV!$A:$I,9,0)</f>
        <v>0.70833333333333337</v>
      </c>
      <c r="Y158" s="11">
        <f>IFERROR(TIMEVALUE(Table2[[#This Row],[Vào]]),0)</f>
        <v>0.32902777777777775</v>
      </c>
      <c r="Z158" s="11">
        <f>IFERROR(TIMEVALUE(Table2[[#This Row],[Ra]]),0)</f>
        <v>0.78224537037037034</v>
      </c>
      <c r="AA158" t="str">
        <f t="shared" si="9"/>
        <v>x</v>
      </c>
      <c r="AB158" s="14">
        <f t="shared" si="12"/>
        <v>0</v>
      </c>
      <c r="AC158" s="14" t="str">
        <f>IF(VLOOKUP(A158,Data_NV!$A:$I,7,0)="Không","",IF(OR(AND(Y158=0,Z158=0),AND(Y158&lt;&gt;0,Z158&lt;&gt;0)),"","Quên chấm công"))</f>
        <v/>
      </c>
      <c r="AD158" s="14">
        <f>IF(VLOOKUP(A158,Data_NV!$A:$I,7,0)="Không",0,IF(AND(Y158=0,Z158=0),0,IF(X158&lt;=Z158,0,ROUNDDOWN((X158-Z158)*24*60,0))))</f>
        <v>0</v>
      </c>
      <c r="AE158" s="14">
        <f>IF(VLOOKUP(A158,Data_NV!$A:$I,6,0)="Không",0,IF(Z158&lt;=X158,0,ROUNDDOWN((Z158-X158)*24*60,0)))</f>
        <v>106</v>
      </c>
      <c r="AF158" s="29">
        <f t="shared" si="11"/>
        <v>0</v>
      </c>
      <c r="AG158" s="30" t="str">
        <f>IF(AC158="","",IF(COUNTIFS($AC$3:AC158,"Quên chấm công",$S$3:S158,S158)&gt;3,"Không chấm công do vi phạm quá 3 lần",IF(COUNTIFS($AC$3:AC158,"Quên chấm công",$S$3:S158,S158)&gt;2,"Trừ toàn bộ chuyên cần tháng do vi phạm lần 3",IF(COUNTIFS($AC$3:AC158,"Quên chấm công",$S$3:S158,S158)&gt;1,"Trừ 1/2 ngày lương",50000))))</f>
        <v/>
      </c>
      <c r="AH158" s="14" t="str">
        <f>IF(COUNTIFS($AF$3:AF158,"&gt;0",$S$3:S158,S158)&gt;3,"Trừ toàn bộ chuyên cần tháng","")</f>
        <v/>
      </c>
      <c r="AI158" s="14"/>
      <c r="AJ158" s="14"/>
    </row>
    <row r="159" spans="1:36" x14ac:dyDescent="0.25">
      <c r="A159" s="4" t="s">
        <v>233</v>
      </c>
      <c r="B159" s="1" t="s">
        <v>234</v>
      </c>
      <c r="C159" s="1" t="s">
        <v>20</v>
      </c>
      <c r="D159" s="1" t="s">
        <v>47</v>
      </c>
      <c r="E159" s="1" t="s">
        <v>22</v>
      </c>
      <c r="F159" s="1" t="s">
        <v>23</v>
      </c>
      <c r="G159" s="1" t="s">
        <v>12</v>
      </c>
      <c r="H159" s="12" t="s">
        <v>24</v>
      </c>
      <c r="I159" s="1" t="s">
        <v>24</v>
      </c>
      <c r="J159" s="1" t="s">
        <v>25</v>
      </c>
      <c r="K159" s="1" t="s">
        <v>25</v>
      </c>
      <c r="L159" s="1" t="s">
        <v>26</v>
      </c>
      <c r="M159" s="1" t="s">
        <v>25</v>
      </c>
      <c r="N159" s="1" t="s">
        <v>25</v>
      </c>
      <c r="O159" s="1" t="s">
        <v>25</v>
      </c>
      <c r="P159" s="1" t="s">
        <v>25</v>
      </c>
      <c r="Q159" s="1" t="s">
        <v>25</v>
      </c>
      <c r="R159" s="70" t="str">
        <f t="shared" si="8"/>
        <v>245907</v>
      </c>
      <c r="S159" t="str">
        <f>VLOOKUP(A159,Data_NV!$A:$C,3,0)</f>
        <v xml:space="preserve">Trần Kỳ Tâm    </v>
      </c>
      <c r="T159" t="str">
        <f>VLOOKUP(A159,Data_NV!$A:$E,4,0)</f>
        <v>Vận Hành</v>
      </c>
      <c r="U159" s="67">
        <f>DATEVALUE(Table2[[#This Row],[Ngày]])</f>
        <v>45907</v>
      </c>
      <c r="V159" t="str">
        <f>VLOOKUP(A159,Data_NV!$A:$E,5,0)</f>
        <v>Đang làm việc</v>
      </c>
      <c r="W159" s="11">
        <f>VLOOKUP(A159,Data_NV!$A:$I,8,0)</f>
        <v>0.33333333333333331</v>
      </c>
      <c r="X159" s="11">
        <f>VLOOKUP(A159,Data_NV!$A:$I,9,0)</f>
        <v>0.70833333333333337</v>
      </c>
      <c r="Y159" s="11">
        <f>IFERROR(TIMEVALUE(Table2[[#This Row],[Vào]]),0)</f>
        <v>0</v>
      </c>
      <c r="Z159" s="11">
        <f>IFERROR(TIMEVALUE(Table2[[#This Row],[Ra]]),0)</f>
        <v>0</v>
      </c>
      <c r="AA159" t="str">
        <f t="shared" si="9"/>
        <v/>
      </c>
      <c r="AB159" s="14">
        <f t="shared" si="12"/>
        <v>0</v>
      </c>
      <c r="AC159" s="14" t="str">
        <f>IF(VLOOKUP(A159,Data_NV!$A:$I,7,0)="Không","",IF(OR(AND(Y159=0,Z159=0),AND(Y159&lt;&gt;0,Z159&lt;&gt;0)),"","Quên chấm công"))</f>
        <v/>
      </c>
      <c r="AD159" s="14">
        <f>IF(VLOOKUP(A159,Data_NV!$A:$I,7,0)="Không",0,IF(AND(Y159=0,Z159=0),0,IF(X159&lt;=Z159,0,ROUNDDOWN((X159-Z159)*24*60,0))))</f>
        <v>0</v>
      </c>
      <c r="AE159" s="14">
        <f>IF(VLOOKUP(A159,Data_NV!$A:$I,6,0)="Không",0,IF(Z159&lt;=X159,0,ROUNDDOWN((Z159-X159)*24*60,0)))</f>
        <v>0</v>
      </c>
      <c r="AF159" s="29">
        <f t="shared" si="11"/>
        <v>0</v>
      </c>
      <c r="AG159" s="30" t="str">
        <f>IF(AC159="","",IF(COUNTIFS($AC$3:AC159,"Quên chấm công",$S$3:S159,S159)&gt;3,"Không chấm công do vi phạm quá 3 lần",IF(COUNTIFS($AC$3:AC159,"Quên chấm công",$S$3:S159,S159)&gt;2,"Trừ toàn bộ chuyên cần tháng do vi phạm lần 3",IF(COUNTIFS($AC$3:AC159,"Quên chấm công",$S$3:S159,S159)&gt;1,"Trừ 1/2 ngày lương",50000))))</f>
        <v/>
      </c>
      <c r="AH159" s="14" t="str">
        <f>IF(COUNTIFS($AF$3:AF159,"&gt;0",$S$3:S159,S159)&gt;3,"Trừ toàn bộ chuyên cần tháng","")</f>
        <v/>
      </c>
      <c r="AI159" s="14"/>
      <c r="AJ159" s="14"/>
    </row>
    <row r="160" spans="1:36" x14ac:dyDescent="0.25">
      <c r="A160" s="4" t="s">
        <v>233</v>
      </c>
      <c r="B160" s="1" t="s">
        <v>234</v>
      </c>
      <c r="C160" s="1" t="s">
        <v>20</v>
      </c>
      <c r="D160" s="1" t="s">
        <v>48</v>
      </c>
      <c r="E160" s="1" t="s">
        <v>22</v>
      </c>
      <c r="F160" s="1" t="s">
        <v>23</v>
      </c>
      <c r="G160" s="1" t="s">
        <v>29</v>
      </c>
      <c r="H160" s="12" t="s">
        <v>250</v>
      </c>
      <c r="I160" s="1" t="s">
        <v>251</v>
      </c>
      <c r="J160" s="1" t="s">
        <v>25</v>
      </c>
      <c r="K160" s="1" t="s">
        <v>252</v>
      </c>
      <c r="L160" s="1" t="s">
        <v>25</v>
      </c>
      <c r="M160" s="1" t="s">
        <v>26</v>
      </c>
      <c r="N160" s="1" t="s">
        <v>25</v>
      </c>
      <c r="O160" s="1" t="s">
        <v>253</v>
      </c>
      <c r="P160" s="1" t="s">
        <v>25</v>
      </c>
      <c r="Q160" s="1" t="s">
        <v>25</v>
      </c>
      <c r="R160" s="70" t="str">
        <f t="shared" si="8"/>
        <v>245908</v>
      </c>
      <c r="S160" t="str">
        <f>VLOOKUP(A160,Data_NV!$A:$C,3,0)</f>
        <v xml:space="preserve">Trần Kỳ Tâm    </v>
      </c>
      <c r="T160" t="str">
        <f>VLOOKUP(A160,Data_NV!$A:$E,4,0)</f>
        <v>Vận Hành</v>
      </c>
      <c r="U160" s="67">
        <f>DATEVALUE(Table2[[#This Row],[Ngày]])</f>
        <v>45908</v>
      </c>
      <c r="V160" t="str">
        <f>VLOOKUP(A160,Data_NV!$A:$E,5,0)</f>
        <v>Đang làm việc</v>
      </c>
      <c r="W160" s="11">
        <f>VLOOKUP(A160,Data_NV!$A:$I,8,0)</f>
        <v>0.33333333333333331</v>
      </c>
      <c r="X160" s="11">
        <f>VLOOKUP(A160,Data_NV!$A:$I,9,0)</f>
        <v>0.70833333333333337</v>
      </c>
      <c r="Y160" s="11">
        <f>IFERROR(TIMEVALUE(Table2[[#This Row],[Vào]]),0)</f>
        <v>0.32658564814814817</v>
      </c>
      <c r="Z160" s="11">
        <f>IFERROR(TIMEVALUE(Table2[[#This Row],[Ra]]),0)</f>
        <v>0.76027777777777783</v>
      </c>
      <c r="AA160" t="str">
        <f t="shared" si="9"/>
        <v>x</v>
      </c>
      <c r="AB160" s="14">
        <f t="shared" si="12"/>
        <v>0</v>
      </c>
      <c r="AC160" s="14" t="str">
        <f>IF(VLOOKUP(A160,Data_NV!$A:$I,7,0)="Không","",IF(OR(AND(Y160=0,Z160=0),AND(Y160&lt;&gt;0,Z160&lt;&gt;0)),"","Quên chấm công"))</f>
        <v/>
      </c>
      <c r="AD160" s="14">
        <f>IF(VLOOKUP(A160,Data_NV!$A:$I,7,0)="Không",0,IF(AND(Y160=0,Z160=0),0,IF(X160&lt;=Z160,0,ROUNDDOWN((X160-Z160)*24*60,0))))</f>
        <v>0</v>
      </c>
      <c r="AE160" s="14">
        <f>IF(VLOOKUP(A160,Data_NV!$A:$I,6,0)="Không",0,IF(Z160&lt;=X160,0,ROUNDDOWN((Z160-X160)*24*60,0)))</f>
        <v>74</v>
      </c>
      <c r="AF160" s="29">
        <f t="shared" si="11"/>
        <v>0</v>
      </c>
      <c r="AG160" s="30" t="str">
        <f>IF(AC160="","",IF(COUNTIFS($AC$3:AC160,"Quên chấm công",$S$3:S160,S160)&gt;3,"Không chấm công do vi phạm quá 3 lần",IF(COUNTIFS($AC$3:AC160,"Quên chấm công",$S$3:S160,S160)&gt;2,"Trừ toàn bộ chuyên cần tháng do vi phạm lần 3",IF(COUNTIFS($AC$3:AC160,"Quên chấm công",$S$3:S160,S160)&gt;1,"Trừ 1/2 ngày lương",50000))))</f>
        <v/>
      </c>
      <c r="AH160" s="14" t="str">
        <f>IF(COUNTIFS($AF$3:AF160,"&gt;0",$S$3:S160,S160)&gt;3,"Trừ toàn bộ chuyên cần tháng","")</f>
        <v/>
      </c>
      <c r="AI160" s="14"/>
      <c r="AJ160" s="14"/>
    </row>
    <row r="161" spans="1:36" x14ac:dyDescent="0.25">
      <c r="A161" s="4" t="s">
        <v>233</v>
      </c>
      <c r="B161" s="1" t="s">
        <v>234</v>
      </c>
      <c r="C161" s="1" t="s">
        <v>20</v>
      </c>
      <c r="D161" s="1" t="s">
        <v>53</v>
      </c>
      <c r="E161" s="1" t="s">
        <v>22</v>
      </c>
      <c r="F161" s="1" t="s">
        <v>23</v>
      </c>
      <c r="G161" s="1" t="s">
        <v>254</v>
      </c>
      <c r="H161" s="12" t="s">
        <v>255</v>
      </c>
      <c r="I161" s="1" t="s">
        <v>256</v>
      </c>
      <c r="J161" s="1" t="s">
        <v>25</v>
      </c>
      <c r="K161" s="1" t="s">
        <v>257</v>
      </c>
      <c r="L161" s="1" t="s">
        <v>258</v>
      </c>
      <c r="M161" s="1" t="s">
        <v>257</v>
      </c>
      <c r="N161" s="1" t="s">
        <v>25</v>
      </c>
      <c r="O161" s="1" t="s">
        <v>25</v>
      </c>
      <c r="P161" s="1" t="s">
        <v>25</v>
      </c>
      <c r="Q161" s="1" t="s">
        <v>25</v>
      </c>
      <c r="R161" s="70" t="str">
        <f t="shared" si="8"/>
        <v>245909</v>
      </c>
      <c r="S161" t="str">
        <f>VLOOKUP(A161,Data_NV!$A:$C,3,0)</f>
        <v xml:space="preserve">Trần Kỳ Tâm    </v>
      </c>
      <c r="T161" t="str">
        <f>VLOOKUP(A161,Data_NV!$A:$E,4,0)</f>
        <v>Vận Hành</v>
      </c>
      <c r="U161" s="67">
        <f>DATEVALUE(Table2[[#This Row],[Ngày]])</f>
        <v>45909</v>
      </c>
      <c r="V161" t="str">
        <f>VLOOKUP(A161,Data_NV!$A:$E,5,0)</f>
        <v>Đang làm việc</v>
      </c>
      <c r="W161" s="11">
        <f>VLOOKUP(A161,Data_NV!$A:$I,8,0)</f>
        <v>0.33333333333333331</v>
      </c>
      <c r="X161" s="11">
        <f>VLOOKUP(A161,Data_NV!$A:$I,9,0)</f>
        <v>0.70833333333333337</v>
      </c>
      <c r="Y161" s="11">
        <f>IFERROR(TIMEVALUE(Table2[[#This Row],[Vào]]),0)</f>
        <v>0.3296412037037037</v>
      </c>
      <c r="Z161" s="11">
        <f>IFERROR(TIMEVALUE(Table2[[#This Row],[Ra]]),0)</f>
        <v>0.69086805555555553</v>
      </c>
      <c r="AA161" t="str">
        <f t="shared" si="9"/>
        <v>x</v>
      </c>
      <c r="AB161" s="14">
        <f t="shared" si="12"/>
        <v>0</v>
      </c>
      <c r="AC161" s="14" t="str">
        <f>IF(VLOOKUP(A161,Data_NV!$A:$I,7,0)="Không","",IF(OR(AND(Y161=0,Z161=0),AND(Y161&lt;&gt;0,Z161&lt;&gt;0)),"","Quên chấm công"))</f>
        <v/>
      </c>
      <c r="AD161" s="14">
        <f>IF(VLOOKUP(A161,Data_NV!$A:$I,7,0)="Không",0,IF(AND(Y161=0,Z161=0),0,IF(X161&lt;=Z161,0,ROUNDDOWN((X161-Z161)*24*60,0))))</f>
        <v>25</v>
      </c>
      <c r="AE161" s="14">
        <f>IF(VLOOKUP(A161,Data_NV!$A:$I,6,0)="Không",0,IF(Z161&lt;=X161,0,ROUNDDOWN((Z161-X161)*24*60,0)))</f>
        <v>0</v>
      </c>
      <c r="AF161" s="29">
        <f t="shared" si="11"/>
        <v>0</v>
      </c>
      <c r="AG161" s="30" t="str">
        <f>IF(AC161="","",IF(COUNTIFS($AC$3:AC161,"Quên chấm công",$S$3:S161,S161)&gt;3,"Không chấm công do vi phạm quá 3 lần",IF(COUNTIFS($AC$3:AC161,"Quên chấm công",$S$3:S161,S161)&gt;2,"Trừ toàn bộ chuyên cần tháng do vi phạm lần 3",IF(COUNTIFS($AC$3:AC161,"Quên chấm công",$S$3:S161,S161)&gt;1,"Trừ 1/2 ngày lương",50000))))</f>
        <v/>
      </c>
      <c r="AH161" s="14" t="str">
        <f>IF(COUNTIFS($AF$3:AF161,"&gt;0",$S$3:S161,S161)&gt;3,"Trừ toàn bộ chuyên cần tháng","")</f>
        <v/>
      </c>
      <c r="AI161" s="14"/>
      <c r="AJ161" s="14"/>
    </row>
    <row r="162" spans="1:36" x14ac:dyDescent="0.25">
      <c r="A162" s="4" t="s">
        <v>233</v>
      </c>
      <c r="B162" s="1" t="s">
        <v>234</v>
      </c>
      <c r="C162" s="1" t="s">
        <v>20</v>
      </c>
      <c r="D162" s="1" t="s">
        <v>58</v>
      </c>
      <c r="E162" s="1" t="s">
        <v>22</v>
      </c>
      <c r="F162" s="1" t="s">
        <v>23</v>
      </c>
      <c r="G162" s="1" t="s">
        <v>29</v>
      </c>
      <c r="H162" s="12" t="s">
        <v>259</v>
      </c>
      <c r="I162" s="1" t="s">
        <v>260</v>
      </c>
      <c r="J162" s="1" t="s">
        <v>25</v>
      </c>
      <c r="K162" s="1" t="s">
        <v>261</v>
      </c>
      <c r="L162" s="1" t="s">
        <v>25</v>
      </c>
      <c r="M162" s="1" t="s">
        <v>26</v>
      </c>
      <c r="N162" s="1" t="s">
        <v>25</v>
      </c>
      <c r="O162" s="1" t="s">
        <v>262</v>
      </c>
      <c r="P162" s="1" t="s">
        <v>25</v>
      </c>
      <c r="Q162" s="1" t="s">
        <v>25</v>
      </c>
      <c r="R162" s="70" t="str">
        <f t="shared" si="8"/>
        <v>245910</v>
      </c>
      <c r="S162" t="str">
        <f>VLOOKUP(A162,Data_NV!$A:$C,3,0)</f>
        <v xml:space="preserve">Trần Kỳ Tâm    </v>
      </c>
      <c r="T162" t="str">
        <f>VLOOKUP(A162,Data_NV!$A:$E,4,0)</f>
        <v>Vận Hành</v>
      </c>
      <c r="U162" s="67">
        <f>DATEVALUE(Table2[[#This Row],[Ngày]])</f>
        <v>45910</v>
      </c>
      <c r="V162" t="str">
        <f>VLOOKUP(A162,Data_NV!$A:$E,5,0)</f>
        <v>Đang làm việc</v>
      </c>
      <c r="W162" s="11">
        <f>VLOOKUP(A162,Data_NV!$A:$I,8,0)</f>
        <v>0.33333333333333331</v>
      </c>
      <c r="X162" s="11">
        <f>VLOOKUP(A162,Data_NV!$A:$I,9,0)</f>
        <v>0.70833333333333337</v>
      </c>
      <c r="Y162" s="11">
        <f>IFERROR(TIMEVALUE(Table2[[#This Row],[Vào]]),0)</f>
        <v>0.32103009259259258</v>
      </c>
      <c r="Z162" s="11">
        <f>IFERROR(TIMEVALUE(Table2[[#This Row],[Ra]]),0)</f>
        <v>0.75233796296296296</v>
      </c>
      <c r="AA162" t="str">
        <f t="shared" si="9"/>
        <v>x</v>
      </c>
      <c r="AB162" s="14">
        <f t="shared" si="12"/>
        <v>0</v>
      </c>
      <c r="AC162" s="14" t="str">
        <f>IF(VLOOKUP(A162,Data_NV!$A:$I,7,0)="Không","",IF(OR(AND(Y162=0,Z162=0),AND(Y162&lt;&gt;0,Z162&lt;&gt;0)),"","Quên chấm công"))</f>
        <v/>
      </c>
      <c r="AD162" s="14">
        <f>IF(VLOOKUP(A162,Data_NV!$A:$I,7,0)="Không",0,IF(AND(Y162=0,Z162=0),0,IF(X162&lt;=Z162,0,ROUNDDOWN((X162-Z162)*24*60,0))))</f>
        <v>0</v>
      </c>
      <c r="AE162" s="14">
        <f>IF(VLOOKUP(A162,Data_NV!$A:$I,6,0)="Không",0,IF(Z162&lt;=X162,0,ROUNDDOWN((Z162-X162)*24*60,0)))</f>
        <v>63</v>
      </c>
      <c r="AF162" s="29">
        <f t="shared" si="11"/>
        <v>0</v>
      </c>
      <c r="AG162" s="30" t="str">
        <f>IF(AC162="","",IF(COUNTIFS($AC$3:AC162,"Quên chấm công",$S$3:S162,S162)&gt;3,"Không chấm công do vi phạm quá 3 lần",IF(COUNTIFS($AC$3:AC162,"Quên chấm công",$S$3:S162,S162)&gt;2,"Trừ toàn bộ chuyên cần tháng do vi phạm lần 3",IF(COUNTIFS($AC$3:AC162,"Quên chấm công",$S$3:S162,S162)&gt;1,"Trừ 1/2 ngày lương",50000))))</f>
        <v/>
      </c>
      <c r="AH162" s="14" t="str">
        <f>IF(COUNTIFS($AF$3:AF162,"&gt;0",$S$3:S162,S162)&gt;3,"Trừ toàn bộ chuyên cần tháng","")</f>
        <v/>
      </c>
      <c r="AI162" s="14"/>
      <c r="AJ162" s="14"/>
    </row>
    <row r="163" spans="1:36" x14ac:dyDescent="0.25">
      <c r="A163" s="4" t="s">
        <v>233</v>
      </c>
      <c r="B163" s="1" t="s">
        <v>234</v>
      </c>
      <c r="C163" s="1" t="s">
        <v>20</v>
      </c>
      <c r="D163" s="1" t="s">
        <v>63</v>
      </c>
      <c r="E163" s="1" t="s">
        <v>22</v>
      </c>
      <c r="F163" s="1" t="s">
        <v>23</v>
      </c>
      <c r="G163" s="1" t="s">
        <v>29</v>
      </c>
      <c r="H163" s="12" t="s">
        <v>263</v>
      </c>
      <c r="I163" s="1" t="s">
        <v>264</v>
      </c>
      <c r="J163" s="1" t="s">
        <v>25</v>
      </c>
      <c r="K163" s="1" t="s">
        <v>265</v>
      </c>
      <c r="L163" s="1" t="s">
        <v>25</v>
      </c>
      <c r="M163" s="1" t="s">
        <v>26</v>
      </c>
      <c r="N163" s="1" t="s">
        <v>25</v>
      </c>
      <c r="O163" s="1" t="s">
        <v>266</v>
      </c>
      <c r="P163" s="1" t="s">
        <v>25</v>
      </c>
      <c r="Q163" s="1" t="s">
        <v>25</v>
      </c>
      <c r="R163" s="70" t="str">
        <f t="shared" si="8"/>
        <v>245911</v>
      </c>
      <c r="S163" t="str">
        <f>VLOOKUP(A163,Data_NV!$A:$C,3,0)</f>
        <v xml:space="preserve">Trần Kỳ Tâm    </v>
      </c>
      <c r="T163" t="str">
        <f>VLOOKUP(A163,Data_NV!$A:$E,4,0)</f>
        <v>Vận Hành</v>
      </c>
      <c r="U163" s="67">
        <f>DATEVALUE(Table2[[#This Row],[Ngày]])</f>
        <v>45911</v>
      </c>
      <c r="V163" t="str">
        <f>VLOOKUP(A163,Data_NV!$A:$E,5,0)</f>
        <v>Đang làm việc</v>
      </c>
      <c r="W163" s="11">
        <f>VLOOKUP(A163,Data_NV!$A:$I,8,0)</f>
        <v>0.33333333333333331</v>
      </c>
      <c r="X163" s="11">
        <f>VLOOKUP(A163,Data_NV!$A:$I,9,0)</f>
        <v>0.70833333333333337</v>
      </c>
      <c r="Y163" s="11">
        <f>IFERROR(TIMEVALUE(Table2[[#This Row],[Vào]]),0)</f>
        <v>0.32793981481481482</v>
      </c>
      <c r="Z163" s="11">
        <f>IFERROR(TIMEVALUE(Table2[[#This Row],[Ra]]),0)</f>
        <v>0.74206018518518524</v>
      </c>
      <c r="AA163" t="str">
        <f t="shared" si="9"/>
        <v>x</v>
      </c>
      <c r="AB163" s="14">
        <f t="shared" si="12"/>
        <v>0</v>
      </c>
      <c r="AC163" s="14" t="str">
        <f>IF(VLOOKUP(A163,Data_NV!$A:$I,7,0)="Không","",IF(OR(AND(Y163=0,Z163=0),AND(Y163&lt;&gt;0,Z163&lt;&gt;0)),"","Quên chấm công"))</f>
        <v/>
      </c>
      <c r="AD163" s="14">
        <f>IF(VLOOKUP(A163,Data_NV!$A:$I,7,0)="Không",0,IF(AND(Y163=0,Z163=0),0,IF(X163&lt;=Z163,0,ROUNDDOWN((X163-Z163)*24*60,0))))</f>
        <v>0</v>
      </c>
      <c r="AE163" s="14">
        <f>IF(VLOOKUP(A163,Data_NV!$A:$I,6,0)="Không",0,IF(Z163&lt;=X163,0,ROUNDDOWN((Z163-X163)*24*60,0)))</f>
        <v>48</v>
      </c>
      <c r="AF163" s="29">
        <f t="shared" si="11"/>
        <v>0</v>
      </c>
      <c r="AG163" s="30" t="str">
        <f>IF(AC163="","",IF(COUNTIFS($AC$3:AC163,"Quên chấm công",$S$3:S163,S163)&gt;3,"Không chấm công do vi phạm quá 3 lần",IF(COUNTIFS($AC$3:AC163,"Quên chấm công",$S$3:S163,S163)&gt;2,"Trừ toàn bộ chuyên cần tháng do vi phạm lần 3",IF(COUNTIFS($AC$3:AC163,"Quên chấm công",$S$3:S163,S163)&gt;1,"Trừ 1/2 ngày lương",50000))))</f>
        <v/>
      </c>
      <c r="AH163" s="14" t="str">
        <f>IF(COUNTIFS($AF$3:AF163,"&gt;0",$S$3:S163,S163)&gt;3,"Trừ toàn bộ chuyên cần tháng","")</f>
        <v/>
      </c>
      <c r="AI163" s="14"/>
      <c r="AJ163" s="14"/>
    </row>
    <row r="164" spans="1:36" x14ac:dyDescent="0.25">
      <c r="A164" s="4" t="s">
        <v>233</v>
      </c>
      <c r="B164" s="1" t="s">
        <v>234</v>
      </c>
      <c r="C164" s="1" t="s">
        <v>20</v>
      </c>
      <c r="D164" s="1" t="s">
        <v>67</v>
      </c>
      <c r="E164" s="1" t="s">
        <v>22</v>
      </c>
      <c r="F164" s="1" t="s">
        <v>23</v>
      </c>
      <c r="G164" s="1" t="s">
        <v>29</v>
      </c>
      <c r="H164" s="12" t="s">
        <v>267</v>
      </c>
      <c r="I164" s="1" t="s">
        <v>268</v>
      </c>
      <c r="J164" s="1" t="s">
        <v>25</v>
      </c>
      <c r="K164" s="1" t="s">
        <v>269</v>
      </c>
      <c r="L164" s="1" t="s">
        <v>25</v>
      </c>
      <c r="M164" s="1" t="s">
        <v>26</v>
      </c>
      <c r="N164" s="1" t="s">
        <v>25</v>
      </c>
      <c r="O164" s="1" t="s">
        <v>270</v>
      </c>
      <c r="P164" s="1" t="s">
        <v>25</v>
      </c>
      <c r="Q164" s="1" t="s">
        <v>25</v>
      </c>
      <c r="R164" s="70" t="str">
        <f t="shared" si="8"/>
        <v>245912</v>
      </c>
      <c r="S164" t="str">
        <f>VLOOKUP(A164,Data_NV!$A:$C,3,0)</f>
        <v xml:space="preserve">Trần Kỳ Tâm    </v>
      </c>
      <c r="T164" t="str">
        <f>VLOOKUP(A164,Data_NV!$A:$E,4,0)</f>
        <v>Vận Hành</v>
      </c>
      <c r="U164" s="67">
        <f>DATEVALUE(Table2[[#This Row],[Ngày]])</f>
        <v>45912</v>
      </c>
      <c r="V164" t="str">
        <f>VLOOKUP(A164,Data_NV!$A:$E,5,0)</f>
        <v>Đang làm việc</v>
      </c>
      <c r="W164" s="11">
        <f>VLOOKUP(A164,Data_NV!$A:$I,8,0)</f>
        <v>0.33333333333333331</v>
      </c>
      <c r="X164" s="11">
        <f>VLOOKUP(A164,Data_NV!$A:$I,9,0)</f>
        <v>0.70833333333333337</v>
      </c>
      <c r="Y164" s="11">
        <f>IFERROR(TIMEVALUE(Table2[[#This Row],[Vào]]),0)</f>
        <v>0.32928240740740738</v>
      </c>
      <c r="Z164" s="11">
        <f>IFERROR(TIMEVALUE(Table2[[#This Row],[Ra]]),0)</f>
        <v>0.79024305555555552</v>
      </c>
      <c r="AA164" t="str">
        <f t="shared" si="9"/>
        <v>x</v>
      </c>
      <c r="AB164" s="14">
        <f t="shared" si="12"/>
        <v>0</v>
      </c>
      <c r="AC164" s="14" t="str">
        <f>IF(VLOOKUP(A164,Data_NV!$A:$I,7,0)="Không","",IF(OR(AND(Y164=0,Z164=0),AND(Y164&lt;&gt;0,Z164&lt;&gt;0)),"","Quên chấm công"))</f>
        <v/>
      </c>
      <c r="AD164" s="14">
        <f>IF(VLOOKUP(A164,Data_NV!$A:$I,7,0)="Không",0,IF(AND(Y164=0,Z164=0),0,IF(X164&lt;=Z164,0,ROUNDDOWN((X164-Z164)*24*60,0))))</f>
        <v>0</v>
      </c>
      <c r="AE164" s="14">
        <f>IF(VLOOKUP(A164,Data_NV!$A:$I,6,0)="Không",0,IF(Z164&lt;=X164,0,ROUNDDOWN((Z164-X164)*24*60,0)))</f>
        <v>117</v>
      </c>
      <c r="AF164" s="29">
        <f t="shared" si="11"/>
        <v>0</v>
      </c>
      <c r="AG164" s="30" t="str">
        <f>IF(AC164="","",IF(COUNTIFS($AC$3:AC164,"Quên chấm công",$S$3:S164,S164)&gt;3,"Không chấm công do vi phạm quá 3 lần",IF(COUNTIFS($AC$3:AC164,"Quên chấm công",$S$3:S164,S164)&gt;2,"Trừ toàn bộ chuyên cần tháng do vi phạm lần 3",IF(COUNTIFS($AC$3:AC164,"Quên chấm công",$S$3:S164,S164)&gt;1,"Trừ 1/2 ngày lương",50000))))</f>
        <v/>
      </c>
      <c r="AH164" s="14" t="str">
        <f>IF(COUNTIFS($AF$3:AF164,"&gt;0",$S$3:S164,S164)&gt;3,"Trừ toàn bộ chuyên cần tháng","")</f>
        <v/>
      </c>
      <c r="AI164" s="14"/>
      <c r="AJ164" s="14"/>
    </row>
    <row r="165" spans="1:36" x14ac:dyDescent="0.25">
      <c r="A165" s="4" t="s">
        <v>233</v>
      </c>
      <c r="B165" s="1" t="s">
        <v>234</v>
      </c>
      <c r="C165" s="1" t="s">
        <v>20</v>
      </c>
      <c r="D165" s="1" t="s">
        <v>69</v>
      </c>
      <c r="E165" s="1" t="s">
        <v>22</v>
      </c>
      <c r="F165" s="1" t="s">
        <v>23</v>
      </c>
      <c r="G165" s="1" t="s">
        <v>29</v>
      </c>
      <c r="H165" s="12" t="s">
        <v>271</v>
      </c>
      <c r="I165" s="1" t="s">
        <v>272</v>
      </c>
      <c r="J165" s="1" t="s">
        <v>25</v>
      </c>
      <c r="K165" s="1" t="s">
        <v>273</v>
      </c>
      <c r="L165" s="1" t="s">
        <v>25</v>
      </c>
      <c r="M165" s="1" t="s">
        <v>26</v>
      </c>
      <c r="N165" s="1" t="s">
        <v>25</v>
      </c>
      <c r="O165" s="1" t="s">
        <v>274</v>
      </c>
      <c r="P165" s="1" t="s">
        <v>25</v>
      </c>
      <c r="Q165" s="1" t="s">
        <v>25</v>
      </c>
      <c r="R165" s="70" t="str">
        <f t="shared" ref="R165:R182" si="13">A165&amp;U165</f>
        <v>245913</v>
      </c>
      <c r="S165" t="str">
        <f>VLOOKUP(A165,Data_NV!$A:$C,3,0)</f>
        <v xml:space="preserve">Trần Kỳ Tâm    </v>
      </c>
      <c r="T165" t="str">
        <f>VLOOKUP(A165,Data_NV!$A:$E,4,0)</f>
        <v>Vận Hành</v>
      </c>
      <c r="U165" s="67">
        <f>DATEVALUE(Table2[[#This Row],[Ngày]])</f>
        <v>45913</v>
      </c>
      <c r="V165" t="str">
        <f>VLOOKUP(A165,Data_NV!$A:$E,5,0)</f>
        <v>Đang làm việc</v>
      </c>
      <c r="W165" s="11">
        <f>VLOOKUP(A165,Data_NV!$A:$I,8,0)</f>
        <v>0.33333333333333331</v>
      </c>
      <c r="X165" s="11">
        <f>VLOOKUP(A165,Data_NV!$A:$I,9,0)</f>
        <v>0.70833333333333337</v>
      </c>
      <c r="Y165" s="11">
        <f>IFERROR(TIMEVALUE(Table2[[#This Row],[Vào]]),0)</f>
        <v>0.32725694444444442</v>
      </c>
      <c r="Z165" s="11">
        <f>IFERROR(TIMEVALUE(Table2[[#This Row],[Ra]]),0)</f>
        <v>0.76240740740740742</v>
      </c>
      <c r="AA165" t="str">
        <f t="shared" ref="AA165:AA182" si="14">IF(OR(AND(Y165=0,Z165=0),AG165="Không chấm công do vi phạm quá 3 lần"),"",IF(OR(AG165="Trừ 1/2 ngày lương",AF165="Trừ 1/2 ngày lương",AB165&gt;=60),"1/2","x"))</f>
        <v>x</v>
      </c>
      <c r="AB165" s="14">
        <f t="shared" si="12"/>
        <v>0</v>
      </c>
      <c r="AC165" s="14" t="str">
        <f>IF(VLOOKUP(A165,Data_NV!$A:$I,7,0)="Không","",IF(OR(AND(Y165=0,Z165=0),AND(Y165&lt;&gt;0,Z165&lt;&gt;0)),"","Quên chấm công"))</f>
        <v/>
      </c>
      <c r="AD165" s="14">
        <f>IF(VLOOKUP(A165,Data_NV!$A:$I,7,0)="Không",0,IF(AND(Y165=0,Z165=0),0,IF(X165&lt;=Z165,0,ROUNDDOWN((X165-Z165)*24*60,0))))</f>
        <v>0</v>
      </c>
      <c r="AE165" s="14">
        <f>IF(VLOOKUP(A165,Data_NV!$A:$I,6,0)="Không",0,IF(Z165&lt;=X165,0,ROUNDDOWN((Z165-X165)*24*60,0)))</f>
        <v>77</v>
      </c>
      <c r="AF165" s="29">
        <f t="shared" ref="AF165:AF182" si="15">IF(AB165&gt;60,"Trừ 1/2 ngày lương",IF(AB165&gt;15,50000,IF(AB165&gt;6,30000,0)))</f>
        <v>0</v>
      </c>
      <c r="AG165" s="30" t="str">
        <f>IF(AC165="","",IF(COUNTIFS($AC$3:AC165,"Quên chấm công",$S$3:S165,S165)&gt;3,"Không chấm công do vi phạm quá 3 lần",IF(COUNTIFS($AC$3:AC165,"Quên chấm công",$S$3:S165,S165)&gt;2,"Trừ toàn bộ chuyên cần tháng do vi phạm lần 3",IF(COUNTIFS($AC$3:AC165,"Quên chấm công",$S$3:S165,S165)&gt;1,"Trừ 1/2 ngày lương",50000))))</f>
        <v/>
      </c>
      <c r="AH165" s="14" t="str">
        <f>IF(COUNTIFS($AF$3:AF165,"&gt;0",$S$3:S165,S165)&gt;3,"Trừ toàn bộ chuyên cần tháng","")</f>
        <v/>
      </c>
      <c r="AI165" s="14"/>
      <c r="AJ165" s="14"/>
    </row>
    <row r="166" spans="1:36" x14ac:dyDescent="0.25">
      <c r="A166" s="4" t="s">
        <v>233</v>
      </c>
      <c r="B166" s="1" t="s">
        <v>234</v>
      </c>
      <c r="C166" s="1" t="s">
        <v>20</v>
      </c>
      <c r="D166" s="1" t="s">
        <v>74</v>
      </c>
      <c r="E166" s="1" t="s">
        <v>22</v>
      </c>
      <c r="F166" s="1" t="s">
        <v>23</v>
      </c>
      <c r="G166" s="1" t="s">
        <v>12</v>
      </c>
      <c r="H166" s="12" t="s">
        <v>24</v>
      </c>
      <c r="I166" s="1" t="s">
        <v>24</v>
      </c>
      <c r="J166" s="1" t="s">
        <v>25</v>
      </c>
      <c r="K166" s="1" t="s">
        <v>25</v>
      </c>
      <c r="L166" s="1" t="s">
        <v>26</v>
      </c>
      <c r="M166" s="1" t="s">
        <v>25</v>
      </c>
      <c r="N166" s="1" t="s">
        <v>25</v>
      </c>
      <c r="O166" s="1" t="s">
        <v>25</v>
      </c>
      <c r="P166" s="1" t="s">
        <v>25</v>
      </c>
      <c r="Q166" s="1" t="s">
        <v>25</v>
      </c>
      <c r="R166" s="70" t="str">
        <f t="shared" si="13"/>
        <v>245914</v>
      </c>
      <c r="S166" t="str">
        <f>VLOOKUP(A166,Data_NV!$A:$C,3,0)</f>
        <v xml:space="preserve">Trần Kỳ Tâm    </v>
      </c>
      <c r="T166" t="str">
        <f>VLOOKUP(A166,Data_NV!$A:$E,4,0)</f>
        <v>Vận Hành</v>
      </c>
      <c r="U166" s="67">
        <f>DATEVALUE(Table2[[#This Row],[Ngày]])</f>
        <v>45914</v>
      </c>
      <c r="V166" t="str">
        <f>VLOOKUP(A166,Data_NV!$A:$E,5,0)</f>
        <v>Đang làm việc</v>
      </c>
      <c r="W166" s="11">
        <f>VLOOKUP(A166,Data_NV!$A:$I,8,0)</f>
        <v>0.33333333333333331</v>
      </c>
      <c r="X166" s="11">
        <f>VLOOKUP(A166,Data_NV!$A:$I,9,0)</f>
        <v>0.70833333333333337</v>
      </c>
      <c r="Y166" s="11">
        <f>IFERROR(TIMEVALUE(Table2[[#This Row],[Vào]]),0)</f>
        <v>0</v>
      </c>
      <c r="Z166" s="11">
        <f>IFERROR(TIMEVALUE(Table2[[#This Row],[Ra]]),0)</f>
        <v>0</v>
      </c>
      <c r="AA166" t="str">
        <f t="shared" si="14"/>
        <v/>
      </c>
      <c r="AB166" s="14">
        <f t="shared" si="12"/>
        <v>0</v>
      </c>
      <c r="AC166" s="14" t="str">
        <f>IF(VLOOKUP(A166,Data_NV!$A:$I,7,0)="Không","",IF(OR(AND(Y166=0,Z166=0),AND(Y166&lt;&gt;0,Z166&lt;&gt;0)),"","Quên chấm công"))</f>
        <v/>
      </c>
      <c r="AD166" s="14">
        <f>IF(VLOOKUP(A166,Data_NV!$A:$I,7,0)="Không",0,IF(AND(Y166=0,Z166=0),0,IF(X166&lt;=Z166,0,ROUNDDOWN((X166-Z166)*24*60,0))))</f>
        <v>0</v>
      </c>
      <c r="AE166" s="14">
        <f>IF(VLOOKUP(A166,Data_NV!$A:$I,6,0)="Không",0,IF(Z166&lt;=X166,0,ROUNDDOWN((Z166-X166)*24*60,0)))</f>
        <v>0</v>
      </c>
      <c r="AF166" s="29">
        <f t="shared" si="15"/>
        <v>0</v>
      </c>
      <c r="AG166" s="30" t="str">
        <f>IF(AC166="","",IF(COUNTIFS($AC$3:AC166,"Quên chấm công",$S$3:S166,S166)&gt;3,"Không chấm công do vi phạm quá 3 lần",IF(COUNTIFS($AC$3:AC166,"Quên chấm công",$S$3:S166,S166)&gt;2,"Trừ toàn bộ chuyên cần tháng do vi phạm lần 3",IF(COUNTIFS($AC$3:AC166,"Quên chấm công",$S$3:S166,S166)&gt;1,"Trừ 1/2 ngày lương",50000))))</f>
        <v/>
      </c>
      <c r="AH166" s="14" t="str">
        <f>IF(COUNTIFS($AF$3:AF166,"&gt;0",$S$3:S166,S166)&gt;3,"Trừ toàn bộ chuyên cần tháng","")</f>
        <v/>
      </c>
      <c r="AI166" s="14"/>
      <c r="AJ166" s="14"/>
    </row>
    <row r="167" spans="1:36" x14ac:dyDescent="0.25">
      <c r="A167" s="4" t="s">
        <v>233</v>
      </c>
      <c r="B167" s="1" t="s">
        <v>234</v>
      </c>
      <c r="C167" s="1" t="s">
        <v>20</v>
      </c>
      <c r="D167" s="1" t="s">
        <v>75</v>
      </c>
      <c r="E167" s="1" t="s">
        <v>22</v>
      </c>
      <c r="F167" s="1" t="s">
        <v>23</v>
      </c>
      <c r="G167" s="1" t="s">
        <v>29</v>
      </c>
      <c r="H167" s="12" t="s">
        <v>275</v>
      </c>
      <c r="I167" s="1" t="s">
        <v>276</v>
      </c>
      <c r="J167" s="1" t="s">
        <v>25</v>
      </c>
      <c r="K167" s="1" t="s">
        <v>277</v>
      </c>
      <c r="L167" s="1" t="s">
        <v>25</v>
      </c>
      <c r="M167" s="1" t="s">
        <v>26</v>
      </c>
      <c r="N167" s="1" t="s">
        <v>25</v>
      </c>
      <c r="O167" s="1" t="s">
        <v>278</v>
      </c>
      <c r="P167" s="1" t="s">
        <v>25</v>
      </c>
      <c r="Q167" s="1" t="s">
        <v>25</v>
      </c>
      <c r="R167" s="70" t="str">
        <f t="shared" si="13"/>
        <v>245915</v>
      </c>
      <c r="S167" t="str">
        <f>VLOOKUP(A167,Data_NV!$A:$C,3,0)</f>
        <v xml:space="preserve">Trần Kỳ Tâm    </v>
      </c>
      <c r="T167" t="str">
        <f>VLOOKUP(A167,Data_NV!$A:$E,4,0)</f>
        <v>Vận Hành</v>
      </c>
      <c r="U167" s="67">
        <f>DATEVALUE(Table2[[#This Row],[Ngày]])</f>
        <v>45915</v>
      </c>
      <c r="V167" t="str">
        <f>VLOOKUP(A167,Data_NV!$A:$E,5,0)</f>
        <v>Đang làm việc</v>
      </c>
      <c r="W167" s="11">
        <f>VLOOKUP(A167,Data_NV!$A:$I,8,0)</f>
        <v>0.33333333333333331</v>
      </c>
      <c r="X167" s="11">
        <f>VLOOKUP(A167,Data_NV!$A:$I,9,0)</f>
        <v>0.70833333333333337</v>
      </c>
      <c r="Y167" s="11">
        <f>IFERROR(TIMEVALUE(Table2[[#This Row],[Vào]]),0)</f>
        <v>0.32685185185185184</v>
      </c>
      <c r="Z167" s="11">
        <f>IFERROR(TIMEVALUE(Table2[[#This Row],[Ra]]),0)</f>
        <v>0.76943287037037034</v>
      </c>
      <c r="AA167" t="str">
        <f t="shared" si="14"/>
        <v>x</v>
      </c>
      <c r="AB167" s="14">
        <f t="shared" si="12"/>
        <v>0</v>
      </c>
      <c r="AC167" s="14" t="str">
        <f>IF(VLOOKUP(A167,Data_NV!$A:$I,7,0)="Không","",IF(OR(AND(Y167=0,Z167=0),AND(Y167&lt;&gt;0,Z167&lt;&gt;0)),"","Quên chấm công"))</f>
        <v/>
      </c>
      <c r="AD167" s="14">
        <f>IF(VLOOKUP(A167,Data_NV!$A:$I,7,0)="Không",0,IF(AND(Y167=0,Z167=0),0,IF(X167&lt;=Z167,0,ROUNDDOWN((X167-Z167)*24*60,0))))</f>
        <v>0</v>
      </c>
      <c r="AE167" s="14">
        <f>IF(VLOOKUP(A167,Data_NV!$A:$I,6,0)="Không",0,IF(Z167&lt;=X167,0,ROUNDDOWN((Z167-X167)*24*60,0)))</f>
        <v>87</v>
      </c>
      <c r="AF167" s="29">
        <f t="shared" si="15"/>
        <v>0</v>
      </c>
      <c r="AG167" s="30" t="str">
        <f>IF(AC167="","",IF(COUNTIFS($AC$3:AC167,"Quên chấm công",$S$3:S167,S167)&gt;3,"Không chấm công do vi phạm quá 3 lần",IF(COUNTIFS($AC$3:AC167,"Quên chấm công",$S$3:S167,S167)&gt;2,"Trừ toàn bộ chuyên cần tháng do vi phạm lần 3",IF(COUNTIFS($AC$3:AC167,"Quên chấm công",$S$3:S167,S167)&gt;1,"Trừ 1/2 ngày lương",50000))))</f>
        <v/>
      </c>
      <c r="AH167" s="14" t="str">
        <f>IF(COUNTIFS($AF$3:AF167,"&gt;0",$S$3:S167,S167)&gt;3,"Trừ toàn bộ chuyên cần tháng","")</f>
        <v/>
      </c>
      <c r="AI167" s="14"/>
      <c r="AJ167" s="14"/>
    </row>
    <row r="168" spans="1:36" x14ac:dyDescent="0.25">
      <c r="A168" s="4" t="s">
        <v>233</v>
      </c>
      <c r="B168" s="1" t="s">
        <v>234</v>
      </c>
      <c r="C168" s="1" t="s">
        <v>20</v>
      </c>
      <c r="D168" s="1" t="s">
        <v>80</v>
      </c>
      <c r="E168" s="1" t="s">
        <v>22</v>
      </c>
      <c r="F168" s="1" t="s">
        <v>23</v>
      </c>
      <c r="G168" s="1" t="s">
        <v>12</v>
      </c>
      <c r="H168" s="12" t="s">
        <v>24</v>
      </c>
      <c r="I168" s="1" t="s">
        <v>24</v>
      </c>
      <c r="J168" s="1" t="s">
        <v>25</v>
      </c>
      <c r="K168" s="1" t="s">
        <v>25</v>
      </c>
      <c r="L168" s="1" t="s">
        <v>26</v>
      </c>
      <c r="M168" s="1" t="s">
        <v>25</v>
      </c>
      <c r="N168" s="1" t="s">
        <v>25</v>
      </c>
      <c r="O168" s="1" t="s">
        <v>25</v>
      </c>
      <c r="P168" s="1" t="s">
        <v>25</v>
      </c>
      <c r="Q168" s="1" t="s">
        <v>25</v>
      </c>
      <c r="R168" s="70" t="str">
        <f t="shared" si="13"/>
        <v>245916</v>
      </c>
      <c r="S168" t="str">
        <f>VLOOKUP(A168,Data_NV!$A:$C,3,0)</f>
        <v xml:space="preserve">Trần Kỳ Tâm    </v>
      </c>
      <c r="T168" t="str">
        <f>VLOOKUP(A168,Data_NV!$A:$E,4,0)</f>
        <v>Vận Hành</v>
      </c>
      <c r="U168" s="67">
        <f>DATEVALUE(Table2[[#This Row],[Ngày]])</f>
        <v>45916</v>
      </c>
      <c r="V168" t="str">
        <f>VLOOKUP(A168,Data_NV!$A:$E,5,0)</f>
        <v>Đang làm việc</v>
      </c>
      <c r="W168" s="11">
        <f>VLOOKUP(A168,Data_NV!$A:$I,8,0)</f>
        <v>0.33333333333333331</v>
      </c>
      <c r="X168" s="11">
        <f>VLOOKUP(A168,Data_NV!$A:$I,9,0)</f>
        <v>0.70833333333333337</v>
      </c>
      <c r="Y168" s="11">
        <f>IFERROR(TIMEVALUE(Table2[[#This Row],[Vào]]),0)</f>
        <v>0</v>
      </c>
      <c r="Z168" s="11">
        <f>IFERROR(TIMEVALUE(Table2[[#This Row],[Ra]]),0)</f>
        <v>0</v>
      </c>
      <c r="AA168" t="str">
        <f t="shared" si="14"/>
        <v/>
      </c>
      <c r="AB168" s="14">
        <f t="shared" si="12"/>
        <v>0</v>
      </c>
      <c r="AC168" s="14" t="str">
        <f>IF(VLOOKUP(A168,Data_NV!$A:$I,7,0)="Không","",IF(OR(AND(Y168=0,Z168=0),AND(Y168&lt;&gt;0,Z168&lt;&gt;0)),"","Quên chấm công"))</f>
        <v/>
      </c>
      <c r="AD168" s="14">
        <f>IF(VLOOKUP(A168,Data_NV!$A:$I,7,0)="Không",0,IF(AND(Y168=0,Z168=0),0,IF(X168&lt;=Z168,0,ROUNDDOWN((X168-Z168)*24*60,0))))</f>
        <v>0</v>
      </c>
      <c r="AE168" s="14">
        <f>IF(VLOOKUP(A168,Data_NV!$A:$I,6,0)="Không",0,IF(Z168&lt;=X168,0,ROUNDDOWN((Z168-X168)*24*60,0)))</f>
        <v>0</v>
      </c>
      <c r="AF168" s="29">
        <f t="shared" si="15"/>
        <v>0</v>
      </c>
      <c r="AG168" s="30" t="str">
        <f>IF(AC168="","",IF(COUNTIFS($AC$3:AC168,"Quên chấm công",$S$3:S168,S168)&gt;3,"Không chấm công do vi phạm quá 3 lần",IF(COUNTIFS($AC$3:AC168,"Quên chấm công",$S$3:S168,S168)&gt;2,"Trừ toàn bộ chuyên cần tháng do vi phạm lần 3",IF(COUNTIFS($AC$3:AC168,"Quên chấm công",$S$3:S168,S168)&gt;1,"Trừ 1/2 ngày lương",50000))))</f>
        <v/>
      </c>
      <c r="AH168" s="14" t="str">
        <f>IF(COUNTIFS($AF$3:AF168,"&gt;0",$S$3:S168,S168)&gt;3,"Trừ toàn bộ chuyên cần tháng","")</f>
        <v/>
      </c>
      <c r="AI168" s="14"/>
      <c r="AJ168" s="14"/>
    </row>
    <row r="169" spans="1:36" x14ac:dyDescent="0.25">
      <c r="A169" s="4" t="s">
        <v>233</v>
      </c>
      <c r="B169" s="1" t="s">
        <v>234</v>
      </c>
      <c r="C169" s="1" t="s">
        <v>20</v>
      </c>
      <c r="D169" s="1" t="s">
        <v>85</v>
      </c>
      <c r="E169" s="1" t="s">
        <v>22</v>
      </c>
      <c r="F169" s="1" t="s">
        <v>23</v>
      </c>
      <c r="G169" s="1" t="s">
        <v>12</v>
      </c>
      <c r="H169" s="12" t="s">
        <v>24</v>
      </c>
      <c r="I169" s="1" t="s">
        <v>24</v>
      </c>
      <c r="J169" s="1" t="s">
        <v>25</v>
      </c>
      <c r="K169" s="1" t="s">
        <v>25</v>
      </c>
      <c r="L169" s="1" t="s">
        <v>26</v>
      </c>
      <c r="M169" s="1" t="s">
        <v>25</v>
      </c>
      <c r="N169" s="1" t="s">
        <v>25</v>
      </c>
      <c r="O169" s="1" t="s">
        <v>25</v>
      </c>
      <c r="P169" s="1" t="s">
        <v>25</v>
      </c>
      <c r="Q169" s="1" t="s">
        <v>25</v>
      </c>
      <c r="R169" s="70" t="str">
        <f t="shared" si="13"/>
        <v>245917</v>
      </c>
      <c r="S169" t="str">
        <f>VLOOKUP(A169,Data_NV!$A:$C,3,0)</f>
        <v xml:space="preserve">Trần Kỳ Tâm    </v>
      </c>
      <c r="T169" t="str">
        <f>VLOOKUP(A169,Data_NV!$A:$E,4,0)</f>
        <v>Vận Hành</v>
      </c>
      <c r="U169" s="67">
        <f>DATEVALUE(Table2[[#This Row],[Ngày]])</f>
        <v>45917</v>
      </c>
      <c r="V169" t="str">
        <f>VLOOKUP(A169,Data_NV!$A:$E,5,0)</f>
        <v>Đang làm việc</v>
      </c>
      <c r="W169" s="11">
        <f>VLOOKUP(A169,Data_NV!$A:$I,8,0)</f>
        <v>0.33333333333333331</v>
      </c>
      <c r="X169" s="11">
        <f>VLOOKUP(A169,Data_NV!$A:$I,9,0)</f>
        <v>0.70833333333333337</v>
      </c>
      <c r="Y169" s="11">
        <f>IFERROR(TIMEVALUE(Table2[[#This Row],[Vào]]),0)</f>
        <v>0</v>
      </c>
      <c r="Z169" s="11">
        <f>IFERROR(TIMEVALUE(Table2[[#This Row],[Ra]]),0)</f>
        <v>0</v>
      </c>
      <c r="AA169" t="str">
        <f t="shared" si="14"/>
        <v/>
      </c>
      <c r="AB169" s="14">
        <f t="shared" si="12"/>
        <v>0</v>
      </c>
      <c r="AC169" s="14" t="str">
        <f>IF(VLOOKUP(A169,Data_NV!$A:$I,7,0)="Không","",IF(OR(AND(Y169=0,Z169=0),AND(Y169&lt;&gt;0,Z169&lt;&gt;0)),"","Quên chấm công"))</f>
        <v/>
      </c>
      <c r="AD169" s="14">
        <f>IF(VLOOKUP(A169,Data_NV!$A:$I,7,0)="Không",0,IF(AND(Y169=0,Z169=0),0,IF(X169&lt;=Z169,0,ROUNDDOWN((X169-Z169)*24*60,0))))</f>
        <v>0</v>
      </c>
      <c r="AE169" s="14">
        <f>IF(VLOOKUP(A169,Data_NV!$A:$I,6,0)="Không",0,IF(Z169&lt;=X169,0,ROUNDDOWN((Z169-X169)*24*60,0)))</f>
        <v>0</v>
      </c>
      <c r="AF169" s="29">
        <f t="shared" si="15"/>
        <v>0</v>
      </c>
      <c r="AG169" s="30" t="str">
        <f>IF(AC169="","",IF(COUNTIFS($AC$3:AC169,"Quên chấm công",$S$3:S169,S169)&gt;3,"Không chấm công do vi phạm quá 3 lần",IF(COUNTIFS($AC$3:AC169,"Quên chấm công",$S$3:S169,S169)&gt;2,"Trừ toàn bộ chuyên cần tháng do vi phạm lần 3",IF(COUNTIFS($AC$3:AC169,"Quên chấm công",$S$3:S169,S169)&gt;1,"Trừ 1/2 ngày lương",50000))))</f>
        <v/>
      </c>
      <c r="AH169" s="14" t="str">
        <f>IF(COUNTIFS($AF$3:AF169,"&gt;0",$S$3:S169,S169)&gt;3,"Trừ toàn bộ chuyên cần tháng","")</f>
        <v/>
      </c>
      <c r="AI169" s="14"/>
      <c r="AJ169" s="14"/>
    </row>
    <row r="170" spans="1:36" x14ac:dyDescent="0.25">
      <c r="A170" s="4" t="s">
        <v>233</v>
      </c>
      <c r="B170" s="1" t="s">
        <v>234</v>
      </c>
      <c r="C170" s="1" t="s">
        <v>20</v>
      </c>
      <c r="D170" s="1" t="s">
        <v>90</v>
      </c>
      <c r="E170" s="1" t="s">
        <v>22</v>
      </c>
      <c r="F170" s="1" t="s">
        <v>23</v>
      </c>
      <c r="G170" s="1" t="s">
        <v>12</v>
      </c>
      <c r="H170" s="12" t="s">
        <v>24</v>
      </c>
      <c r="I170" s="1" t="s">
        <v>24</v>
      </c>
      <c r="J170" s="1" t="s">
        <v>25</v>
      </c>
      <c r="K170" s="1" t="s">
        <v>25</v>
      </c>
      <c r="L170" s="1" t="s">
        <v>26</v>
      </c>
      <c r="M170" s="1" t="s">
        <v>25</v>
      </c>
      <c r="N170" s="1" t="s">
        <v>25</v>
      </c>
      <c r="O170" s="1" t="s">
        <v>25</v>
      </c>
      <c r="P170" s="1" t="s">
        <v>25</v>
      </c>
      <c r="Q170" s="1" t="s">
        <v>25</v>
      </c>
      <c r="R170" s="70" t="str">
        <f t="shared" si="13"/>
        <v>245918</v>
      </c>
      <c r="S170" t="str">
        <f>VLOOKUP(A170,Data_NV!$A:$C,3,0)</f>
        <v xml:space="preserve">Trần Kỳ Tâm    </v>
      </c>
      <c r="T170" t="str">
        <f>VLOOKUP(A170,Data_NV!$A:$E,4,0)</f>
        <v>Vận Hành</v>
      </c>
      <c r="U170" s="67">
        <f>DATEVALUE(Table2[[#This Row],[Ngày]])</f>
        <v>45918</v>
      </c>
      <c r="V170" t="str">
        <f>VLOOKUP(A170,Data_NV!$A:$E,5,0)</f>
        <v>Đang làm việc</v>
      </c>
      <c r="W170" s="11">
        <f>VLOOKUP(A170,Data_NV!$A:$I,8,0)</f>
        <v>0.33333333333333331</v>
      </c>
      <c r="X170" s="11">
        <f>VLOOKUP(A170,Data_NV!$A:$I,9,0)</f>
        <v>0.70833333333333337</v>
      </c>
      <c r="Y170" s="11">
        <f>IFERROR(TIMEVALUE(Table2[[#This Row],[Vào]]),0)</f>
        <v>0</v>
      </c>
      <c r="Z170" s="11">
        <f>IFERROR(TIMEVALUE(Table2[[#This Row],[Ra]]),0)</f>
        <v>0</v>
      </c>
      <c r="AA170" t="str">
        <f t="shared" si="14"/>
        <v/>
      </c>
      <c r="AB170" s="14">
        <f t="shared" si="12"/>
        <v>0</v>
      </c>
      <c r="AC170" s="14" t="str">
        <f>IF(VLOOKUP(A170,Data_NV!$A:$I,7,0)="Không","",IF(OR(AND(Y170=0,Z170=0),AND(Y170&lt;&gt;0,Z170&lt;&gt;0)),"","Quên chấm công"))</f>
        <v/>
      </c>
      <c r="AD170" s="14">
        <f>IF(VLOOKUP(A170,Data_NV!$A:$I,7,0)="Không",0,IF(AND(Y170=0,Z170=0),0,IF(X170&lt;=Z170,0,ROUNDDOWN((X170-Z170)*24*60,0))))</f>
        <v>0</v>
      </c>
      <c r="AE170" s="14">
        <f>IF(VLOOKUP(A170,Data_NV!$A:$I,6,0)="Không",0,IF(Z170&lt;=X170,0,ROUNDDOWN((Z170-X170)*24*60,0)))</f>
        <v>0</v>
      </c>
      <c r="AF170" s="29">
        <f t="shared" si="15"/>
        <v>0</v>
      </c>
      <c r="AG170" s="30" t="str">
        <f>IF(AC170="","",IF(COUNTIFS($AC$3:AC170,"Quên chấm công",$S$3:S170,S170)&gt;3,"Không chấm công do vi phạm quá 3 lần",IF(COUNTIFS($AC$3:AC170,"Quên chấm công",$S$3:S170,S170)&gt;2,"Trừ toàn bộ chuyên cần tháng do vi phạm lần 3",IF(COUNTIFS($AC$3:AC170,"Quên chấm công",$S$3:S170,S170)&gt;1,"Trừ 1/2 ngày lương",50000))))</f>
        <v/>
      </c>
      <c r="AH170" s="14" t="str">
        <f>IF(COUNTIFS($AF$3:AF170,"&gt;0",$S$3:S170,S170)&gt;3,"Trừ toàn bộ chuyên cần tháng","")</f>
        <v/>
      </c>
      <c r="AI170" s="14"/>
      <c r="AJ170" s="14"/>
    </row>
    <row r="171" spans="1:36" x14ac:dyDescent="0.25">
      <c r="A171" s="4" t="s">
        <v>233</v>
      </c>
      <c r="B171" s="1" t="s">
        <v>234</v>
      </c>
      <c r="C171" s="1" t="s">
        <v>20</v>
      </c>
      <c r="D171" s="1" t="s">
        <v>95</v>
      </c>
      <c r="E171" s="1" t="s">
        <v>22</v>
      </c>
      <c r="F171" s="1" t="s">
        <v>23</v>
      </c>
      <c r="G171" s="1" t="s">
        <v>12</v>
      </c>
      <c r="H171" s="12" t="s">
        <v>24</v>
      </c>
      <c r="I171" s="1" t="s">
        <v>24</v>
      </c>
      <c r="J171" s="1" t="s">
        <v>25</v>
      </c>
      <c r="K171" s="1" t="s">
        <v>25</v>
      </c>
      <c r="L171" s="1" t="s">
        <v>26</v>
      </c>
      <c r="M171" s="1" t="s">
        <v>25</v>
      </c>
      <c r="N171" s="1" t="s">
        <v>25</v>
      </c>
      <c r="O171" s="1" t="s">
        <v>25</v>
      </c>
      <c r="P171" s="1" t="s">
        <v>25</v>
      </c>
      <c r="Q171" s="1" t="s">
        <v>25</v>
      </c>
      <c r="R171" s="70" t="str">
        <f t="shared" si="13"/>
        <v>245919</v>
      </c>
      <c r="S171" t="str">
        <f>VLOOKUP(A171,Data_NV!$A:$C,3,0)</f>
        <v xml:space="preserve">Trần Kỳ Tâm    </v>
      </c>
      <c r="T171" t="str">
        <f>VLOOKUP(A171,Data_NV!$A:$E,4,0)</f>
        <v>Vận Hành</v>
      </c>
      <c r="U171" s="67">
        <f>DATEVALUE(Table2[[#This Row],[Ngày]])</f>
        <v>45919</v>
      </c>
      <c r="V171" t="str">
        <f>VLOOKUP(A171,Data_NV!$A:$E,5,0)</f>
        <v>Đang làm việc</v>
      </c>
      <c r="W171" s="11">
        <f>VLOOKUP(A171,Data_NV!$A:$I,8,0)</f>
        <v>0.33333333333333331</v>
      </c>
      <c r="X171" s="11">
        <f>VLOOKUP(A171,Data_NV!$A:$I,9,0)</f>
        <v>0.70833333333333337</v>
      </c>
      <c r="Y171" s="11">
        <f>IFERROR(TIMEVALUE(Table2[[#This Row],[Vào]]),0)</f>
        <v>0</v>
      </c>
      <c r="Z171" s="11">
        <f>IFERROR(TIMEVALUE(Table2[[#This Row],[Ra]]),0)</f>
        <v>0</v>
      </c>
      <c r="AA171" t="str">
        <f t="shared" si="14"/>
        <v/>
      </c>
      <c r="AB171" s="14">
        <f t="shared" si="12"/>
        <v>0</v>
      </c>
      <c r="AC171" s="14" t="str">
        <f>IF(VLOOKUP(A171,Data_NV!$A:$I,7,0)="Không","",IF(OR(AND(Y171=0,Z171=0),AND(Y171&lt;&gt;0,Z171&lt;&gt;0)),"","Quên chấm công"))</f>
        <v/>
      </c>
      <c r="AD171" s="14">
        <f>IF(VLOOKUP(A171,Data_NV!$A:$I,7,0)="Không",0,IF(AND(Y171=0,Z171=0),0,IF(X171&lt;=Z171,0,ROUNDDOWN((X171-Z171)*24*60,0))))</f>
        <v>0</v>
      </c>
      <c r="AE171" s="14">
        <f>IF(VLOOKUP(A171,Data_NV!$A:$I,6,0)="Không",0,IF(Z171&lt;=X171,0,ROUNDDOWN((Z171-X171)*24*60,0)))</f>
        <v>0</v>
      </c>
      <c r="AF171" s="29">
        <f t="shared" si="15"/>
        <v>0</v>
      </c>
      <c r="AG171" s="30" t="str">
        <f>IF(AC171="","",IF(COUNTIFS($AC$3:AC171,"Quên chấm công",$S$3:S171,S171)&gt;3,"Không chấm công do vi phạm quá 3 lần",IF(COUNTIFS($AC$3:AC171,"Quên chấm công",$S$3:S171,S171)&gt;2,"Trừ toàn bộ chuyên cần tháng do vi phạm lần 3",IF(COUNTIFS($AC$3:AC171,"Quên chấm công",$S$3:S171,S171)&gt;1,"Trừ 1/2 ngày lương",50000))))</f>
        <v/>
      </c>
      <c r="AH171" s="14" t="str">
        <f>IF(COUNTIFS($AF$3:AF171,"&gt;0",$S$3:S171,S171)&gt;3,"Trừ toàn bộ chuyên cần tháng","")</f>
        <v/>
      </c>
      <c r="AI171" s="14"/>
      <c r="AJ171" s="14"/>
    </row>
    <row r="172" spans="1:36" x14ac:dyDescent="0.25">
      <c r="A172" s="4" t="s">
        <v>233</v>
      </c>
      <c r="B172" s="1" t="s">
        <v>234</v>
      </c>
      <c r="C172" s="1" t="s">
        <v>20</v>
      </c>
      <c r="D172" s="1" t="s">
        <v>100</v>
      </c>
      <c r="E172" s="1" t="s">
        <v>22</v>
      </c>
      <c r="F172" s="1" t="s">
        <v>23</v>
      </c>
      <c r="G172" s="1" t="s">
        <v>12</v>
      </c>
      <c r="H172" s="12" t="s">
        <v>24</v>
      </c>
      <c r="I172" s="1" t="s">
        <v>24</v>
      </c>
      <c r="J172" s="1" t="s">
        <v>25</v>
      </c>
      <c r="K172" s="1" t="s">
        <v>25</v>
      </c>
      <c r="L172" s="1" t="s">
        <v>26</v>
      </c>
      <c r="M172" s="1" t="s">
        <v>25</v>
      </c>
      <c r="N172" s="1" t="s">
        <v>25</v>
      </c>
      <c r="O172" s="1" t="s">
        <v>25</v>
      </c>
      <c r="P172" s="1" t="s">
        <v>25</v>
      </c>
      <c r="Q172" s="1" t="s">
        <v>25</v>
      </c>
      <c r="R172" s="70" t="str">
        <f t="shared" si="13"/>
        <v>245920</v>
      </c>
      <c r="S172" t="str">
        <f>VLOOKUP(A172,Data_NV!$A:$C,3,0)</f>
        <v xml:space="preserve">Trần Kỳ Tâm    </v>
      </c>
      <c r="T172" t="str">
        <f>VLOOKUP(A172,Data_NV!$A:$E,4,0)</f>
        <v>Vận Hành</v>
      </c>
      <c r="U172" s="67">
        <f>DATEVALUE(Table2[[#This Row],[Ngày]])</f>
        <v>45920</v>
      </c>
      <c r="V172" t="str">
        <f>VLOOKUP(A172,Data_NV!$A:$E,5,0)</f>
        <v>Đang làm việc</v>
      </c>
      <c r="W172" s="11">
        <f>VLOOKUP(A172,Data_NV!$A:$I,8,0)</f>
        <v>0.33333333333333331</v>
      </c>
      <c r="X172" s="11">
        <f>VLOOKUP(A172,Data_NV!$A:$I,9,0)</f>
        <v>0.70833333333333337</v>
      </c>
      <c r="Y172" s="11">
        <f>IFERROR(TIMEVALUE(Table2[[#This Row],[Vào]]),0)</f>
        <v>0</v>
      </c>
      <c r="Z172" s="11">
        <f>IFERROR(TIMEVALUE(Table2[[#This Row],[Ra]]),0)</f>
        <v>0</v>
      </c>
      <c r="AA172" t="str">
        <f t="shared" si="14"/>
        <v/>
      </c>
      <c r="AB172" s="14">
        <f t="shared" si="12"/>
        <v>0</v>
      </c>
      <c r="AC172" s="14" t="str">
        <f>IF(VLOOKUP(A172,Data_NV!$A:$I,7,0)="Không","",IF(OR(AND(Y172=0,Z172=0),AND(Y172&lt;&gt;0,Z172&lt;&gt;0)),"","Quên chấm công"))</f>
        <v/>
      </c>
      <c r="AD172" s="14">
        <f>IF(VLOOKUP(A172,Data_NV!$A:$I,7,0)="Không",0,IF(AND(Y172=0,Z172=0),0,IF(X172&lt;=Z172,0,ROUNDDOWN((X172-Z172)*24*60,0))))</f>
        <v>0</v>
      </c>
      <c r="AE172" s="14">
        <f>IF(VLOOKUP(A172,Data_NV!$A:$I,6,0)="Không",0,IF(Z172&lt;=X172,0,ROUNDDOWN((Z172-X172)*24*60,0)))</f>
        <v>0</v>
      </c>
      <c r="AF172" s="29">
        <f t="shared" si="15"/>
        <v>0</v>
      </c>
      <c r="AG172" s="30" t="str">
        <f>IF(AC172="","",IF(COUNTIFS($AC$3:AC172,"Quên chấm công",$S$3:S172,S172)&gt;3,"Không chấm công do vi phạm quá 3 lần",IF(COUNTIFS($AC$3:AC172,"Quên chấm công",$S$3:S172,S172)&gt;2,"Trừ toàn bộ chuyên cần tháng do vi phạm lần 3",IF(COUNTIFS($AC$3:AC172,"Quên chấm công",$S$3:S172,S172)&gt;1,"Trừ 1/2 ngày lương",50000))))</f>
        <v/>
      </c>
      <c r="AH172" s="14" t="str">
        <f>IF(COUNTIFS($AF$3:AF172,"&gt;0",$S$3:S172,S172)&gt;3,"Trừ toàn bộ chuyên cần tháng","")</f>
        <v/>
      </c>
      <c r="AI172" s="14"/>
      <c r="AJ172" s="14"/>
    </row>
    <row r="173" spans="1:36" x14ac:dyDescent="0.25">
      <c r="A173" s="4" t="s">
        <v>233</v>
      </c>
      <c r="B173" s="1" t="s">
        <v>234</v>
      </c>
      <c r="C173" s="1" t="s">
        <v>20</v>
      </c>
      <c r="D173" s="1" t="s">
        <v>105</v>
      </c>
      <c r="E173" s="1" t="s">
        <v>22</v>
      </c>
      <c r="F173" s="1" t="s">
        <v>23</v>
      </c>
      <c r="G173" s="1" t="s">
        <v>12</v>
      </c>
      <c r="H173" s="12" t="s">
        <v>24</v>
      </c>
      <c r="I173" s="1" t="s">
        <v>24</v>
      </c>
      <c r="J173" s="1" t="s">
        <v>25</v>
      </c>
      <c r="K173" s="1" t="s">
        <v>25</v>
      </c>
      <c r="L173" s="1" t="s">
        <v>26</v>
      </c>
      <c r="M173" s="1" t="s">
        <v>25</v>
      </c>
      <c r="N173" s="1" t="s">
        <v>25</v>
      </c>
      <c r="O173" s="1" t="s">
        <v>25</v>
      </c>
      <c r="P173" s="1" t="s">
        <v>25</v>
      </c>
      <c r="Q173" s="1" t="s">
        <v>25</v>
      </c>
      <c r="R173" s="70" t="str">
        <f t="shared" si="13"/>
        <v>245921</v>
      </c>
      <c r="S173" t="str">
        <f>VLOOKUP(A173,Data_NV!$A:$C,3,0)</f>
        <v xml:space="preserve">Trần Kỳ Tâm    </v>
      </c>
      <c r="T173" t="str">
        <f>VLOOKUP(A173,Data_NV!$A:$E,4,0)</f>
        <v>Vận Hành</v>
      </c>
      <c r="U173" s="67">
        <f>DATEVALUE(Table2[[#This Row],[Ngày]])</f>
        <v>45921</v>
      </c>
      <c r="V173" t="str">
        <f>VLOOKUP(A173,Data_NV!$A:$E,5,0)</f>
        <v>Đang làm việc</v>
      </c>
      <c r="W173" s="11">
        <f>VLOOKUP(A173,Data_NV!$A:$I,8,0)</f>
        <v>0.33333333333333331</v>
      </c>
      <c r="X173" s="11">
        <f>VLOOKUP(A173,Data_NV!$A:$I,9,0)</f>
        <v>0.70833333333333337</v>
      </c>
      <c r="Y173" s="11">
        <f>IFERROR(TIMEVALUE(Table2[[#This Row],[Vào]]),0)</f>
        <v>0</v>
      </c>
      <c r="Z173" s="11">
        <f>IFERROR(TIMEVALUE(Table2[[#This Row],[Ra]]),0)</f>
        <v>0</v>
      </c>
      <c r="AA173" t="str">
        <f t="shared" si="14"/>
        <v/>
      </c>
      <c r="AB173" s="14">
        <f t="shared" si="12"/>
        <v>0</v>
      </c>
      <c r="AC173" s="14" t="str">
        <f>IF(VLOOKUP(A173,Data_NV!$A:$I,7,0)="Không","",IF(OR(AND(Y173=0,Z173=0),AND(Y173&lt;&gt;0,Z173&lt;&gt;0)),"","Quên chấm công"))</f>
        <v/>
      </c>
      <c r="AD173" s="14">
        <f>IF(VLOOKUP(A173,Data_NV!$A:$I,7,0)="Không",0,IF(AND(Y173=0,Z173=0),0,IF(X173&lt;=Z173,0,ROUNDDOWN((X173-Z173)*24*60,0))))</f>
        <v>0</v>
      </c>
      <c r="AE173" s="14">
        <f>IF(VLOOKUP(A173,Data_NV!$A:$I,6,0)="Không",0,IF(Z173&lt;=X173,0,ROUNDDOWN((Z173-X173)*24*60,0)))</f>
        <v>0</v>
      </c>
      <c r="AF173" s="29">
        <f t="shared" si="15"/>
        <v>0</v>
      </c>
      <c r="AG173" s="30" t="str">
        <f>IF(AC173="","",IF(COUNTIFS($AC$3:AC173,"Quên chấm công",$S$3:S173,S173)&gt;3,"Không chấm công do vi phạm quá 3 lần",IF(COUNTIFS($AC$3:AC173,"Quên chấm công",$S$3:S173,S173)&gt;2,"Trừ toàn bộ chuyên cần tháng do vi phạm lần 3",IF(COUNTIFS($AC$3:AC173,"Quên chấm công",$S$3:S173,S173)&gt;1,"Trừ 1/2 ngày lương",50000))))</f>
        <v/>
      </c>
      <c r="AH173" s="14" t="str">
        <f>IF(COUNTIFS($AF$3:AF173,"&gt;0",$S$3:S173,S173)&gt;3,"Trừ toàn bộ chuyên cần tháng","")</f>
        <v/>
      </c>
      <c r="AI173" s="14"/>
      <c r="AJ173" s="14"/>
    </row>
    <row r="174" spans="1:36" x14ac:dyDescent="0.25">
      <c r="A174" s="4" t="s">
        <v>233</v>
      </c>
      <c r="B174" s="1" t="s">
        <v>234</v>
      </c>
      <c r="C174" s="1" t="s">
        <v>20</v>
      </c>
      <c r="D174" s="1" t="s">
        <v>106</v>
      </c>
      <c r="E174" s="1" t="s">
        <v>22</v>
      </c>
      <c r="F174" s="1" t="s">
        <v>23</v>
      </c>
      <c r="G174" s="1" t="s">
        <v>29</v>
      </c>
      <c r="H174" s="12" t="s">
        <v>279</v>
      </c>
      <c r="I174" s="1" t="s">
        <v>280</v>
      </c>
      <c r="J174" s="1" t="s">
        <v>25</v>
      </c>
      <c r="K174" s="1" t="s">
        <v>281</v>
      </c>
      <c r="L174" s="1" t="s">
        <v>25</v>
      </c>
      <c r="M174" s="1" t="s">
        <v>26</v>
      </c>
      <c r="N174" s="1" t="s">
        <v>25</v>
      </c>
      <c r="O174" s="1" t="s">
        <v>282</v>
      </c>
      <c r="P174" s="1" t="s">
        <v>25</v>
      </c>
      <c r="Q174" s="1" t="s">
        <v>25</v>
      </c>
      <c r="R174" s="70" t="str">
        <f t="shared" si="13"/>
        <v>245922</v>
      </c>
      <c r="S174" t="str">
        <f>VLOOKUP(A174,Data_NV!$A:$C,3,0)</f>
        <v xml:space="preserve">Trần Kỳ Tâm    </v>
      </c>
      <c r="T174" t="str">
        <f>VLOOKUP(A174,Data_NV!$A:$E,4,0)</f>
        <v>Vận Hành</v>
      </c>
      <c r="U174" s="67">
        <f>DATEVALUE(Table2[[#This Row],[Ngày]])</f>
        <v>45922</v>
      </c>
      <c r="V174" t="str">
        <f>VLOOKUP(A174,Data_NV!$A:$E,5,0)</f>
        <v>Đang làm việc</v>
      </c>
      <c r="W174" s="11">
        <f>VLOOKUP(A174,Data_NV!$A:$I,8,0)</f>
        <v>0.33333333333333331</v>
      </c>
      <c r="X174" s="11">
        <f>VLOOKUP(A174,Data_NV!$A:$I,9,0)</f>
        <v>0.70833333333333337</v>
      </c>
      <c r="Y174" s="11">
        <f>IFERROR(TIMEVALUE(Table2[[#This Row],[Vào]]),0)</f>
        <v>0.32854166666666668</v>
      </c>
      <c r="Z174" s="11">
        <f>IFERROR(TIMEVALUE(Table2[[#This Row],[Ra]]),0)</f>
        <v>0.77131944444444445</v>
      </c>
      <c r="AA174" t="str">
        <f t="shared" si="14"/>
        <v>x</v>
      </c>
      <c r="AB174" s="14">
        <f t="shared" si="12"/>
        <v>0</v>
      </c>
      <c r="AC174" s="14" t="str">
        <f>IF(VLOOKUP(A174,Data_NV!$A:$I,7,0)="Không","",IF(OR(AND(Y174=0,Z174=0),AND(Y174&lt;&gt;0,Z174&lt;&gt;0)),"","Quên chấm công"))</f>
        <v/>
      </c>
      <c r="AD174" s="14">
        <f>IF(VLOOKUP(A174,Data_NV!$A:$I,7,0)="Không",0,IF(AND(Y174=0,Z174=0),0,IF(X174&lt;=Z174,0,ROUNDDOWN((X174-Z174)*24*60,0))))</f>
        <v>0</v>
      </c>
      <c r="AE174" s="14">
        <f>IF(VLOOKUP(A174,Data_NV!$A:$I,6,0)="Không",0,IF(Z174&lt;=X174,0,ROUNDDOWN((Z174-X174)*24*60,0)))</f>
        <v>90</v>
      </c>
      <c r="AF174" s="29">
        <f t="shared" si="15"/>
        <v>0</v>
      </c>
      <c r="AG174" s="30" t="str">
        <f>IF(AC174="","",IF(COUNTIFS($AC$3:AC174,"Quên chấm công",$S$3:S174,S174)&gt;3,"Không chấm công do vi phạm quá 3 lần",IF(COUNTIFS($AC$3:AC174,"Quên chấm công",$S$3:S174,S174)&gt;2,"Trừ toàn bộ chuyên cần tháng do vi phạm lần 3",IF(COUNTIFS($AC$3:AC174,"Quên chấm công",$S$3:S174,S174)&gt;1,"Trừ 1/2 ngày lương",50000))))</f>
        <v/>
      </c>
      <c r="AH174" s="14" t="str">
        <f>IF(COUNTIFS($AF$3:AF174,"&gt;0",$S$3:S174,S174)&gt;3,"Trừ toàn bộ chuyên cần tháng","")</f>
        <v/>
      </c>
      <c r="AI174" s="14"/>
      <c r="AJ174" s="14"/>
    </row>
    <row r="175" spans="1:36" x14ac:dyDescent="0.25">
      <c r="A175" s="4" t="s">
        <v>233</v>
      </c>
      <c r="B175" s="1" t="s">
        <v>234</v>
      </c>
      <c r="C175" s="1" t="s">
        <v>20</v>
      </c>
      <c r="D175" s="1" t="s">
        <v>111</v>
      </c>
      <c r="E175" s="1" t="s">
        <v>22</v>
      </c>
      <c r="F175" s="1" t="s">
        <v>23</v>
      </c>
      <c r="G175" s="1" t="s">
        <v>29</v>
      </c>
      <c r="H175" s="12" t="s">
        <v>283</v>
      </c>
      <c r="I175" s="1" t="s">
        <v>284</v>
      </c>
      <c r="J175" s="1" t="s">
        <v>25</v>
      </c>
      <c r="K175" s="1" t="s">
        <v>72</v>
      </c>
      <c r="L175" s="1" t="s">
        <v>25</v>
      </c>
      <c r="M175" s="1" t="s">
        <v>26</v>
      </c>
      <c r="N175" s="1" t="s">
        <v>25</v>
      </c>
      <c r="O175" s="1" t="s">
        <v>73</v>
      </c>
      <c r="P175" s="1" t="s">
        <v>25</v>
      </c>
      <c r="Q175" s="1" t="s">
        <v>25</v>
      </c>
      <c r="R175" s="70" t="str">
        <f t="shared" si="13"/>
        <v>245923</v>
      </c>
      <c r="S175" t="str">
        <f>VLOOKUP(A175,Data_NV!$A:$C,3,0)</f>
        <v xml:space="preserve">Trần Kỳ Tâm    </v>
      </c>
      <c r="T175" t="str">
        <f>VLOOKUP(A175,Data_NV!$A:$E,4,0)</f>
        <v>Vận Hành</v>
      </c>
      <c r="U175" s="67">
        <f>DATEVALUE(Table2[[#This Row],[Ngày]])</f>
        <v>45923</v>
      </c>
      <c r="V175" t="str">
        <f>VLOOKUP(A175,Data_NV!$A:$E,5,0)</f>
        <v>Đang làm việc</v>
      </c>
      <c r="W175" s="11">
        <f>VLOOKUP(A175,Data_NV!$A:$I,8,0)</f>
        <v>0.33333333333333331</v>
      </c>
      <c r="X175" s="11">
        <f>VLOOKUP(A175,Data_NV!$A:$I,9,0)</f>
        <v>0.70833333333333337</v>
      </c>
      <c r="Y175" s="11">
        <f>IFERROR(TIMEVALUE(Table2[[#This Row],[Vào]]),0)</f>
        <v>0.32754629629629628</v>
      </c>
      <c r="Z175" s="11">
        <f>IFERROR(TIMEVALUE(Table2[[#This Row],[Ra]]),0)</f>
        <v>0.7465856481481481</v>
      </c>
      <c r="AA175" t="str">
        <f t="shared" si="14"/>
        <v>x</v>
      </c>
      <c r="AB175" s="14">
        <f t="shared" si="12"/>
        <v>0</v>
      </c>
      <c r="AC175" s="14" t="str">
        <f>IF(VLOOKUP(A175,Data_NV!$A:$I,7,0)="Không","",IF(OR(AND(Y175=0,Z175=0),AND(Y175&lt;&gt;0,Z175&lt;&gt;0)),"","Quên chấm công"))</f>
        <v/>
      </c>
      <c r="AD175" s="14">
        <f>IF(VLOOKUP(A175,Data_NV!$A:$I,7,0)="Không",0,IF(AND(Y175=0,Z175=0),0,IF(X175&lt;=Z175,0,ROUNDDOWN((X175-Z175)*24*60,0))))</f>
        <v>0</v>
      </c>
      <c r="AE175" s="14">
        <f>IF(VLOOKUP(A175,Data_NV!$A:$I,6,0)="Không",0,IF(Z175&lt;=X175,0,ROUNDDOWN((Z175-X175)*24*60,0)))</f>
        <v>55</v>
      </c>
      <c r="AF175" s="29">
        <f t="shared" si="15"/>
        <v>0</v>
      </c>
      <c r="AG175" s="30" t="str">
        <f>IF(AC175="","",IF(COUNTIFS($AC$3:AC175,"Quên chấm công",$S$3:S175,S175)&gt;3,"Không chấm công do vi phạm quá 3 lần",IF(COUNTIFS($AC$3:AC175,"Quên chấm công",$S$3:S175,S175)&gt;2,"Trừ toàn bộ chuyên cần tháng do vi phạm lần 3",IF(COUNTIFS($AC$3:AC175,"Quên chấm công",$S$3:S175,S175)&gt;1,"Trừ 1/2 ngày lương",50000))))</f>
        <v/>
      </c>
      <c r="AH175" s="14" t="str">
        <f>IF(COUNTIFS($AF$3:AF175,"&gt;0",$S$3:S175,S175)&gt;3,"Trừ toàn bộ chuyên cần tháng","")</f>
        <v/>
      </c>
      <c r="AI175" s="14"/>
      <c r="AJ175" s="14"/>
    </row>
    <row r="176" spans="1:36" x14ac:dyDescent="0.25">
      <c r="A176" s="4" t="s">
        <v>233</v>
      </c>
      <c r="B176" s="1" t="s">
        <v>234</v>
      </c>
      <c r="C176" s="1" t="s">
        <v>20</v>
      </c>
      <c r="D176" s="1" t="s">
        <v>116</v>
      </c>
      <c r="E176" s="1" t="s">
        <v>22</v>
      </c>
      <c r="F176" s="1" t="s">
        <v>23</v>
      </c>
      <c r="G176" s="1" t="s">
        <v>29</v>
      </c>
      <c r="H176" s="12" t="s">
        <v>285</v>
      </c>
      <c r="I176" s="1" t="s">
        <v>286</v>
      </c>
      <c r="J176" s="1" t="s">
        <v>25</v>
      </c>
      <c r="K176" s="1" t="s">
        <v>287</v>
      </c>
      <c r="L176" s="1" t="s">
        <v>25</v>
      </c>
      <c r="M176" s="1" t="s">
        <v>26</v>
      </c>
      <c r="N176" s="1" t="s">
        <v>25</v>
      </c>
      <c r="O176" s="1" t="s">
        <v>288</v>
      </c>
      <c r="P176" s="1" t="s">
        <v>25</v>
      </c>
      <c r="Q176" s="1" t="s">
        <v>25</v>
      </c>
      <c r="R176" s="70" t="str">
        <f t="shared" si="13"/>
        <v>245924</v>
      </c>
      <c r="S176" t="str">
        <f>VLOOKUP(A176,Data_NV!$A:$C,3,0)</f>
        <v xml:space="preserve">Trần Kỳ Tâm    </v>
      </c>
      <c r="T176" t="str">
        <f>VLOOKUP(A176,Data_NV!$A:$E,4,0)</f>
        <v>Vận Hành</v>
      </c>
      <c r="U176" s="67">
        <f>DATEVALUE(Table2[[#This Row],[Ngày]])</f>
        <v>45924</v>
      </c>
      <c r="V176" t="str">
        <f>VLOOKUP(A176,Data_NV!$A:$E,5,0)</f>
        <v>Đang làm việc</v>
      </c>
      <c r="W176" s="11">
        <f>VLOOKUP(A176,Data_NV!$A:$I,8,0)</f>
        <v>0.33333333333333331</v>
      </c>
      <c r="X176" s="11">
        <f>VLOOKUP(A176,Data_NV!$A:$I,9,0)</f>
        <v>0.70833333333333337</v>
      </c>
      <c r="Y176" s="11">
        <f>IFERROR(TIMEVALUE(Table2[[#This Row],[Vào]]),0)</f>
        <v>0.32497685185185188</v>
      </c>
      <c r="Z176" s="11">
        <f>IFERROR(TIMEVALUE(Table2[[#This Row],[Ra]]),0)</f>
        <v>0.76556712962962958</v>
      </c>
      <c r="AA176" t="str">
        <f t="shared" si="14"/>
        <v>x</v>
      </c>
      <c r="AB176" s="14">
        <f t="shared" si="12"/>
        <v>0</v>
      </c>
      <c r="AC176" s="14" t="str">
        <f>IF(VLOOKUP(A176,Data_NV!$A:$I,7,0)="Không","",IF(OR(AND(Y176=0,Z176=0),AND(Y176&lt;&gt;0,Z176&lt;&gt;0)),"","Quên chấm công"))</f>
        <v/>
      </c>
      <c r="AD176" s="14">
        <f>IF(VLOOKUP(A176,Data_NV!$A:$I,7,0)="Không",0,IF(AND(Y176=0,Z176=0),0,IF(X176&lt;=Z176,0,ROUNDDOWN((X176-Z176)*24*60,0))))</f>
        <v>0</v>
      </c>
      <c r="AE176" s="14">
        <f>IF(VLOOKUP(A176,Data_NV!$A:$I,6,0)="Không",0,IF(Z176&lt;=X176,0,ROUNDDOWN((Z176-X176)*24*60,0)))</f>
        <v>82</v>
      </c>
      <c r="AF176" s="29">
        <f t="shared" si="15"/>
        <v>0</v>
      </c>
      <c r="AG176" s="30" t="str">
        <f>IF(AC176="","",IF(COUNTIFS($AC$3:AC176,"Quên chấm công",$S$3:S176,S176)&gt;3,"Không chấm công do vi phạm quá 3 lần",IF(COUNTIFS($AC$3:AC176,"Quên chấm công",$S$3:S176,S176)&gt;2,"Trừ toàn bộ chuyên cần tháng do vi phạm lần 3",IF(COUNTIFS($AC$3:AC176,"Quên chấm công",$S$3:S176,S176)&gt;1,"Trừ 1/2 ngày lương",50000))))</f>
        <v/>
      </c>
      <c r="AH176" s="14" t="str">
        <f>IF(COUNTIFS($AF$3:AF176,"&gt;0",$S$3:S176,S176)&gt;3,"Trừ toàn bộ chuyên cần tháng","")</f>
        <v/>
      </c>
      <c r="AI176" s="14"/>
      <c r="AJ176" s="14"/>
    </row>
    <row r="177" spans="1:36" x14ac:dyDescent="0.25">
      <c r="A177" s="4" t="s">
        <v>233</v>
      </c>
      <c r="B177" s="1" t="s">
        <v>234</v>
      </c>
      <c r="C177" s="1" t="s">
        <v>20</v>
      </c>
      <c r="D177" s="1" t="s">
        <v>121</v>
      </c>
      <c r="E177" s="1" t="s">
        <v>22</v>
      </c>
      <c r="F177" s="1" t="s">
        <v>23</v>
      </c>
      <c r="G177" s="1" t="s">
        <v>10</v>
      </c>
      <c r="H177" s="12" t="s">
        <v>289</v>
      </c>
      <c r="I177" s="1" t="s">
        <v>290</v>
      </c>
      <c r="J177" s="1" t="s">
        <v>291</v>
      </c>
      <c r="K177" s="1" t="s">
        <v>292</v>
      </c>
      <c r="L177" s="1" t="s">
        <v>25</v>
      </c>
      <c r="M177" s="1" t="s">
        <v>26</v>
      </c>
      <c r="N177" s="1" t="s">
        <v>25</v>
      </c>
      <c r="O177" s="1" t="s">
        <v>293</v>
      </c>
      <c r="P177" s="1" t="s">
        <v>25</v>
      </c>
      <c r="Q177" s="1" t="s">
        <v>25</v>
      </c>
      <c r="R177" s="70" t="str">
        <f t="shared" si="13"/>
        <v>245925</v>
      </c>
      <c r="S177" t="str">
        <f>VLOOKUP(A177,Data_NV!$A:$C,3,0)</f>
        <v xml:space="preserve">Trần Kỳ Tâm    </v>
      </c>
      <c r="T177" t="str">
        <f>VLOOKUP(A177,Data_NV!$A:$E,4,0)</f>
        <v>Vận Hành</v>
      </c>
      <c r="U177" s="67">
        <f>DATEVALUE(Table2[[#This Row],[Ngày]])</f>
        <v>45925</v>
      </c>
      <c r="V177" t="str">
        <f>VLOOKUP(A177,Data_NV!$A:$E,5,0)</f>
        <v>Đang làm việc</v>
      </c>
      <c r="W177" s="11">
        <f>VLOOKUP(A177,Data_NV!$A:$I,8,0)</f>
        <v>0.33333333333333331</v>
      </c>
      <c r="X177" s="11">
        <f>VLOOKUP(A177,Data_NV!$A:$I,9,0)</f>
        <v>0.70833333333333337</v>
      </c>
      <c r="Y177" s="11">
        <f>IFERROR(TIMEVALUE(Table2[[#This Row],[Vào]]),0)</f>
        <v>0.33498842592592593</v>
      </c>
      <c r="Z177" s="11">
        <f>IFERROR(TIMEVALUE(Table2[[#This Row],[Ra]]),0)</f>
        <v>0.78693287037037041</v>
      </c>
      <c r="AA177" t="str">
        <f t="shared" si="14"/>
        <v>x</v>
      </c>
      <c r="AB177" s="14">
        <f t="shared" si="12"/>
        <v>2</v>
      </c>
      <c r="AC177" s="14" t="str">
        <f>IF(VLOOKUP(A177,Data_NV!$A:$I,7,0)="Không","",IF(OR(AND(Y177=0,Z177=0),AND(Y177&lt;&gt;0,Z177&lt;&gt;0)),"","Quên chấm công"))</f>
        <v/>
      </c>
      <c r="AD177" s="14">
        <f>IF(VLOOKUP(A177,Data_NV!$A:$I,7,0)="Không",0,IF(AND(Y177=0,Z177=0),0,IF(X177&lt;=Z177,0,ROUNDDOWN((X177-Z177)*24*60,0))))</f>
        <v>0</v>
      </c>
      <c r="AE177" s="14">
        <f>IF(VLOOKUP(A177,Data_NV!$A:$I,6,0)="Không",0,IF(Z177&lt;=X177,0,ROUNDDOWN((Z177-X177)*24*60,0)))</f>
        <v>113</v>
      </c>
      <c r="AF177" s="29">
        <f t="shared" si="15"/>
        <v>0</v>
      </c>
      <c r="AG177" s="30" t="str">
        <f>IF(AC177="","",IF(COUNTIFS($AC$3:AC177,"Quên chấm công",$S$3:S177,S177)&gt;3,"Không chấm công do vi phạm quá 3 lần",IF(COUNTIFS($AC$3:AC177,"Quên chấm công",$S$3:S177,S177)&gt;2,"Trừ toàn bộ chuyên cần tháng do vi phạm lần 3",IF(COUNTIFS($AC$3:AC177,"Quên chấm công",$S$3:S177,S177)&gt;1,"Trừ 1/2 ngày lương",50000))))</f>
        <v/>
      </c>
      <c r="AH177" s="14" t="str">
        <f>IF(COUNTIFS($AF$3:AF177,"&gt;0",$S$3:S177,S177)&gt;3,"Trừ toàn bộ chuyên cần tháng","")</f>
        <v/>
      </c>
      <c r="AI177" s="14"/>
      <c r="AJ177" s="14"/>
    </row>
    <row r="178" spans="1:36" x14ac:dyDescent="0.25">
      <c r="A178" s="4" t="s">
        <v>233</v>
      </c>
      <c r="B178" s="1" t="s">
        <v>234</v>
      </c>
      <c r="C178" s="1" t="s">
        <v>20</v>
      </c>
      <c r="D178" s="1" t="s">
        <v>123</v>
      </c>
      <c r="E178" s="1" t="s">
        <v>22</v>
      </c>
      <c r="F178" s="1" t="s">
        <v>23</v>
      </c>
      <c r="G178" s="1" t="s">
        <v>29</v>
      </c>
      <c r="H178" s="12" t="s">
        <v>294</v>
      </c>
      <c r="I178" s="1" t="s">
        <v>295</v>
      </c>
      <c r="J178" s="1" t="s">
        <v>25</v>
      </c>
      <c r="K178" s="1" t="s">
        <v>114</v>
      </c>
      <c r="L178" s="1" t="s">
        <v>25</v>
      </c>
      <c r="M178" s="1" t="s">
        <v>26</v>
      </c>
      <c r="N178" s="1" t="s">
        <v>25</v>
      </c>
      <c r="O178" s="1" t="s">
        <v>115</v>
      </c>
      <c r="P178" s="1" t="s">
        <v>25</v>
      </c>
      <c r="Q178" s="1" t="s">
        <v>25</v>
      </c>
      <c r="R178" s="70" t="str">
        <f t="shared" si="13"/>
        <v>245926</v>
      </c>
      <c r="S178" t="str">
        <f>VLOOKUP(A178,Data_NV!$A:$C,3,0)</f>
        <v xml:space="preserve">Trần Kỳ Tâm    </v>
      </c>
      <c r="T178" t="str">
        <f>VLOOKUP(A178,Data_NV!$A:$E,4,0)</f>
        <v>Vận Hành</v>
      </c>
      <c r="U178" s="67">
        <f>DATEVALUE(Table2[[#This Row],[Ngày]])</f>
        <v>45926</v>
      </c>
      <c r="V178" t="str">
        <f>VLOOKUP(A178,Data_NV!$A:$E,5,0)</f>
        <v>Đang làm việc</v>
      </c>
      <c r="W178" s="11">
        <f>VLOOKUP(A178,Data_NV!$A:$I,8,0)</f>
        <v>0.33333333333333331</v>
      </c>
      <c r="X178" s="11">
        <f>VLOOKUP(A178,Data_NV!$A:$I,9,0)</f>
        <v>0.70833333333333337</v>
      </c>
      <c r="Y178" s="11">
        <f>IFERROR(TIMEVALUE(Table2[[#This Row],[Vào]]),0)</f>
        <v>0.32739583333333333</v>
      </c>
      <c r="Z178" s="11">
        <f>IFERROR(TIMEVALUE(Table2[[#This Row],[Ra]]),0)</f>
        <v>0.77905092592592595</v>
      </c>
      <c r="AA178" t="str">
        <f t="shared" si="14"/>
        <v>x</v>
      </c>
      <c r="AB178" s="14">
        <f t="shared" si="12"/>
        <v>0</v>
      </c>
      <c r="AC178" s="14" t="str">
        <f>IF(VLOOKUP(A178,Data_NV!$A:$I,7,0)="Không","",IF(OR(AND(Y178=0,Z178=0),AND(Y178&lt;&gt;0,Z178&lt;&gt;0)),"","Quên chấm công"))</f>
        <v/>
      </c>
      <c r="AD178" s="14">
        <f>IF(VLOOKUP(A178,Data_NV!$A:$I,7,0)="Không",0,IF(AND(Y178=0,Z178=0),0,IF(X178&lt;=Z178,0,ROUNDDOWN((X178-Z178)*24*60,0))))</f>
        <v>0</v>
      </c>
      <c r="AE178" s="14">
        <f>IF(VLOOKUP(A178,Data_NV!$A:$I,6,0)="Không",0,IF(Z178&lt;=X178,0,ROUNDDOWN((Z178-X178)*24*60,0)))</f>
        <v>101</v>
      </c>
      <c r="AF178" s="29">
        <f t="shared" si="15"/>
        <v>0</v>
      </c>
      <c r="AG178" s="30" t="str">
        <f>IF(AC178="","",IF(COUNTIFS($AC$3:AC178,"Quên chấm công",$S$3:S178,S178)&gt;3,"Không chấm công do vi phạm quá 3 lần",IF(COUNTIFS($AC$3:AC178,"Quên chấm công",$S$3:S178,S178)&gt;2,"Trừ toàn bộ chuyên cần tháng do vi phạm lần 3",IF(COUNTIFS($AC$3:AC178,"Quên chấm công",$S$3:S178,S178)&gt;1,"Trừ 1/2 ngày lương",50000))))</f>
        <v/>
      </c>
      <c r="AH178" s="14" t="str">
        <f>IF(COUNTIFS($AF$3:AF178,"&gt;0",$S$3:S178,S178)&gt;3,"Trừ toàn bộ chuyên cần tháng","")</f>
        <v/>
      </c>
      <c r="AI178" s="14"/>
      <c r="AJ178" s="14"/>
    </row>
    <row r="179" spans="1:36" x14ac:dyDescent="0.25">
      <c r="A179" s="4" t="s">
        <v>233</v>
      </c>
      <c r="B179" s="1" t="s">
        <v>234</v>
      </c>
      <c r="C179" s="1" t="s">
        <v>20</v>
      </c>
      <c r="D179" s="1" t="s">
        <v>125</v>
      </c>
      <c r="E179" s="1" t="s">
        <v>22</v>
      </c>
      <c r="F179" s="1" t="s">
        <v>23</v>
      </c>
      <c r="G179" s="1" t="s">
        <v>29</v>
      </c>
      <c r="H179" s="12" t="s">
        <v>296</v>
      </c>
      <c r="I179" s="1" t="s">
        <v>297</v>
      </c>
      <c r="J179" s="1" t="s">
        <v>25</v>
      </c>
      <c r="K179" s="1" t="s">
        <v>298</v>
      </c>
      <c r="L179" s="1" t="s">
        <v>25</v>
      </c>
      <c r="M179" s="1" t="s">
        <v>26</v>
      </c>
      <c r="N179" s="1" t="s">
        <v>25</v>
      </c>
      <c r="O179" s="1" t="s">
        <v>299</v>
      </c>
      <c r="P179" s="1" t="s">
        <v>25</v>
      </c>
      <c r="Q179" s="1" t="s">
        <v>25</v>
      </c>
      <c r="R179" s="70" t="str">
        <f t="shared" si="13"/>
        <v>245927</v>
      </c>
      <c r="S179" t="str">
        <f>VLOOKUP(A179,Data_NV!$A:$C,3,0)</f>
        <v xml:space="preserve">Trần Kỳ Tâm    </v>
      </c>
      <c r="T179" t="str">
        <f>VLOOKUP(A179,Data_NV!$A:$E,4,0)</f>
        <v>Vận Hành</v>
      </c>
      <c r="U179" s="67">
        <f>DATEVALUE(Table2[[#This Row],[Ngày]])</f>
        <v>45927</v>
      </c>
      <c r="V179" t="str">
        <f>VLOOKUP(A179,Data_NV!$A:$E,5,0)</f>
        <v>Đang làm việc</v>
      </c>
      <c r="W179" s="11">
        <f>VLOOKUP(A179,Data_NV!$A:$I,8,0)</f>
        <v>0.33333333333333331</v>
      </c>
      <c r="X179" s="11">
        <f>VLOOKUP(A179,Data_NV!$A:$I,9,0)</f>
        <v>0.70833333333333337</v>
      </c>
      <c r="Y179" s="11">
        <f>IFERROR(TIMEVALUE(Table2[[#This Row],[Vào]]),0)</f>
        <v>0.32762731481481483</v>
      </c>
      <c r="Z179" s="11">
        <f>IFERROR(TIMEVALUE(Table2[[#This Row],[Ra]]),0)</f>
        <v>0.72710648148148149</v>
      </c>
      <c r="AA179" t="str">
        <f t="shared" si="14"/>
        <v>x</v>
      </c>
      <c r="AB179" s="14">
        <f t="shared" si="12"/>
        <v>0</v>
      </c>
      <c r="AC179" s="14" t="str">
        <f>IF(VLOOKUP(A179,Data_NV!$A:$I,7,0)="Không","",IF(OR(AND(Y179=0,Z179=0),AND(Y179&lt;&gt;0,Z179&lt;&gt;0)),"","Quên chấm công"))</f>
        <v/>
      </c>
      <c r="AD179" s="14">
        <f>IF(VLOOKUP(A179,Data_NV!$A:$I,7,0)="Không",0,IF(AND(Y179=0,Z179=0),0,IF(X179&lt;=Z179,0,ROUNDDOWN((X179-Z179)*24*60,0))))</f>
        <v>0</v>
      </c>
      <c r="AE179" s="14">
        <f>IF(VLOOKUP(A179,Data_NV!$A:$I,6,0)="Không",0,IF(Z179&lt;=X179,0,ROUNDDOWN((Z179-X179)*24*60,0)))</f>
        <v>27</v>
      </c>
      <c r="AF179" s="29">
        <f t="shared" si="15"/>
        <v>0</v>
      </c>
      <c r="AG179" s="30" t="str">
        <f>IF(AC179="","",IF(COUNTIFS($AC$3:AC179,"Quên chấm công",$S$3:S179,S179)&gt;3,"Không chấm công do vi phạm quá 3 lần",IF(COUNTIFS($AC$3:AC179,"Quên chấm công",$S$3:S179,S179)&gt;2,"Trừ toàn bộ chuyên cần tháng do vi phạm lần 3",IF(COUNTIFS($AC$3:AC179,"Quên chấm công",$S$3:S179,S179)&gt;1,"Trừ 1/2 ngày lương",50000))))</f>
        <v/>
      </c>
      <c r="AH179" s="14" t="str">
        <f>IF(COUNTIFS($AF$3:AF179,"&gt;0",$S$3:S179,S179)&gt;3,"Trừ toàn bộ chuyên cần tháng","")</f>
        <v/>
      </c>
      <c r="AI179" s="14"/>
      <c r="AJ179" s="14"/>
    </row>
    <row r="180" spans="1:36" x14ac:dyDescent="0.25">
      <c r="A180" s="4" t="s">
        <v>233</v>
      </c>
      <c r="B180" s="1" t="s">
        <v>234</v>
      </c>
      <c r="C180" s="1" t="s">
        <v>20</v>
      </c>
      <c r="D180" s="1" t="s">
        <v>130</v>
      </c>
      <c r="E180" s="1" t="s">
        <v>22</v>
      </c>
      <c r="F180" s="1" t="s">
        <v>23</v>
      </c>
      <c r="G180" s="1" t="s">
        <v>12</v>
      </c>
      <c r="H180" s="12" t="s">
        <v>24</v>
      </c>
      <c r="I180" s="1" t="s">
        <v>24</v>
      </c>
      <c r="J180" s="1" t="s">
        <v>25</v>
      </c>
      <c r="K180" s="1" t="s">
        <v>25</v>
      </c>
      <c r="L180" s="1" t="s">
        <v>26</v>
      </c>
      <c r="M180" s="1" t="s">
        <v>25</v>
      </c>
      <c r="N180" s="1" t="s">
        <v>25</v>
      </c>
      <c r="O180" s="1" t="s">
        <v>25</v>
      </c>
      <c r="P180" s="1" t="s">
        <v>25</v>
      </c>
      <c r="Q180" s="1" t="s">
        <v>25</v>
      </c>
      <c r="R180" s="70" t="str">
        <f t="shared" si="13"/>
        <v>245928</v>
      </c>
      <c r="S180" t="str">
        <f>VLOOKUP(A180,Data_NV!$A:$C,3,0)</f>
        <v xml:space="preserve">Trần Kỳ Tâm    </v>
      </c>
      <c r="T180" t="str">
        <f>VLOOKUP(A180,Data_NV!$A:$E,4,0)</f>
        <v>Vận Hành</v>
      </c>
      <c r="U180" s="67">
        <f>DATEVALUE(Table2[[#This Row],[Ngày]])</f>
        <v>45928</v>
      </c>
      <c r="V180" t="str">
        <f>VLOOKUP(A180,Data_NV!$A:$E,5,0)</f>
        <v>Đang làm việc</v>
      </c>
      <c r="W180" s="11">
        <f>VLOOKUP(A180,Data_NV!$A:$I,8,0)</f>
        <v>0.33333333333333331</v>
      </c>
      <c r="X180" s="11">
        <f>VLOOKUP(A180,Data_NV!$A:$I,9,0)</f>
        <v>0.70833333333333337</v>
      </c>
      <c r="Y180" s="11">
        <f>IFERROR(TIMEVALUE(Table2[[#This Row],[Vào]]),0)</f>
        <v>0</v>
      </c>
      <c r="Z180" s="11">
        <f>IFERROR(TIMEVALUE(Table2[[#This Row],[Ra]]),0)</f>
        <v>0</v>
      </c>
      <c r="AA180" t="str">
        <f t="shared" si="14"/>
        <v/>
      </c>
      <c r="AB180" s="14">
        <f t="shared" si="12"/>
        <v>0</v>
      </c>
      <c r="AC180" s="14" t="str">
        <f>IF(VLOOKUP(A180,Data_NV!$A:$I,7,0)="Không","",IF(OR(AND(Y180=0,Z180=0),AND(Y180&lt;&gt;0,Z180&lt;&gt;0)),"","Quên chấm công"))</f>
        <v/>
      </c>
      <c r="AD180" s="14">
        <f>IF(VLOOKUP(A180,Data_NV!$A:$I,7,0)="Không",0,IF(AND(Y180=0,Z180=0),0,IF(X180&lt;=Z180,0,ROUNDDOWN((X180-Z180)*24*60,0))))</f>
        <v>0</v>
      </c>
      <c r="AE180" s="14">
        <f>IF(VLOOKUP(A180,Data_NV!$A:$I,6,0)="Không",0,IF(Z180&lt;=X180,0,ROUNDDOWN((Z180-X180)*24*60,0)))</f>
        <v>0</v>
      </c>
      <c r="AF180" s="29">
        <f t="shared" si="15"/>
        <v>0</v>
      </c>
      <c r="AG180" s="30" t="str">
        <f>IF(AC180="","",IF(COUNTIFS($AC$3:AC180,"Quên chấm công",$S$3:S180,S180)&gt;3,"Không chấm công do vi phạm quá 3 lần",IF(COUNTIFS($AC$3:AC180,"Quên chấm công",$S$3:S180,S180)&gt;2,"Trừ toàn bộ chuyên cần tháng do vi phạm lần 3",IF(COUNTIFS($AC$3:AC180,"Quên chấm công",$S$3:S180,S180)&gt;1,"Trừ 1/2 ngày lương",50000))))</f>
        <v/>
      </c>
      <c r="AH180" s="14" t="str">
        <f>IF(COUNTIFS($AF$3:AF180,"&gt;0",$S$3:S180,S180)&gt;3,"Trừ toàn bộ chuyên cần tháng","")</f>
        <v/>
      </c>
      <c r="AI180" s="14"/>
      <c r="AJ180" s="14"/>
    </row>
    <row r="181" spans="1:36" x14ac:dyDescent="0.25">
      <c r="A181" s="4" t="s">
        <v>233</v>
      </c>
      <c r="B181" s="1" t="s">
        <v>234</v>
      </c>
      <c r="C181" s="1" t="s">
        <v>20</v>
      </c>
      <c r="D181" s="1" t="s">
        <v>131</v>
      </c>
      <c r="E181" s="1" t="s">
        <v>22</v>
      </c>
      <c r="F181" s="1" t="s">
        <v>23</v>
      </c>
      <c r="G181" s="1" t="s">
        <v>29</v>
      </c>
      <c r="H181" s="12" t="s">
        <v>300</v>
      </c>
      <c r="I181" s="1" t="s">
        <v>301</v>
      </c>
      <c r="J181" s="1" t="s">
        <v>25</v>
      </c>
      <c r="K181" s="1" t="s">
        <v>302</v>
      </c>
      <c r="L181" s="1" t="s">
        <v>25</v>
      </c>
      <c r="M181" s="1" t="s">
        <v>26</v>
      </c>
      <c r="N181" s="1" t="s">
        <v>25</v>
      </c>
      <c r="O181" s="1" t="s">
        <v>303</v>
      </c>
      <c r="P181" s="1" t="s">
        <v>25</v>
      </c>
      <c r="Q181" s="1" t="s">
        <v>25</v>
      </c>
      <c r="R181" s="70" t="str">
        <f t="shared" si="13"/>
        <v>245929</v>
      </c>
      <c r="S181" t="str">
        <f>VLOOKUP(A181,Data_NV!$A:$C,3,0)</f>
        <v xml:space="preserve">Trần Kỳ Tâm    </v>
      </c>
      <c r="T181" t="str">
        <f>VLOOKUP(A181,Data_NV!$A:$E,4,0)</f>
        <v>Vận Hành</v>
      </c>
      <c r="U181" s="67">
        <f>DATEVALUE(Table2[[#This Row],[Ngày]])</f>
        <v>45929</v>
      </c>
      <c r="V181" t="str">
        <f>VLOOKUP(A181,Data_NV!$A:$E,5,0)</f>
        <v>Đang làm việc</v>
      </c>
      <c r="W181" s="11">
        <f>VLOOKUP(A181,Data_NV!$A:$I,8,0)</f>
        <v>0.33333333333333331</v>
      </c>
      <c r="X181" s="11">
        <f>VLOOKUP(A181,Data_NV!$A:$I,9,0)</f>
        <v>0.70833333333333337</v>
      </c>
      <c r="Y181" s="11">
        <f>IFERROR(TIMEVALUE(Table2[[#This Row],[Vào]]),0)</f>
        <v>0.32716435185185183</v>
      </c>
      <c r="Z181" s="11">
        <f>IFERROR(TIMEVALUE(Table2[[#This Row],[Ra]]),0)</f>
        <v>0.7471875</v>
      </c>
      <c r="AA181" t="str">
        <f t="shared" si="14"/>
        <v>x</v>
      </c>
      <c r="AB181" s="14">
        <f t="shared" si="12"/>
        <v>0</v>
      </c>
      <c r="AC181" s="14" t="str">
        <f>IF(VLOOKUP(A181,Data_NV!$A:$I,7,0)="Không","",IF(OR(AND(Y181=0,Z181=0),AND(Y181&lt;&gt;0,Z181&lt;&gt;0)),"","Quên chấm công"))</f>
        <v/>
      </c>
      <c r="AD181" s="14">
        <f>IF(VLOOKUP(A181,Data_NV!$A:$I,7,0)="Không",0,IF(AND(Y181=0,Z181=0),0,IF(X181&lt;=Z181,0,ROUNDDOWN((X181-Z181)*24*60,0))))</f>
        <v>0</v>
      </c>
      <c r="AE181" s="14">
        <f>IF(VLOOKUP(A181,Data_NV!$A:$I,6,0)="Không",0,IF(Z181&lt;=X181,0,ROUNDDOWN((Z181-X181)*24*60,0)))</f>
        <v>55</v>
      </c>
      <c r="AF181" s="29">
        <f t="shared" si="15"/>
        <v>0</v>
      </c>
      <c r="AG181" s="30" t="str">
        <f>IF(AC181="","",IF(COUNTIFS($AC$3:AC181,"Quên chấm công",$S$3:S181,S181)&gt;3,"Không chấm công do vi phạm quá 3 lần",IF(COUNTIFS($AC$3:AC181,"Quên chấm công",$S$3:S181,S181)&gt;2,"Trừ toàn bộ chuyên cần tháng do vi phạm lần 3",IF(COUNTIFS($AC$3:AC181,"Quên chấm công",$S$3:S181,S181)&gt;1,"Trừ 1/2 ngày lương",50000))))</f>
        <v/>
      </c>
      <c r="AH181" s="14" t="str">
        <f>IF(COUNTIFS($AF$3:AF181,"&gt;0",$S$3:S181,S181)&gt;3,"Trừ toàn bộ chuyên cần tháng","")</f>
        <v/>
      </c>
      <c r="AI181" s="14"/>
      <c r="AJ181" s="14"/>
    </row>
    <row r="182" spans="1:36" x14ac:dyDescent="0.25">
      <c r="A182" s="4" t="s">
        <v>233</v>
      </c>
      <c r="B182" s="1" t="s">
        <v>234</v>
      </c>
      <c r="C182" s="1" t="s">
        <v>20</v>
      </c>
      <c r="D182" s="1" t="s">
        <v>136</v>
      </c>
      <c r="E182" s="1" t="s">
        <v>22</v>
      </c>
      <c r="F182" s="1" t="s">
        <v>23</v>
      </c>
      <c r="G182" s="1" t="s">
        <v>29</v>
      </c>
      <c r="H182" s="12" t="s">
        <v>304</v>
      </c>
      <c r="I182" s="1" t="s">
        <v>305</v>
      </c>
      <c r="J182" s="1" t="s">
        <v>25</v>
      </c>
      <c r="K182" s="1" t="s">
        <v>306</v>
      </c>
      <c r="L182" s="1" t="s">
        <v>25</v>
      </c>
      <c r="M182" s="1" t="s">
        <v>26</v>
      </c>
      <c r="N182" s="1" t="s">
        <v>25</v>
      </c>
      <c r="O182" s="1" t="s">
        <v>66</v>
      </c>
      <c r="P182" s="1" t="s">
        <v>25</v>
      </c>
      <c r="Q182" s="1" t="s">
        <v>25</v>
      </c>
      <c r="R182" s="70" t="str">
        <f t="shared" si="13"/>
        <v>245930</v>
      </c>
      <c r="S182" t="str">
        <f>VLOOKUP(A182,Data_NV!$A:$C,3,0)</f>
        <v xml:space="preserve">Trần Kỳ Tâm    </v>
      </c>
      <c r="T182" t="str">
        <f>VLOOKUP(A182,Data_NV!$A:$E,4,0)</f>
        <v>Vận Hành</v>
      </c>
      <c r="U182" s="67">
        <f>DATEVALUE(Table2[[#This Row],[Ngày]])</f>
        <v>45930</v>
      </c>
      <c r="V182" t="str">
        <f>VLOOKUP(A182,Data_NV!$A:$E,5,0)</f>
        <v>Đang làm việc</v>
      </c>
      <c r="W182" s="11">
        <f>VLOOKUP(A182,Data_NV!$A:$I,8,0)</f>
        <v>0.33333333333333331</v>
      </c>
      <c r="X182" s="11">
        <f>VLOOKUP(A182,Data_NV!$A:$I,9,0)</f>
        <v>0.70833333333333337</v>
      </c>
      <c r="Y182" s="11">
        <f>IFERROR(TIMEVALUE(Table2[[#This Row],[Vào]]),0)</f>
        <v>0.33263888888888887</v>
      </c>
      <c r="Z182" s="11">
        <f>IFERROR(TIMEVALUE(Table2[[#This Row],[Ra]]),0)</f>
        <v>0.73758101851851854</v>
      </c>
      <c r="AA182" t="str">
        <f t="shared" si="14"/>
        <v>x</v>
      </c>
      <c r="AB182" s="14">
        <f t="shared" si="12"/>
        <v>0</v>
      </c>
      <c r="AC182" s="14" t="str">
        <f>IF(VLOOKUP(A182,Data_NV!$A:$I,7,0)="Không","",IF(OR(AND(Y182=0,Z182=0),AND(Y182&lt;&gt;0,Z182&lt;&gt;0)),"","Quên chấm công"))</f>
        <v/>
      </c>
      <c r="AD182" s="14">
        <f>IF(VLOOKUP(A182,Data_NV!$A:$I,7,0)="Không",0,IF(AND(Y182=0,Z182=0),0,IF(X182&lt;=Z182,0,ROUNDDOWN((X182-Z182)*24*60,0))))</f>
        <v>0</v>
      </c>
      <c r="AE182" s="14">
        <f>IF(VLOOKUP(A182,Data_NV!$A:$I,6,0)="Không",0,IF(Z182&lt;=X182,0,ROUNDDOWN((Z182-X182)*24*60,0)))</f>
        <v>42</v>
      </c>
      <c r="AF182" s="29">
        <f t="shared" si="15"/>
        <v>0</v>
      </c>
      <c r="AG182" s="30" t="str">
        <f>IF(AC182="","",IF(COUNTIFS($AC$3:AC182,"Quên chấm công",$S$3:S182,S182)&gt;3,"Không chấm công do vi phạm quá 3 lần",IF(COUNTIFS($AC$3:AC182,"Quên chấm công",$S$3:S182,S182)&gt;2,"Trừ toàn bộ chuyên cần tháng do vi phạm lần 3",IF(COUNTIFS($AC$3:AC182,"Quên chấm công",$S$3:S182,S182)&gt;1,"Trừ 1/2 ngày lương",50000))))</f>
        <v/>
      </c>
      <c r="AH182" s="14" t="str">
        <f>IF(COUNTIFS($AF$3:AF182,"&gt;0",$S$3:S182,S182)&gt;3,"Trừ toàn bộ chuyên cần tháng","")</f>
        <v/>
      </c>
      <c r="AI182" s="14"/>
      <c r="AJ182" s="14"/>
    </row>
    <row r="183" spans="1:36" x14ac:dyDescent="0.25">
      <c r="A183" s="4" t="s">
        <v>322</v>
      </c>
      <c r="B183" s="1" t="s">
        <v>323</v>
      </c>
      <c r="C183" s="1" t="s">
        <v>20</v>
      </c>
      <c r="D183" s="1" t="s">
        <v>21</v>
      </c>
      <c r="E183" s="1" t="s">
        <v>22</v>
      </c>
      <c r="F183" s="1" t="s">
        <v>23</v>
      </c>
      <c r="G183" s="1" t="s">
        <v>12</v>
      </c>
      <c r="H183" s="12" t="s">
        <v>24</v>
      </c>
      <c r="I183" s="1" t="s">
        <v>24</v>
      </c>
      <c r="J183" s="1" t="s">
        <v>25</v>
      </c>
      <c r="K183" s="1" t="s">
        <v>25</v>
      </c>
      <c r="L183" s="1" t="s">
        <v>26</v>
      </c>
      <c r="M183" s="1" t="s">
        <v>25</v>
      </c>
      <c r="N183" s="1" t="s">
        <v>25</v>
      </c>
      <c r="O183" s="1" t="s">
        <v>25</v>
      </c>
      <c r="P183" s="1" t="s">
        <v>25</v>
      </c>
      <c r="Q183" s="1" t="s">
        <v>25</v>
      </c>
      <c r="R183" s="70" t="str">
        <f t="shared" ref="R183:R232" si="16">A183&amp;U183</f>
        <v>2345901</v>
      </c>
      <c r="S183" t="str">
        <f>VLOOKUP(A183,Data_NV!$A:$C,3,0)</f>
        <v xml:space="preserve"> Nguyễn Thiên Thanh    </v>
      </c>
      <c r="T183" t="str">
        <f>VLOOKUP(A183,Data_NV!$A:$E,4,0)</f>
        <v>Vận Hành</v>
      </c>
      <c r="U183" s="67">
        <f>DATEVALUE(Table2[[#This Row],[Ngày]])</f>
        <v>45901</v>
      </c>
      <c r="V183" t="str">
        <f>VLOOKUP(A183,Data_NV!$A:$E,5,0)</f>
        <v>Đang làm việc</v>
      </c>
      <c r="W183" s="11">
        <f>VLOOKUP(A183,Data_NV!$A:$I,8,0)</f>
        <v>0.33333333333333331</v>
      </c>
      <c r="X183" s="11">
        <f>VLOOKUP(A183,Data_NV!$A:$I,9,0)</f>
        <v>0.70833333333333337</v>
      </c>
      <c r="Y183" s="11">
        <f>IFERROR(TIMEVALUE(Table2[[#This Row],[Vào]]),0)</f>
        <v>0</v>
      </c>
      <c r="Z183" s="11">
        <f>IFERROR(TIMEVALUE(Table2[[#This Row],[Ra]]),0)</f>
        <v>0</v>
      </c>
      <c r="AA183" s="10" t="s">
        <v>771</v>
      </c>
      <c r="AB183" s="14">
        <f t="shared" ref="AB183:AB244" si="17">IF(Y183&lt;=W183,0,ROUNDDOWN((Y183-W183)*24*60,0))</f>
        <v>0</v>
      </c>
      <c r="AC183" s="14" t="str">
        <f>IF(VLOOKUP(A183,Data_NV!$A:$I,7,0)="Không","",IF(OR(AND(Y183=0,Z183=0),AND(Y183&lt;&gt;0,Z183&lt;&gt;0)),"","Quên chấm công"))</f>
        <v/>
      </c>
      <c r="AD183" s="14">
        <f>IF(VLOOKUP(A183,Data_NV!$A:$I,7,0)="Không",0,IF(AND(Y183=0,Z183=0),0,IF(X183&lt;=Z183,0,ROUNDDOWN((X183-Z183)*24*60,0))))</f>
        <v>0</v>
      </c>
      <c r="AE183" s="14">
        <f>IF(VLOOKUP(A183,Data_NV!$A:$I,6,0)="Không",0,IF(Z183&lt;=X183,0,ROUNDDOWN((Z183-X183)*24*60,0)))</f>
        <v>0</v>
      </c>
      <c r="AF183" s="29">
        <f t="shared" ref="AF183:AF232" si="18">IF(AB183&gt;60,"Trừ 1/2 ngày lương",IF(AB183&gt;15,50000,IF(AB183&gt;6,30000,0)))</f>
        <v>0</v>
      </c>
      <c r="AG183" s="30" t="str">
        <f>IF(AC183="","",IF(COUNTIFS($AC$3:AC183,"Quên chấm công",$S$3:S183,S183)&gt;3,"Không chấm công do vi phạm quá 3 lần",IF(COUNTIFS($AC$3:AC183,"Quên chấm công",$S$3:S183,S183)&gt;2,"Trừ toàn bộ chuyên cần tháng do vi phạm lần 3",IF(COUNTIFS($AC$3:AC183,"Quên chấm công",$S$3:S183,S183)&gt;1,"Trừ 1/2 ngày lương",50000))))</f>
        <v/>
      </c>
      <c r="AH183" s="14" t="str">
        <f>IF(COUNTIFS($AF$3:AF183,"&gt;0",$S$3:S183,S183)&gt;3,"Trừ toàn bộ chuyên cần tháng","")</f>
        <v/>
      </c>
      <c r="AI183" s="14"/>
      <c r="AJ183" s="14"/>
    </row>
    <row r="184" spans="1:36" x14ac:dyDescent="0.25">
      <c r="A184" s="4" t="s">
        <v>322</v>
      </c>
      <c r="B184" s="1" t="s">
        <v>323</v>
      </c>
      <c r="C184" s="1" t="s">
        <v>20</v>
      </c>
      <c r="D184" s="1" t="s">
        <v>27</v>
      </c>
      <c r="E184" s="1" t="s">
        <v>22</v>
      </c>
      <c r="F184" s="1" t="s">
        <v>23</v>
      </c>
      <c r="G184" s="1" t="s">
        <v>12</v>
      </c>
      <c r="H184" s="12" t="s">
        <v>24</v>
      </c>
      <c r="I184" s="1" t="s">
        <v>24</v>
      </c>
      <c r="J184" s="1" t="s">
        <v>25</v>
      </c>
      <c r="K184" s="1" t="s">
        <v>25</v>
      </c>
      <c r="L184" s="1" t="s">
        <v>26</v>
      </c>
      <c r="M184" s="1" t="s">
        <v>25</v>
      </c>
      <c r="N184" s="1" t="s">
        <v>25</v>
      </c>
      <c r="O184" s="1" t="s">
        <v>25</v>
      </c>
      <c r="P184" s="1" t="s">
        <v>25</v>
      </c>
      <c r="Q184" s="1" t="s">
        <v>25</v>
      </c>
      <c r="R184" s="70" t="str">
        <f t="shared" si="16"/>
        <v>2345902</v>
      </c>
      <c r="S184" t="str">
        <f>VLOOKUP(A184,Data_NV!$A:$C,3,0)</f>
        <v xml:space="preserve"> Nguyễn Thiên Thanh    </v>
      </c>
      <c r="T184" t="str">
        <f>VLOOKUP(A184,Data_NV!$A:$E,4,0)</f>
        <v>Vận Hành</v>
      </c>
      <c r="U184" s="67">
        <f>DATEVALUE(Table2[[#This Row],[Ngày]])</f>
        <v>45902</v>
      </c>
      <c r="V184" t="str">
        <f>VLOOKUP(A184,Data_NV!$A:$E,5,0)</f>
        <v>Đang làm việc</v>
      </c>
      <c r="W184" s="11">
        <f>VLOOKUP(A184,Data_NV!$A:$I,8,0)</f>
        <v>0.33333333333333331</v>
      </c>
      <c r="X184" s="11">
        <f>VLOOKUP(A184,Data_NV!$A:$I,9,0)</f>
        <v>0.70833333333333337</v>
      </c>
      <c r="Y184" s="11">
        <f>IFERROR(TIMEVALUE(Table2[[#This Row],[Vào]]),0)</f>
        <v>0</v>
      </c>
      <c r="Z184" s="11">
        <f>IFERROR(TIMEVALUE(Table2[[#This Row],[Ra]]),0)</f>
        <v>0</v>
      </c>
      <c r="AA184" s="10" t="s">
        <v>771</v>
      </c>
      <c r="AB184" s="14">
        <f t="shared" si="17"/>
        <v>0</v>
      </c>
      <c r="AC184" s="14" t="str">
        <f>IF(VLOOKUP(A184,Data_NV!$A:$I,7,0)="Không","",IF(OR(AND(Y184=0,Z184=0),AND(Y184&lt;&gt;0,Z184&lt;&gt;0)),"","Quên chấm công"))</f>
        <v/>
      </c>
      <c r="AD184" s="14">
        <f>IF(VLOOKUP(A184,Data_NV!$A:$I,7,0)="Không",0,IF(AND(Y184=0,Z184=0),0,IF(X184&lt;=Z184,0,ROUNDDOWN((X184-Z184)*24*60,0))))</f>
        <v>0</v>
      </c>
      <c r="AE184" s="14">
        <f>IF(VLOOKUP(A184,Data_NV!$A:$I,6,0)="Không",0,IF(Z184&lt;=X184,0,ROUNDDOWN((Z184-X184)*24*60,0)))</f>
        <v>0</v>
      </c>
      <c r="AF184" s="29">
        <f t="shared" si="18"/>
        <v>0</v>
      </c>
      <c r="AG184" s="30" t="str">
        <f>IF(AC184="","",IF(COUNTIFS($AC$3:AC184,"Quên chấm công",$S$3:S184,S184)&gt;3,"Không chấm công do vi phạm quá 3 lần",IF(COUNTIFS($AC$3:AC184,"Quên chấm công",$S$3:S184,S184)&gt;2,"Trừ toàn bộ chuyên cần tháng do vi phạm lần 3",IF(COUNTIFS($AC$3:AC184,"Quên chấm công",$S$3:S184,S184)&gt;1,"Trừ 1/2 ngày lương",50000))))</f>
        <v/>
      </c>
      <c r="AH184" s="14" t="str">
        <f>IF(COUNTIFS($AF$3:AF184,"&gt;0",$S$3:S184,S184)&gt;3,"Trừ toàn bộ chuyên cần tháng","")</f>
        <v/>
      </c>
      <c r="AI184" s="14"/>
      <c r="AJ184" s="14"/>
    </row>
    <row r="185" spans="1:36" x14ac:dyDescent="0.25">
      <c r="A185" s="4" t="s">
        <v>322</v>
      </c>
      <c r="B185" s="1" t="s">
        <v>323</v>
      </c>
      <c r="C185" s="1" t="s">
        <v>20</v>
      </c>
      <c r="D185" s="1" t="s">
        <v>28</v>
      </c>
      <c r="E185" s="1" t="s">
        <v>22</v>
      </c>
      <c r="F185" s="1" t="s">
        <v>23</v>
      </c>
      <c r="G185" s="1" t="s">
        <v>29</v>
      </c>
      <c r="H185" s="12" t="s">
        <v>324</v>
      </c>
      <c r="I185" s="1" t="s">
        <v>325</v>
      </c>
      <c r="J185" s="1" t="s">
        <v>25</v>
      </c>
      <c r="K185" s="1" t="s">
        <v>326</v>
      </c>
      <c r="L185" s="1" t="s">
        <v>25</v>
      </c>
      <c r="M185" s="1" t="s">
        <v>26</v>
      </c>
      <c r="N185" s="1" t="s">
        <v>25</v>
      </c>
      <c r="O185" s="1" t="s">
        <v>33</v>
      </c>
      <c r="P185" s="1" t="s">
        <v>327</v>
      </c>
      <c r="Q185" s="1" t="s">
        <v>25</v>
      </c>
      <c r="R185" s="70" t="str">
        <f t="shared" si="16"/>
        <v>2345903</v>
      </c>
      <c r="S185" t="str">
        <f>VLOOKUP(A185,Data_NV!$A:$C,3,0)</f>
        <v xml:space="preserve"> Nguyễn Thiên Thanh    </v>
      </c>
      <c r="T185" t="str">
        <f>VLOOKUP(A185,Data_NV!$A:$E,4,0)</f>
        <v>Vận Hành</v>
      </c>
      <c r="U185" s="67">
        <f>DATEVALUE(Table2[[#This Row],[Ngày]])</f>
        <v>45903</v>
      </c>
      <c r="V185" t="str">
        <f>VLOOKUP(A185,Data_NV!$A:$E,5,0)</f>
        <v>Đang làm việc</v>
      </c>
      <c r="W185" s="11">
        <f>VLOOKUP(A185,Data_NV!$A:$I,8,0)</f>
        <v>0.33333333333333331</v>
      </c>
      <c r="X185" s="11">
        <f>VLOOKUP(A185,Data_NV!$A:$I,9,0)</f>
        <v>0.70833333333333337</v>
      </c>
      <c r="Y185" s="11">
        <f>IFERROR(TIMEVALUE(Table2[[#This Row],[Vào]]),0)</f>
        <v>0.31033564814814812</v>
      </c>
      <c r="Z185" s="11">
        <f>IFERROR(TIMEVALUE(Table2[[#This Row],[Ra]]),0)</f>
        <v>0.82275462962962964</v>
      </c>
      <c r="AA185" t="str">
        <f t="shared" ref="AA185:AA232" si="19">IF(OR(AND(Y185=0,Z185=0),AG185="Không chấm công do vi phạm quá 3 lần"),"",IF(OR(AG185="Trừ 1/2 ngày lương",AF185="Trừ 1/2 ngày lương",AB185&gt;=60),"1/2","x"))</f>
        <v>x</v>
      </c>
      <c r="AB185" s="14">
        <f t="shared" si="17"/>
        <v>0</v>
      </c>
      <c r="AC185" s="14" t="str">
        <f>IF(VLOOKUP(A185,Data_NV!$A:$I,7,0)="Không","",IF(OR(AND(Y185=0,Z185=0),AND(Y185&lt;&gt;0,Z185&lt;&gt;0)),"","Quên chấm công"))</f>
        <v/>
      </c>
      <c r="AD185" s="14">
        <f>IF(VLOOKUP(A185,Data_NV!$A:$I,7,0)="Không",0,IF(AND(Y185=0,Z185=0),0,IF(X185&lt;=Z185,0,ROUNDDOWN((X185-Z185)*24*60,0))))</f>
        <v>0</v>
      </c>
      <c r="AE185" s="14">
        <f>IF(VLOOKUP(A185,Data_NV!$A:$I,6,0)="Không",0,IF(Z185&lt;=X185,0,ROUNDDOWN((Z185-X185)*24*60,0)))</f>
        <v>164</v>
      </c>
      <c r="AF185" s="29">
        <f t="shared" si="18"/>
        <v>0</v>
      </c>
      <c r="AG185" s="30" t="str">
        <f>IF(AC185="","",IF(COUNTIFS($AC$3:AC185,"Quên chấm công",$S$3:S185,S185)&gt;3,"Không chấm công do vi phạm quá 3 lần",IF(COUNTIFS($AC$3:AC185,"Quên chấm công",$S$3:S185,S185)&gt;2,"Trừ toàn bộ chuyên cần tháng do vi phạm lần 3",IF(COUNTIFS($AC$3:AC185,"Quên chấm công",$S$3:S185,S185)&gt;1,"Trừ 1/2 ngày lương",50000))))</f>
        <v/>
      </c>
      <c r="AH185" s="14" t="str">
        <f>IF(COUNTIFS($AF$3:AF185,"&gt;0",$S$3:S185,S185)&gt;3,"Trừ toàn bộ chuyên cần tháng","")</f>
        <v/>
      </c>
      <c r="AI185" s="14"/>
      <c r="AJ185" s="14"/>
    </row>
    <row r="186" spans="1:36" x14ac:dyDescent="0.25">
      <c r="A186" s="4" t="s">
        <v>322</v>
      </c>
      <c r="B186" s="1" t="s">
        <v>323</v>
      </c>
      <c r="C186" s="1" t="s">
        <v>20</v>
      </c>
      <c r="D186" s="1" t="s">
        <v>35</v>
      </c>
      <c r="E186" s="1" t="s">
        <v>22</v>
      </c>
      <c r="F186" s="1" t="s">
        <v>23</v>
      </c>
      <c r="G186" s="1" t="s">
        <v>29</v>
      </c>
      <c r="H186" s="12" t="s">
        <v>328</v>
      </c>
      <c r="I186" s="1" t="s">
        <v>329</v>
      </c>
      <c r="J186" s="1" t="s">
        <v>25</v>
      </c>
      <c r="K186" s="1" t="s">
        <v>88</v>
      </c>
      <c r="L186" s="1" t="s">
        <v>25</v>
      </c>
      <c r="M186" s="1" t="s">
        <v>26</v>
      </c>
      <c r="N186" s="1" t="s">
        <v>25</v>
      </c>
      <c r="O186" s="1" t="s">
        <v>89</v>
      </c>
      <c r="P186" s="1" t="s">
        <v>25</v>
      </c>
      <c r="Q186" s="1" t="s">
        <v>25</v>
      </c>
      <c r="R186" s="70" t="str">
        <f t="shared" si="16"/>
        <v>2345904</v>
      </c>
      <c r="S186" t="str">
        <f>VLOOKUP(A186,Data_NV!$A:$C,3,0)</f>
        <v xml:space="preserve"> Nguyễn Thiên Thanh    </v>
      </c>
      <c r="T186" t="str">
        <f>VLOOKUP(A186,Data_NV!$A:$E,4,0)</f>
        <v>Vận Hành</v>
      </c>
      <c r="U186" s="67">
        <f>DATEVALUE(Table2[[#This Row],[Ngày]])</f>
        <v>45904</v>
      </c>
      <c r="V186" t="str">
        <f>VLOOKUP(A186,Data_NV!$A:$E,5,0)</f>
        <v>Đang làm việc</v>
      </c>
      <c r="W186" s="11">
        <f>VLOOKUP(A186,Data_NV!$A:$I,8,0)</f>
        <v>0.33333333333333331</v>
      </c>
      <c r="X186" s="11">
        <f>VLOOKUP(A186,Data_NV!$A:$I,9,0)</f>
        <v>0.70833333333333337</v>
      </c>
      <c r="Y186" s="11">
        <f>IFERROR(TIMEVALUE(Table2[[#This Row],[Vào]]),0)</f>
        <v>0.31503472222222223</v>
      </c>
      <c r="Z186" s="11">
        <f>IFERROR(TIMEVALUE(Table2[[#This Row],[Ra]]),0)</f>
        <v>0.77335648148148151</v>
      </c>
      <c r="AA186" t="str">
        <f t="shared" si="19"/>
        <v>x</v>
      </c>
      <c r="AB186" s="14">
        <f t="shared" si="17"/>
        <v>0</v>
      </c>
      <c r="AC186" s="14" t="str">
        <f>IF(VLOOKUP(A186,Data_NV!$A:$I,7,0)="Không","",IF(OR(AND(Y186=0,Z186=0),AND(Y186&lt;&gt;0,Z186&lt;&gt;0)),"","Quên chấm công"))</f>
        <v/>
      </c>
      <c r="AD186" s="14">
        <f>IF(VLOOKUP(A186,Data_NV!$A:$I,7,0)="Không",0,IF(AND(Y186=0,Z186=0),0,IF(X186&lt;=Z186,0,ROUNDDOWN((X186-Z186)*24*60,0))))</f>
        <v>0</v>
      </c>
      <c r="AE186" s="14">
        <f>IF(VLOOKUP(A186,Data_NV!$A:$I,6,0)="Không",0,IF(Z186&lt;=X186,0,ROUNDDOWN((Z186-X186)*24*60,0)))</f>
        <v>93</v>
      </c>
      <c r="AF186" s="29">
        <f t="shared" si="18"/>
        <v>0</v>
      </c>
      <c r="AG186" s="30" t="str">
        <f>IF(AC186="","",IF(COUNTIFS($AC$3:AC186,"Quên chấm công",$S$3:S186,S186)&gt;3,"Không chấm công do vi phạm quá 3 lần",IF(COUNTIFS($AC$3:AC186,"Quên chấm công",$S$3:S186,S186)&gt;2,"Trừ toàn bộ chuyên cần tháng do vi phạm lần 3",IF(COUNTIFS($AC$3:AC186,"Quên chấm công",$S$3:S186,S186)&gt;1,"Trừ 1/2 ngày lương",50000))))</f>
        <v/>
      </c>
      <c r="AH186" s="14" t="str">
        <f>IF(COUNTIFS($AF$3:AF186,"&gt;0",$S$3:S186,S186)&gt;3,"Trừ toàn bộ chuyên cần tháng","")</f>
        <v/>
      </c>
      <c r="AI186" s="14"/>
      <c r="AJ186" s="14"/>
    </row>
    <row r="187" spans="1:36" x14ac:dyDescent="0.25">
      <c r="A187" s="4" t="s">
        <v>322</v>
      </c>
      <c r="B187" s="1" t="s">
        <v>323</v>
      </c>
      <c r="C187" s="1" t="s">
        <v>20</v>
      </c>
      <c r="D187" s="1" t="s">
        <v>37</v>
      </c>
      <c r="E187" s="1" t="s">
        <v>22</v>
      </c>
      <c r="F187" s="1" t="s">
        <v>23</v>
      </c>
      <c r="G187" s="1" t="s">
        <v>29</v>
      </c>
      <c r="H187" s="12" t="s">
        <v>330</v>
      </c>
      <c r="I187" s="1" t="s">
        <v>331</v>
      </c>
      <c r="J187" s="1" t="s">
        <v>25</v>
      </c>
      <c r="K187" s="1" t="s">
        <v>332</v>
      </c>
      <c r="L187" s="1" t="s">
        <v>25</v>
      </c>
      <c r="M187" s="1" t="s">
        <v>26</v>
      </c>
      <c r="N187" s="1" t="s">
        <v>25</v>
      </c>
      <c r="O187" s="1" t="s">
        <v>33</v>
      </c>
      <c r="P187" s="1" t="s">
        <v>104</v>
      </c>
      <c r="Q187" s="1" t="s">
        <v>25</v>
      </c>
      <c r="R187" s="70" t="str">
        <f t="shared" si="16"/>
        <v>2345905</v>
      </c>
      <c r="S187" t="str">
        <f>VLOOKUP(A187,Data_NV!$A:$C,3,0)</f>
        <v xml:space="preserve"> Nguyễn Thiên Thanh    </v>
      </c>
      <c r="T187" t="str">
        <f>VLOOKUP(A187,Data_NV!$A:$E,4,0)</f>
        <v>Vận Hành</v>
      </c>
      <c r="U187" s="67">
        <f>DATEVALUE(Table2[[#This Row],[Ngày]])</f>
        <v>45905</v>
      </c>
      <c r="V187" t="str">
        <f>VLOOKUP(A187,Data_NV!$A:$E,5,0)</f>
        <v>Đang làm việc</v>
      </c>
      <c r="W187" s="11">
        <f>VLOOKUP(A187,Data_NV!$A:$I,8,0)</f>
        <v>0.33333333333333331</v>
      </c>
      <c r="X187" s="11">
        <f>VLOOKUP(A187,Data_NV!$A:$I,9,0)</f>
        <v>0.70833333333333337</v>
      </c>
      <c r="Y187" s="11">
        <f>IFERROR(TIMEVALUE(Table2[[#This Row],[Vào]]),0)</f>
        <v>0.3157638888888889</v>
      </c>
      <c r="Z187" s="11">
        <f>IFERROR(TIMEVALUE(Table2[[#This Row],[Ra]]),0)</f>
        <v>0.81167824074074069</v>
      </c>
      <c r="AA187" t="str">
        <f t="shared" si="19"/>
        <v>x</v>
      </c>
      <c r="AB187" s="14">
        <f t="shared" si="17"/>
        <v>0</v>
      </c>
      <c r="AC187" s="14" t="str">
        <f>IF(VLOOKUP(A187,Data_NV!$A:$I,7,0)="Không","",IF(OR(AND(Y187=0,Z187=0),AND(Y187&lt;&gt;0,Z187&lt;&gt;0)),"","Quên chấm công"))</f>
        <v/>
      </c>
      <c r="AD187" s="14">
        <f>IF(VLOOKUP(A187,Data_NV!$A:$I,7,0)="Không",0,IF(AND(Y187=0,Z187=0),0,IF(X187&lt;=Z187,0,ROUNDDOWN((X187-Z187)*24*60,0))))</f>
        <v>0</v>
      </c>
      <c r="AE187" s="14">
        <f>IF(VLOOKUP(A187,Data_NV!$A:$I,6,0)="Không",0,IF(Z187&lt;=X187,0,ROUNDDOWN((Z187-X187)*24*60,0)))</f>
        <v>148</v>
      </c>
      <c r="AF187" s="29">
        <f t="shared" si="18"/>
        <v>0</v>
      </c>
      <c r="AG187" s="30" t="str">
        <f>IF(AC187="","",IF(COUNTIFS($AC$3:AC187,"Quên chấm công",$S$3:S187,S187)&gt;3,"Không chấm công do vi phạm quá 3 lần",IF(COUNTIFS($AC$3:AC187,"Quên chấm công",$S$3:S187,S187)&gt;2,"Trừ toàn bộ chuyên cần tháng do vi phạm lần 3",IF(COUNTIFS($AC$3:AC187,"Quên chấm công",$S$3:S187,S187)&gt;1,"Trừ 1/2 ngày lương",50000))))</f>
        <v/>
      </c>
      <c r="AH187" s="14" t="str">
        <f>IF(COUNTIFS($AF$3:AF187,"&gt;0",$S$3:S187,S187)&gt;3,"Trừ toàn bộ chuyên cần tháng","")</f>
        <v/>
      </c>
      <c r="AI187" s="14"/>
      <c r="AJ187" s="14"/>
    </row>
    <row r="188" spans="1:36" x14ac:dyDescent="0.25">
      <c r="A188" s="4" t="s">
        <v>322</v>
      </c>
      <c r="B188" s="1" t="s">
        <v>323</v>
      </c>
      <c r="C188" s="1" t="s">
        <v>20</v>
      </c>
      <c r="D188" s="1" t="s">
        <v>42</v>
      </c>
      <c r="E188" s="1" t="s">
        <v>22</v>
      </c>
      <c r="F188" s="1" t="s">
        <v>23</v>
      </c>
      <c r="G188" s="1" t="s">
        <v>29</v>
      </c>
      <c r="H188" s="12" t="s">
        <v>333</v>
      </c>
      <c r="I188" s="1" t="s">
        <v>334</v>
      </c>
      <c r="J188" s="1" t="s">
        <v>25</v>
      </c>
      <c r="K188" s="1" t="s">
        <v>335</v>
      </c>
      <c r="L188" s="1" t="s">
        <v>25</v>
      </c>
      <c r="M188" s="1" t="s">
        <v>26</v>
      </c>
      <c r="N188" s="1" t="s">
        <v>25</v>
      </c>
      <c r="O188" s="1" t="s">
        <v>336</v>
      </c>
      <c r="P188" s="1" t="s">
        <v>25</v>
      </c>
      <c r="Q188" s="1" t="s">
        <v>25</v>
      </c>
      <c r="R188" s="70" t="str">
        <f t="shared" si="16"/>
        <v>2345906</v>
      </c>
      <c r="S188" t="str">
        <f>VLOOKUP(A188,Data_NV!$A:$C,3,0)</f>
        <v xml:space="preserve"> Nguyễn Thiên Thanh    </v>
      </c>
      <c r="T188" t="str">
        <f>VLOOKUP(A188,Data_NV!$A:$E,4,0)</f>
        <v>Vận Hành</v>
      </c>
      <c r="U188" s="67">
        <f>DATEVALUE(Table2[[#This Row],[Ngày]])</f>
        <v>45906</v>
      </c>
      <c r="V188" t="str">
        <f>VLOOKUP(A188,Data_NV!$A:$E,5,0)</f>
        <v>Đang làm việc</v>
      </c>
      <c r="W188" s="11">
        <f>VLOOKUP(A188,Data_NV!$A:$I,8,0)</f>
        <v>0.33333333333333331</v>
      </c>
      <c r="X188" s="11">
        <f>VLOOKUP(A188,Data_NV!$A:$I,9,0)</f>
        <v>0.70833333333333337</v>
      </c>
      <c r="Y188" s="11">
        <f>IFERROR(TIMEVALUE(Table2[[#This Row],[Vào]]),0)</f>
        <v>0.31392361111111111</v>
      </c>
      <c r="Z188" s="11">
        <f>IFERROR(TIMEVALUE(Table2[[#This Row],[Ra]]),0)</f>
        <v>0.77766203703703707</v>
      </c>
      <c r="AA188" t="str">
        <f t="shared" si="19"/>
        <v>x</v>
      </c>
      <c r="AB188" s="14">
        <f t="shared" si="17"/>
        <v>0</v>
      </c>
      <c r="AC188" s="14" t="str">
        <f>IF(VLOOKUP(A188,Data_NV!$A:$I,7,0)="Không","",IF(OR(AND(Y188=0,Z188=0),AND(Y188&lt;&gt;0,Z188&lt;&gt;0)),"","Quên chấm công"))</f>
        <v/>
      </c>
      <c r="AD188" s="14">
        <f>IF(VLOOKUP(A188,Data_NV!$A:$I,7,0)="Không",0,IF(AND(Y188=0,Z188=0),0,IF(X188&lt;=Z188,0,ROUNDDOWN((X188-Z188)*24*60,0))))</f>
        <v>0</v>
      </c>
      <c r="AE188" s="14">
        <f>IF(VLOOKUP(A188,Data_NV!$A:$I,6,0)="Không",0,IF(Z188&lt;=X188,0,ROUNDDOWN((Z188-X188)*24*60,0)))</f>
        <v>99</v>
      </c>
      <c r="AF188" s="29">
        <f t="shared" si="18"/>
        <v>0</v>
      </c>
      <c r="AG188" s="30" t="str">
        <f>IF(AC188="","",IF(COUNTIFS($AC$3:AC188,"Quên chấm công",$S$3:S188,S188)&gt;3,"Không chấm công do vi phạm quá 3 lần",IF(COUNTIFS($AC$3:AC188,"Quên chấm công",$S$3:S188,S188)&gt;2,"Trừ toàn bộ chuyên cần tháng do vi phạm lần 3",IF(COUNTIFS($AC$3:AC188,"Quên chấm công",$S$3:S188,S188)&gt;1,"Trừ 1/2 ngày lương",50000))))</f>
        <v/>
      </c>
      <c r="AH188" s="14" t="str">
        <f>IF(COUNTIFS($AF$3:AF188,"&gt;0",$S$3:S188,S188)&gt;3,"Trừ toàn bộ chuyên cần tháng","")</f>
        <v/>
      </c>
      <c r="AI188" s="14"/>
      <c r="AJ188" s="14"/>
    </row>
    <row r="189" spans="1:36" x14ac:dyDescent="0.25">
      <c r="A189" s="4" t="s">
        <v>322</v>
      </c>
      <c r="B189" s="1" t="s">
        <v>323</v>
      </c>
      <c r="C189" s="1" t="s">
        <v>20</v>
      </c>
      <c r="D189" s="1" t="s">
        <v>47</v>
      </c>
      <c r="E189" s="1" t="s">
        <v>22</v>
      </c>
      <c r="F189" s="1" t="s">
        <v>23</v>
      </c>
      <c r="G189" s="1" t="s">
        <v>12</v>
      </c>
      <c r="H189" s="12" t="s">
        <v>24</v>
      </c>
      <c r="I189" s="1" t="s">
        <v>24</v>
      </c>
      <c r="J189" s="1" t="s">
        <v>25</v>
      </c>
      <c r="K189" s="1" t="s">
        <v>25</v>
      </c>
      <c r="L189" s="1" t="s">
        <v>26</v>
      </c>
      <c r="M189" s="1" t="s">
        <v>25</v>
      </c>
      <c r="N189" s="1" t="s">
        <v>25</v>
      </c>
      <c r="O189" s="1" t="s">
        <v>25</v>
      </c>
      <c r="P189" s="1" t="s">
        <v>25</v>
      </c>
      <c r="Q189" s="1" t="s">
        <v>25</v>
      </c>
      <c r="R189" s="70" t="str">
        <f t="shared" si="16"/>
        <v>2345907</v>
      </c>
      <c r="S189" t="str">
        <f>VLOOKUP(A189,Data_NV!$A:$C,3,0)</f>
        <v xml:space="preserve"> Nguyễn Thiên Thanh    </v>
      </c>
      <c r="T189" t="str">
        <f>VLOOKUP(A189,Data_NV!$A:$E,4,0)</f>
        <v>Vận Hành</v>
      </c>
      <c r="U189" s="67">
        <f>DATEVALUE(Table2[[#This Row],[Ngày]])</f>
        <v>45907</v>
      </c>
      <c r="V189" t="str">
        <f>VLOOKUP(A189,Data_NV!$A:$E,5,0)</f>
        <v>Đang làm việc</v>
      </c>
      <c r="W189" s="11">
        <f>VLOOKUP(A189,Data_NV!$A:$I,8,0)</f>
        <v>0.33333333333333331</v>
      </c>
      <c r="X189" s="11">
        <f>VLOOKUP(A189,Data_NV!$A:$I,9,0)</f>
        <v>0.70833333333333337</v>
      </c>
      <c r="Y189" s="11">
        <f>IFERROR(TIMEVALUE(Table2[[#This Row],[Vào]]),0)</f>
        <v>0</v>
      </c>
      <c r="Z189" s="11">
        <f>IFERROR(TIMEVALUE(Table2[[#This Row],[Ra]]),0)</f>
        <v>0</v>
      </c>
      <c r="AA189" t="str">
        <f t="shared" si="19"/>
        <v/>
      </c>
      <c r="AB189" s="14">
        <f t="shared" si="17"/>
        <v>0</v>
      </c>
      <c r="AC189" s="14" t="str">
        <f>IF(VLOOKUP(A189,Data_NV!$A:$I,7,0)="Không","",IF(OR(AND(Y189=0,Z189=0),AND(Y189&lt;&gt;0,Z189&lt;&gt;0)),"","Quên chấm công"))</f>
        <v/>
      </c>
      <c r="AD189" s="14">
        <f>IF(VLOOKUP(A189,Data_NV!$A:$I,7,0)="Không",0,IF(AND(Y189=0,Z189=0),0,IF(X189&lt;=Z189,0,ROUNDDOWN((X189-Z189)*24*60,0))))</f>
        <v>0</v>
      </c>
      <c r="AE189" s="14">
        <f>IF(VLOOKUP(A189,Data_NV!$A:$I,6,0)="Không",0,IF(Z189&lt;=X189,0,ROUNDDOWN((Z189-X189)*24*60,0)))</f>
        <v>0</v>
      </c>
      <c r="AF189" s="29">
        <f t="shared" si="18"/>
        <v>0</v>
      </c>
      <c r="AG189" s="30" t="str">
        <f>IF(AC189="","",IF(COUNTIFS($AC$3:AC189,"Quên chấm công",$S$3:S189,S189)&gt;3,"Không chấm công do vi phạm quá 3 lần",IF(COUNTIFS($AC$3:AC189,"Quên chấm công",$S$3:S189,S189)&gt;2,"Trừ toàn bộ chuyên cần tháng do vi phạm lần 3",IF(COUNTIFS($AC$3:AC189,"Quên chấm công",$S$3:S189,S189)&gt;1,"Trừ 1/2 ngày lương",50000))))</f>
        <v/>
      </c>
      <c r="AH189" s="14" t="str">
        <f>IF(COUNTIFS($AF$3:AF189,"&gt;0",$S$3:S189,S189)&gt;3,"Trừ toàn bộ chuyên cần tháng","")</f>
        <v/>
      </c>
      <c r="AI189" s="14"/>
      <c r="AJ189" s="14"/>
    </row>
    <row r="190" spans="1:36" x14ac:dyDescent="0.25">
      <c r="A190" s="4" t="s">
        <v>322</v>
      </c>
      <c r="B190" s="1" t="s">
        <v>323</v>
      </c>
      <c r="C190" s="1" t="s">
        <v>20</v>
      </c>
      <c r="D190" s="1" t="s">
        <v>48</v>
      </c>
      <c r="E190" s="1" t="s">
        <v>22</v>
      </c>
      <c r="F190" s="1" t="s">
        <v>23</v>
      </c>
      <c r="G190" s="1" t="s">
        <v>29</v>
      </c>
      <c r="H190" s="12" t="s">
        <v>337</v>
      </c>
      <c r="I190" s="1" t="s">
        <v>338</v>
      </c>
      <c r="J190" s="1" t="s">
        <v>25</v>
      </c>
      <c r="K190" s="1" t="s">
        <v>339</v>
      </c>
      <c r="L190" s="1" t="s">
        <v>25</v>
      </c>
      <c r="M190" s="1" t="s">
        <v>26</v>
      </c>
      <c r="N190" s="1" t="s">
        <v>25</v>
      </c>
      <c r="O190" s="1" t="s">
        <v>33</v>
      </c>
      <c r="P190" s="1" t="s">
        <v>340</v>
      </c>
      <c r="Q190" s="1" t="s">
        <v>25</v>
      </c>
      <c r="R190" s="70" t="str">
        <f t="shared" si="16"/>
        <v>2345908</v>
      </c>
      <c r="S190" t="str">
        <f>VLOOKUP(A190,Data_NV!$A:$C,3,0)</f>
        <v xml:space="preserve"> Nguyễn Thiên Thanh    </v>
      </c>
      <c r="T190" t="str">
        <f>VLOOKUP(A190,Data_NV!$A:$E,4,0)</f>
        <v>Vận Hành</v>
      </c>
      <c r="U190" s="67">
        <f>DATEVALUE(Table2[[#This Row],[Ngày]])</f>
        <v>45908</v>
      </c>
      <c r="V190" t="str">
        <f>VLOOKUP(A190,Data_NV!$A:$E,5,0)</f>
        <v>Đang làm việc</v>
      </c>
      <c r="W190" s="11">
        <f>VLOOKUP(A190,Data_NV!$A:$I,8,0)</f>
        <v>0.33333333333333331</v>
      </c>
      <c r="X190" s="11">
        <f>VLOOKUP(A190,Data_NV!$A:$I,9,0)</f>
        <v>0.70833333333333337</v>
      </c>
      <c r="Y190" s="11">
        <f>IFERROR(TIMEVALUE(Table2[[#This Row],[Vào]]),0)</f>
        <v>0.3165277777777778</v>
      </c>
      <c r="Z190" s="11">
        <f>IFERROR(TIMEVALUE(Table2[[#This Row],[Ra]]),0)</f>
        <v>0.85445601851851849</v>
      </c>
      <c r="AA190" t="str">
        <f t="shared" si="19"/>
        <v>x</v>
      </c>
      <c r="AB190" s="14">
        <f t="shared" si="17"/>
        <v>0</v>
      </c>
      <c r="AC190" s="14" t="str">
        <f>IF(VLOOKUP(A190,Data_NV!$A:$I,7,0)="Không","",IF(OR(AND(Y190=0,Z190=0),AND(Y190&lt;&gt;0,Z190&lt;&gt;0)),"","Quên chấm công"))</f>
        <v/>
      </c>
      <c r="AD190" s="14">
        <f>IF(VLOOKUP(A190,Data_NV!$A:$I,7,0)="Không",0,IF(AND(Y190=0,Z190=0),0,IF(X190&lt;=Z190,0,ROUNDDOWN((X190-Z190)*24*60,0))))</f>
        <v>0</v>
      </c>
      <c r="AE190" s="14">
        <f>IF(VLOOKUP(A190,Data_NV!$A:$I,6,0)="Không",0,IF(Z190&lt;=X190,0,ROUNDDOWN((Z190-X190)*24*60,0)))</f>
        <v>210</v>
      </c>
      <c r="AF190" s="29">
        <f t="shared" si="18"/>
        <v>0</v>
      </c>
      <c r="AG190" s="30" t="str">
        <f>IF(AC190="","",IF(COUNTIFS($AC$3:AC190,"Quên chấm công",$S$3:S190,S190)&gt;3,"Không chấm công do vi phạm quá 3 lần",IF(COUNTIFS($AC$3:AC190,"Quên chấm công",$S$3:S190,S190)&gt;2,"Trừ toàn bộ chuyên cần tháng do vi phạm lần 3",IF(COUNTIFS($AC$3:AC190,"Quên chấm công",$S$3:S190,S190)&gt;1,"Trừ 1/2 ngày lương",50000))))</f>
        <v/>
      </c>
      <c r="AH190" s="14" t="str">
        <f>IF(COUNTIFS($AF$3:AF190,"&gt;0",$S$3:S190,S190)&gt;3,"Trừ toàn bộ chuyên cần tháng","")</f>
        <v/>
      </c>
      <c r="AI190" s="14"/>
      <c r="AJ190" s="14"/>
    </row>
    <row r="191" spans="1:36" x14ac:dyDescent="0.25">
      <c r="A191" s="4" t="s">
        <v>322</v>
      </c>
      <c r="B191" s="1" t="s">
        <v>323</v>
      </c>
      <c r="C191" s="1" t="s">
        <v>20</v>
      </c>
      <c r="D191" s="1" t="s">
        <v>53</v>
      </c>
      <c r="E191" s="1" t="s">
        <v>22</v>
      </c>
      <c r="F191" s="1" t="s">
        <v>23</v>
      </c>
      <c r="G191" s="1" t="s">
        <v>29</v>
      </c>
      <c r="H191" s="12" t="s">
        <v>341</v>
      </c>
      <c r="I191" s="1" t="s">
        <v>342</v>
      </c>
      <c r="J191" s="1" t="s">
        <v>25</v>
      </c>
      <c r="K191" s="1" t="s">
        <v>343</v>
      </c>
      <c r="L191" s="1" t="s">
        <v>25</v>
      </c>
      <c r="M191" s="1" t="s">
        <v>26</v>
      </c>
      <c r="N191" s="1" t="s">
        <v>25</v>
      </c>
      <c r="O191" s="1" t="s">
        <v>33</v>
      </c>
      <c r="P191" s="1" t="s">
        <v>94</v>
      </c>
      <c r="Q191" s="1" t="s">
        <v>25</v>
      </c>
      <c r="R191" s="70" t="str">
        <f t="shared" si="16"/>
        <v>2345909</v>
      </c>
      <c r="S191" t="str">
        <f>VLOOKUP(A191,Data_NV!$A:$C,3,0)</f>
        <v xml:space="preserve"> Nguyễn Thiên Thanh    </v>
      </c>
      <c r="T191" t="str">
        <f>VLOOKUP(A191,Data_NV!$A:$E,4,0)</f>
        <v>Vận Hành</v>
      </c>
      <c r="U191" s="67">
        <f>DATEVALUE(Table2[[#This Row],[Ngày]])</f>
        <v>45909</v>
      </c>
      <c r="V191" t="str">
        <f>VLOOKUP(A191,Data_NV!$A:$E,5,0)</f>
        <v>Đang làm việc</v>
      </c>
      <c r="W191" s="11">
        <f>VLOOKUP(A191,Data_NV!$A:$I,8,0)</f>
        <v>0.33333333333333331</v>
      </c>
      <c r="X191" s="11">
        <f>VLOOKUP(A191,Data_NV!$A:$I,9,0)</f>
        <v>0.70833333333333337</v>
      </c>
      <c r="Y191" s="11">
        <f>IFERROR(TIMEVALUE(Table2[[#This Row],[Vào]]),0)</f>
        <v>0.29579861111111111</v>
      </c>
      <c r="Z191" s="11">
        <f>IFERROR(TIMEVALUE(Table2[[#This Row],[Ra]]),0)</f>
        <v>0.82050925925925922</v>
      </c>
      <c r="AA191" t="str">
        <f t="shared" si="19"/>
        <v>x</v>
      </c>
      <c r="AB191" s="14">
        <f t="shared" si="17"/>
        <v>0</v>
      </c>
      <c r="AC191" s="14" t="str">
        <f>IF(VLOOKUP(A191,Data_NV!$A:$I,7,0)="Không","",IF(OR(AND(Y191=0,Z191=0),AND(Y191&lt;&gt;0,Z191&lt;&gt;0)),"","Quên chấm công"))</f>
        <v/>
      </c>
      <c r="AD191" s="14">
        <f>IF(VLOOKUP(A191,Data_NV!$A:$I,7,0)="Không",0,IF(AND(Y191=0,Z191=0),0,IF(X191&lt;=Z191,0,ROUNDDOWN((X191-Z191)*24*60,0))))</f>
        <v>0</v>
      </c>
      <c r="AE191" s="14">
        <f>IF(VLOOKUP(A191,Data_NV!$A:$I,6,0)="Không",0,IF(Z191&lt;=X191,0,ROUNDDOWN((Z191-X191)*24*60,0)))</f>
        <v>161</v>
      </c>
      <c r="AF191" s="29">
        <f t="shared" si="18"/>
        <v>0</v>
      </c>
      <c r="AG191" s="30" t="str">
        <f>IF(AC191="","",IF(COUNTIFS($AC$3:AC191,"Quên chấm công",$S$3:S191,S191)&gt;3,"Không chấm công do vi phạm quá 3 lần",IF(COUNTIFS($AC$3:AC191,"Quên chấm công",$S$3:S191,S191)&gt;2,"Trừ toàn bộ chuyên cần tháng do vi phạm lần 3",IF(COUNTIFS($AC$3:AC191,"Quên chấm công",$S$3:S191,S191)&gt;1,"Trừ 1/2 ngày lương",50000))))</f>
        <v/>
      </c>
      <c r="AH191" s="14" t="str">
        <f>IF(COUNTIFS($AF$3:AF191,"&gt;0",$S$3:S191,S191)&gt;3,"Trừ toàn bộ chuyên cần tháng","")</f>
        <v/>
      </c>
      <c r="AI191" s="14"/>
      <c r="AJ191" s="14"/>
    </row>
    <row r="192" spans="1:36" x14ac:dyDescent="0.25">
      <c r="A192" s="4" t="s">
        <v>322</v>
      </c>
      <c r="B192" s="1" t="s">
        <v>323</v>
      </c>
      <c r="C192" s="1" t="s">
        <v>20</v>
      </c>
      <c r="D192" s="1" t="s">
        <v>58</v>
      </c>
      <c r="E192" s="1" t="s">
        <v>22</v>
      </c>
      <c r="F192" s="1" t="s">
        <v>23</v>
      </c>
      <c r="G192" s="1" t="s">
        <v>29</v>
      </c>
      <c r="H192" s="12" t="s">
        <v>344</v>
      </c>
      <c r="I192" s="1" t="s">
        <v>345</v>
      </c>
      <c r="J192" s="1" t="s">
        <v>25</v>
      </c>
      <c r="K192" s="1" t="s">
        <v>98</v>
      </c>
      <c r="L192" s="1" t="s">
        <v>25</v>
      </c>
      <c r="M192" s="1" t="s">
        <v>26</v>
      </c>
      <c r="N192" s="1" t="s">
        <v>25</v>
      </c>
      <c r="O192" s="1" t="s">
        <v>99</v>
      </c>
      <c r="P192" s="1" t="s">
        <v>25</v>
      </c>
      <c r="Q192" s="1" t="s">
        <v>25</v>
      </c>
      <c r="R192" s="70" t="str">
        <f t="shared" si="16"/>
        <v>2345910</v>
      </c>
      <c r="S192" t="str">
        <f>VLOOKUP(A192,Data_NV!$A:$C,3,0)</f>
        <v xml:space="preserve"> Nguyễn Thiên Thanh    </v>
      </c>
      <c r="T192" t="str">
        <f>VLOOKUP(A192,Data_NV!$A:$E,4,0)</f>
        <v>Vận Hành</v>
      </c>
      <c r="U192" s="67">
        <f>DATEVALUE(Table2[[#This Row],[Ngày]])</f>
        <v>45910</v>
      </c>
      <c r="V192" t="str">
        <f>VLOOKUP(A192,Data_NV!$A:$E,5,0)</f>
        <v>Đang làm việc</v>
      </c>
      <c r="W192" s="11">
        <f>VLOOKUP(A192,Data_NV!$A:$I,8,0)</f>
        <v>0.33333333333333331</v>
      </c>
      <c r="X192" s="11">
        <f>VLOOKUP(A192,Data_NV!$A:$I,9,0)</f>
        <v>0.70833333333333337</v>
      </c>
      <c r="Y192" s="11">
        <f>IFERROR(TIMEVALUE(Table2[[#This Row],[Vào]]),0)</f>
        <v>0.3165162037037037</v>
      </c>
      <c r="Z192" s="11">
        <f>IFERROR(TIMEVALUE(Table2[[#This Row],[Ra]]),0)</f>
        <v>0.76778935185185182</v>
      </c>
      <c r="AA192" t="str">
        <f t="shared" si="19"/>
        <v>x</v>
      </c>
      <c r="AB192" s="14">
        <f t="shared" si="17"/>
        <v>0</v>
      </c>
      <c r="AC192" s="14" t="str">
        <f>IF(VLOOKUP(A192,Data_NV!$A:$I,7,0)="Không","",IF(OR(AND(Y192=0,Z192=0),AND(Y192&lt;&gt;0,Z192&lt;&gt;0)),"","Quên chấm công"))</f>
        <v/>
      </c>
      <c r="AD192" s="14">
        <f>IF(VLOOKUP(A192,Data_NV!$A:$I,7,0)="Không",0,IF(AND(Y192=0,Z192=0),0,IF(X192&lt;=Z192,0,ROUNDDOWN((X192-Z192)*24*60,0))))</f>
        <v>0</v>
      </c>
      <c r="AE192" s="14">
        <f>IF(VLOOKUP(A192,Data_NV!$A:$I,6,0)="Không",0,IF(Z192&lt;=X192,0,ROUNDDOWN((Z192-X192)*24*60,0)))</f>
        <v>85</v>
      </c>
      <c r="AF192" s="29">
        <f t="shared" si="18"/>
        <v>0</v>
      </c>
      <c r="AG192" s="30" t="str">
        <f>IF(AC192="","",IF(COUNTIFS($AC$3:AC192,"Quên chấm công",$S$3:S192,S192)&gt;3,"Không chấm công do vi phạm quá 3 lần",IF(COUNTIFS($AC$3:AC192,"Quên chấm công",$S$3:S192,S192)&gt;2,"Trừ toàn bộ chuyên cần tháng do vi phạm lần 3",IF(COUNTIFS($AC$3:AC192,"Quên chấm công",$S$3:S192,S192)&gt;1,"Trừ 1/2 ngày lương",50000))))</f>
        <v/>
      </c>
      <c r="AH192" s="14" t="str">
        <f>IF(COUNTIFS($AF$3:AF192,"&gt;0",$S$3:S192,S192)&gt;3,"Trừ toàn bộ chuyên cần tháng","")</f>
        <v/>
      </c>
      <c r="AI192" s="14"/>
      <c r="AJ192" s="14"/>
    </row>
    <row r="193" spans="1:36" x14ac:dyDescent="0.25">
      <c r="A193" s="4" t="s">
        <v>322</v>
      </c>
      <c r="B193" s="1" t="s">
        <v>323</v>
      </c>
      <c r="C193" s="1" t="s">
        <v>20</v>
      </c>
      <c r="D193" s="1" t="s">
        <v>63</v>
      </c>
      <c r="E193" s="1" t="s">
        <v>22</v>
      </c>
      <c r="F193" s="1" t="s">
        <v>23</v>
      </c>
      <c r="G193" s="1" t="s">
        <v>29</v>
      </c>
      <c r="H193" s="12" t="s">
        <v>346</v>
      </c>
      <c r="I193" s="1" t="s">
        <v>347</v>
      </c>
      <c r="J193" s="1" t="s">
        <v>25</v>
      </c>
      <c r="K193" s="1" t="s">
        <v>310</v>
      </c>
      <c r="L193" s="1" t="s">
        <v>25</v>
      </c>
      <c r="M193" s="1" t="s">
        <v>26</v>
      </c>
      <c r="N193" s="1" t="s">
        <v>25</v>
      </c>
      <c r="O193" s="1" t="s">
        <v>293</v>
      </c>
      <c r="P193" s="1" t="s">
        <v>25</v>
      </c>
      <c r="Q193" s="1" t="s">
        <v>25</v>
      </c>
      <c r="R193" s="70" t="str">
        <f t="shared" si="16"/>
        <v>2345911</v>
      </c>
      <c r="S193" t="str">
        <f>VLOOKUP(A193,Data_NV!$A:$C,3,0)</f>
        <v xml:space="preserve"> Nguyễn Thiên Thanh    </v>
      </c>
      <c r="T193" t="str">
        <f>VLOOKUP(A193,Data_NV!$A:$E,4,0)</f>
        <v>Vận Hành</v>
      </c>
      <c r="U193" s="67">
        <f>DATEVALUE(Table2[[#This Row],[Ngày]])</f>
        <v>45911</v>
      </c>
      <c r="V193" t="str">
        <f>VLOOKUP(A193,Data_NV!$A:$E,5,0)</f>
        <v>Đang làm việc</v>
      </c>
      <c r="W193" s="11">
        <f>VLOOKUP(A193,Data_NV!$A:$I,8,0)</f>
        <v>0.33333333333333331</v>
      </c>
      <c r="X193" s="11">
        <f>VLOOKUP(A193,Data_NV!$A:$I,9,0)</f>
        <v>0.70833333333333337</v>
      </c>
      <c r="Y193" s="11">
        <f>IFERROR(TIMEVALUE(Table2[[#This Row],[Vào]]),0)</f>
        <v>0.31060185185185185</v>
      </c>
      <c r="Z193" s="11">
        <f>IFERROR(TIMEVALUE(Table2[[#This Row],[Ra]]),0)</f>
        <v>0.78662037037037036</v>
      </c>
      <c r="AA193" t="str">
        <f t="shared" si="19"/>
        <v>x</v>
      </c>
      <c r="AB193" s="14">
        <f t="shared" si="17"/>
        <v>0</v>
      </c>
      <c r="AC193" s="14" t="str">
        <f>IF(VLOOKUP(A193,Data_NV!$A:$I,7,0)="Không","",IF(OR(AND(Y193=0,Z193=0),AND(Y193&lt;&gt;0,Z193&lt;&gt;0)),"","Quên chấm công"))</f>
        <v/>
      </c>
      <c r="AD193" s="14">
        <f>IF(VLOOKUP(A193,Data_NV!$A:$I,7,0)="Không",0,IF(AND(Y193=0,Z193=0),0,IF(X193&lt;=Z193,0,ROUNDDOWN((X193-Z193)*24*60,0))))</f>
        <v>0</v>
      </c>
      <c r="AE193" s="14">
        <f>IF(VLOOKUP(A193,Data_NV!$A:$I,6,0)="Không",0,IF(Z193&lt;=X193,0,ROUNDDOWN((Z193-X193)*24*60,0)))</f>
        <v>112</v>
      </c>
      <c r="AF193" s="29">
        <f t="shared" si="18"/>
        <v>0</v>
      </c>
      <c r="AG193" s="30" t="str">
        <f>IF(AC193="","",IF(COUNTIFS($AC$3:AC193,"Quên chấm công",$S$3:S193,S193)&gt;3,"Không chấm công do vi phạm quá 3 lần",IF(COUNTIFS($AC$3:AC193,"Quên chấm công",$S$3:S193,S193)&gt;2,"Trừ toàn bộ chuyên cần tháng do vi phạm lần 3",IF(COUNTIFS($AC$3:AC193,"Quên chấm công",$S$3:S193,S193)&gt;1,"Trừ 1/2 ngày lương",50000))))</f>
        <v/>
      </c>
      <c r="AH193" s="14" t="str">
        <f>IF(COUNTIFS($AF$3:AF193,"&gt;0",$S$3:S193,S193)&gt;3,"Trừ toàn bộ chuyên cần tháng","")</f>
        <v/>
      </c>
      <c r="AI193" s="14"/>
      <c r="AJ193" s="14"/>
    </row>
    <row r="194" spans="1:36" x14ac:dyDescent="0.25">
      <c r="A194" s="4" t="s">
        <v>322</v>
      </c>
      <c r="B194" s="1" t="s">
        <v>323</v>
      </c>
      <c r="C194" s="1" t="s">
        <v>20</v>
      </c>
      <c r="D194" s="1" t="s">
        <v>67</v>
      </c>
      <c r="E194" s="1" t="s">
        <v>22</v>
      </c>
      <c r="F194" s="1" t="s">
        <v>23</v>
      </c>
      <c r="G194" s="1" t="s">
        <v>29</v>
      </c>
      <c r="H194" s="12" t="s">
        <v>348</v>
      </c>
      <c r="I194" s="1" t="s">
        <v>349</v>
      </c>
      <c r="J194" s="1" t="s">
        <v>25</v>
      </c>
      <c r="K194" s="1" t="s">
        <v>252</v>
      </c>
      <c r="L194" s="1" t="s">
        <v>25</v>
      </c>
      <c r="M194" s="1" t="s">
        <v>26</v>
      </c>
      <c r="N194" s="1" t="s">
        <v>25</v>
      </c>
      <c r="O194" s="1" t="s">
        <v>253</v>
      </c>
      <c r="P194" s="1" t="s">
        <v>25</v>
      </c>
      <c r="Q194" s="1" t="s">
        <v>25</v>
      </c>
      <c r="R194" s="70" t="str">
        <f t="shared" si="16"/>
        <v>2345912</v>
      </c>
      <c r="S194" t="str">
        <f>VLOOKUP(A194,Data_NV!$A:$C,3,0)</f>
        <v xml:space="preserve"> Nguyễn Thiên Thanh    </v>
      </c>
      <c r="T194" t="str">
        <f>VLOOKUP(A194,Data_NV!$A:$E,4,0)</f>
        <v>Vận Hành</v>
      </c>
      <c r="U194" s="67">
        <f>DATEVALUE(Table2[[#This Row],[Ngày]])</f>
        <v>45912</v>
      </c>
      <c r="V194" t="str">
        <f>VLOOKUP(A194,Data_NV!$A:$E,5,0)</f>
        <v>Đang làm việc</v>
      </c>
      <c r="W194" s="11">
        <f>VLOOKUP(A194,Data_NV!$A:$I,8,0)</f>
        <v>0.33333333333333331</v>
      </c>
      <c r="X194" s="11">
        <f>VLOOKUP(A194,Data_NV!$A:$I,9,0)</f>
        <v>0.70833333333333337</v>
      </c>
      <c r="Y194" s="11">
        <f>IFERROR(TIMEVALUE(Table2[[#This Row],[Vào]]),0)</f>
        <v>0.31681712962962966</v>
      </c>
      <c r="Z194" s="11">
        <f>IFERROR(TIMEVALUE(Table2[[#This Row],[Ra]]),0)</f>
        <v>0.76049768518518523</v>
      </c>
      <c r="AA194" t="str">
        <f t="shared" si="19"/>
        <v>x</v>
      </c>
      <c r="AB194" s="14">
        <f t="shared" si="17"/>
        <v>0</v>
      </c>
      <c r="AC194" s="14" t="str">
        <f>IF(VLOOKUP(A194,Data_NV!$A:$I,7,0)="Không","",IF(OR(AND(Y194=0,Z194=0),AND(Y194&lt;&gt;0,Z194&lt;&gt;0)),"","Quên chấm công"))</f>
        <v/>
      </c>
      <c r="AD194" s="14">
        <f>IF(VLOOKUP(A194,Data_NV!$A:$I,7,0)="Không",0,IF(AND(Y194=0,Z194=0),0,IF(X194&lt;=Z194,0,ROUNDDOWN((X194-Z194)*24*60,0))))</f>
        <v>0</v>
      </c>
      <c r="AE194" s="14">
        <f>IF(VLOOKUP(A194,Data_NV!$A:$I,6,0)="Không",0,IF(Z194&lt;=X194,0,ROUNDDOWN((Z194-X194)*24*60,0)))</f>
        <v>75</v>
      </c>
      <c r="AF194" s="29">
        <f t="shared" si="18"/>
        <v>0</v>
      </c>
      <c r="AG194" s="30" t="str">
        <f>IF(AC194="","",IF(COUNTIFS($AC$3:AC194,"Quên chấm công",$S$3:S194,S194)&gt;3,"Không chấm công do vi phạm quá 3 lần",IF(COUNTIFS($AC$3:AC194,"Quên chấm công",$S$3:S194,S194)&gt;2,"Trừ toàn bộ chuyên cần tháng do vi phạm lần 3",IF(COUNTIFS($AC$3:AC194,"Quên chấm công",$S$3:S194,S194)&gt;1,"Trừ 1/2 ngày lương",50000))))</f>
        <v/>
      </c>
      <c r="AH194" s="14" t="str">
        <f>IF(COUNTIFS($AF$3:AF194,"&gt;0",$S$3:S194,S194)&gt;3,"Trừ toàn bộ chuyên cần tháng","")</f>
        <v/>
      </c>
      <c r="AI194" s="14"/>
      <c r="AJ194" s="14"/>
    </row>
    <row r="195" spans="1:36" x14ac:dyDescent="0.25">
      <c r="A195" s="4" t="s">
        <v>322</v>
      </c>
      <c r="B195" s="1" t="s">
        <v>323</v>
      </c>
      <c r="C195" s="1" t="s">
        <v>20</v>
      </c>
      <c r="D195" s="1" t="s">
        <v>69</v>
      </c>
      <c r="E195" s="1" t="s">
        <v>22</v>
      </c>
      <c r="F195" s="1" t="s">
        <v>23</v>
      </c>
      <c r="G195" s="1" t="s">
        <v>29</v>
      </c>
      <c r="H195" s="12" t="s">
        <v>350</v>
      </c>
      <c r="I195" s="1" t="s">
        <v>351</v>
      </c>
      <c r="J195" s="1" t="s">
        <v>25</v>
      </c>
      <c r="K195" s="1" t="s">
        <v>252</v>
      </c>
      <c r="L195" s="1" t="s">
        <v>25</v>
      </c>
      <c r="M195" s="1" t="s">
        <v>26</v>
      </c>
      <c r="N195" s="1" t="s">
        <v>25</v>
      </c>
      <c r="O195" s="1" t="s">
        <v>253</v>
      </c>
      <c r="P195" s="1" t="s">
        <v>25</v>
      </c>
      <c r="Q195" s="1" t="s">
        <v>25</v>
      </c>
      <c r="R195" s="70" t="str">
        <f t="shared" si="16"/>
        <v>2345913</v>
      </c>
      <c r="S195" t="str">
        <f>VLOOKUP(A195,Data_NV!$A:$C,3,0)</f>
        <v xml:space="preserve"> Nguyễn Thiên Thanh    </v>
      </c>
      <c r="T195" t="str">
        <f>VLOOKUP(A195,Data_NV!$A:$E,4,0)</f>
        <v>Vận Hành</v>
      </c>
      <c r="U195" s="67">
        <f>DATEVALUE(Table2[[#This Row],[Ngày]])</f>
        <v>45913</v>
      </c>
      <c r="V195" t="str">
        <f>VLOOKUP(A195,Data_NV!$A:$E,5,0)</f>
        <v>Đang làm việc</v>
      </c>
      <c r="W195" s="11">
        <f>VLOOKUP(A195,Data_NV!$A:$I,8,0)</f>
        <v>0.33333333333333331</v>
      </c>
      <c r="X195" s="11">
        <f>VLOOKUP(A195,Data_NV!$A:$I,9,0)</f>
        <v>0.70833333333333337</v>
      </c>
      <c r="Y195" s="11">
        <f>IFERROR(TIMEVALUE(Table2[[#This Row],[Vào]]),0)</f>
        <v>0.30891203703703701</v>
      </c>
      <c r="Z195" s="11">
        <f>IFERROR(TIMEVALUE(Table2[[#This Row],[Ra]]),0)</f>
        <v>0.76047453703703705</v>
      </c>
      <c r="AA195" t="str">
        <f t="shared" si="19"/>
        <v>x</v>
      </c>
      <c r="AB195" s="14">
        <f t="shared" si="17"/>
        <v>0</v>
      </c>
      <c r="AC195" s="14" t="str">
        <f>IF(VLOOKUP(A195,Data_NV!$A:$I,7,0)="Không","",IF(OR(AND(Y195=0,Z195=0),AND(Y195&lt;&gt;0,Z195&lt;&gt;0)),"","Quên chấm công"))</f>
        <v/>
      </c>
      <c r="AD195" s="14">
        <f>IF(VLOOKUP(A195,Data_NV!$A:$I,7,0)="Không",0,IF(AND(Y195=0,Z195=0),0,IF(X195&lt;=Z195,0,ROUNDDOWN((X195-Z195)*24*60,0))))</f>
        <v>0</v>
      </c>
      <c r="AE195" s="14">
        <f>IF(VLOOKUP(A195,Data_NV!$A:$I,6,0)="Không",0,IF(Z195&lt;=X195,0,ROUNDDOWN((Z195-X195)*24*60,0)))</f>
        <v>75</v>
      </c>
      <c r="AF195" s="29">
        <f t="shared" si="18"/>
        <v>0</v>
      </c>
      <c r="AG195" s="30" t="str">
        <f>IF(AC195="","",IF(COUNTIFS($AC$3:AC195,"Quên chấm công",$S$3:S195,S195)&gt;3,"Không chấm công do vi phạm quá 3 lần",IF(COUNTIFS($AC$3:AC195,"Quên chấm công",$S$3:S195,S195)&gt;2,"Trừ toàn bộ chuyên cần tháng do vi phạm lần 3",IF(COUNTIFS($AC$3:AC195,"Quên chấm công",$S$3:S195,S195)&gt;1,"Trừ 1/2 ngày lương",50000))))</f>
        <v/>
      </c>
      <c r="AH195" s="14" t="str">
        <f>IF(COUNTIFS($AF$3:AF195,"&gt;0",$S$3:S195,S195)&gt;3,"Trừ toàn bộ chuyên cần tháng","")</f>
        <v/>
      </c>
      <c r="AI195" s="14"/>
      <c r="AJ195" s="14"/>
    </row>
    <row r="196" spans="1:36" x14ac:dyDescent="0.25">
      <c r="A196" s="4" t="s">
        <v>322</v>
      </c>
      <c r="B196" s="1" t="s">
        <v>323</v>
      </c>
      <c r="C196" s="1" t="s">
        <v>20</v>
      </c>
      <c r="D196" s="1" t="s">
        <v>74</v>
      </c>
      <c r="E196" s="1" t="s">
        <v>22</v>
      </c>
      <c r="F196" s="1" t="s">
        <v>23</v>
      </c>
      <c r="G196" s="1" t="s">
        <v>12</v>
      </c>
      <c r="H196" s="12" t="s">
        <v>24</v>
      </c>
      <c r="I196" s="1" t="s">
        <v>24</v>
      </c>
      <c r="J196" s="1" t="s">
        <v>25</v>
      </c>
      <c r="K196" s="1" t="s">
        <v>25</v>
      </c>
      <c r="L196" s="1" t="s">
        <v>26</v>
      </c>
      <c r="M196" s="1" t="s">
        <v>25</v>
      </c>
      <c r="N196" s="1" t="s">
        <v>25</v>
      </c>
      <c r="O196" s="1" t="s">
        <v>25</v>
      </c>
      <c r="P196" s="1" t="s">
        <v>25</v>
      </c>
      <c r="Q196" s="1" t="s">
        <v>25</v>
      </c>
      <c r="R196" s="70" t="str">
        <f t="shared" si="16"/>
        <v>2345914</v>
      </c>
      <c r="S196" t="str">
        <f>VLOOKUP(A196,Data_NV!$A:$C,3,0)</f>
        <v xml:space="preserve"> Nguyễn Thiên Thanh    </v>
      </c>
      <c r="T196" t="str">
        <f>VLOOKUP(A196,Data_NV!$A:$E,4,0)</f>
        <v>Vận Hành</v>
      </c>
      <c r="U196" s="67">
        <f>DATEVALUE(Table2[[#This Row],[Ngày]])</f>
        <v>45914</v>
      </c>
      <c r="V196" t="str">
        <f>VLOOKUP(A196,Data_NV!$A:$E,5,0)</f>
        <v>Đang làm việc</v>
      </c>
      <c r="W196" s="11">
        <f>VLOOKUP(A196,Data_NV!$A:$I,8,0)</f>
        <v>0.33333333333333331</v>
      </c>
      <c r="X196" s="11">
        <f>VLOOKUP(A196,Data_NV!$A:$I,9,0)</f>
        <v>0.70833333333333337</v>
      </c>
      <c r="Y196" s="11">
        <f>IFERROR(TIMEVALUE(Table2[[#This Row],[Vào]]),0)</f>
        <v>0</v>
      </c>
      <c r="Z196" s="11">
        <f>IFERROR(TIMEVALUE(Table2[[#This Row],[Ra]]),0)</f>
        <v>0</v>
      </c>
      <c r="AA196" t="str">
        <f t="shared" si="19"/>
        <v/>
      </c>
      <c r="AB196" s="14">
        <f t="shared" si="17"/>
        <v>0</v>
      </c>
      <c r="AC196" s="14" t="str">
        <f>IF(VLOOKUP(A196,Data_NV!$A:$I,7,0)="Không","",IF(OR(AND(Y196=0,Z196=0),AND(Y196&lt;&gt;0,Z196&lt;&gt;0)),"","Quên chấm công"))</f>
        <v/>
      </c>
      <c r="AD196" s="14">
        <f>IF(VLOOKUP(A196,Data_NV!$A:$I,7,0)="Không",0,IF(AND(Y196=0,Z196=0),0,IF(X196&lt;=Z196,0,ROUNDDOWN((X196-Z196)*24*60,0))))</f>
        <v>0</v>
      </c>
      <c r="AE196" s="14">
        <f>IF(VLOOKUP(A196,Data_NV!$A:$I,6,0)="Không",0,IF(Z196&lt;=X196,0,ROUNDDOWN((Z196-X196)*24*60,0)))</f>
        <v>0</v>
      </c>
      <c r="AF196" s="29">
        <f t="shared" si="18"/>
        <v>0</v>
      </c>
      <c r="AG196" s="30" t="str">
        <f>IF(AC196="","",IF(COUNTIFS($AC$3:AC196,"Quên chấm công",$S$3:S196,S196)&gt;3,"Không chấm công do vi phạm quá 3 lần",IF(COUNTIFS($AC$3:AC196,"Quên chấm công",$S$3:S196,S196)&gt;2,"Trừ toàn bộ chuyên cần tháng do vi phạm lần 3",IF(COUNTIFS($AC$3:AC196,"Quên chấm công",$S$3:S196,S196)&gt;1,"Trừ 1/2 ngày lương",50000))))</f>
        <v/>
      </c>
      <c r="AH196" s="14" t="str">
        <f>IF(COUNTIFS($AF$3:AF196,"&gt;0",$S$3:S196,S196)&gt;3,"Trừ toàn bộ chuyên cần tháng","")</f>
        <v/>
      </c>
      <c r="AI196" s="14"/>
      <c r="AJ196" s="14"/>
    </row>
    <row r="197" spans="1:36" x14ac:dyDescent="0.25">
      <c r="A197" s="4" t="s">
        <v>322</v>
      </c>
      <c r="B197" s="1" t="s">
        <v>323</v>
      </c>
      <c r="C197" s="1" t="s">
        <v>20</v>
      </c>
      <c r="D197" s="1" t="s">
        <v>75</v>
      </c>
      <c r="E197" s="1" t="s">
        <v>22</v>
      </c>
      <c r="F197" s="1" t="s">
        <v>23</v>
      </c>
      <c r="G197" s="1" t="s">
        <v>29</v>
      </c>
      <c r="H197" s="12" t="s">
        <v>352</v>
      </c>
      <c r="I197" s="1" t="s">
        <v>353</v>
      </c>
      <c r="J197" s="1" t="s">
        <v>25</v>
      </c>
      <c r="K197" s="1" t="s">
        <v>313</v>
      </c>
      <c r="L197" s="1" t="s">
        <v>25</v>
      </c>
      <c r="M197" s="1" t="s">
        <v>26</v>
      </c>
      <c r="N197" s="1" t="s">
        <v>25</v>
      </c>
      <c r="O197" s="1" t="s">
        <v>33</v>
      </c>
      <c r="P197" s="1" t="s">
        <v>314</v>
      </c>
      <c r="Q197" s="1" t="s">
        <v>25</v>
      </c>
      <c r="R197" s="70" t="str">
        <f t="shared" si="16"/>
        <v>2345915</v>
      </c>
      <c r="S197" t="str">
        <f>VLOOKUP(A197,Data_NV!$A:$C,3,0)</f>
        <v xml:space="preserve"> Nguyễn Thiên Thanh    </v>
      </c>
      <c r="T197" t="str">
        <f>VLOOKUP(A197,Data_NV!$A:$E,4,0)</f>
        <v>Vận Hành</v>
      </c>
      <c r="U197" s="67">
        <f>DATEVALUE(Table2[[#This Row],[Ngày]])</f>
        <v>45915</v>
      </c>
      <c r="V197" t="str">
        <f>VLOOKUP(A197,Data_NV!$A:$E,5,0)</f>
        <v>Đang làm việc</v>
      </c>
      <c r="W197" s="11">
        <f>VLOOKUP(A197,Data_NV!$A:$I,8,0)</f>
        <v>0.33333333333333331</v>
      </c>
      <c r="X197" s="11">
        <f>VLOOKUP(A197,Data_NV!$A:$I,9,0)</f>
        <v>0.70833333333333337</v>
      </c>
      <c r="Y197" s="11">
        <f>IFERROR(TIMEVALUE(Table2[[#This Row],[Vào]]),0)</f>
        <v>0.3115162037037037</v>
      </c>
      <c r="Z197" s="11">
        <f>IFERROR(TIMEVALUE(Table2[[#This Row],[Ra]]),0)</f>
        <v>0.80459490740740736</v>
      </c>
      <c r="AA197" t="str">
        <f t="shared" si="19"/>
        <v>x</v>
      </c>
      <c r="AB197" s="14">
        <f t="shared" si="17"/>
        <v>0</v>
      </c>
      <c r="AC197" s="14" t="str">
        <f>IF(VLOOKUP(A197,Data_NV!$A:$I,7,0)="Không","",IF(OR(AND(Y197=0,Z197=0),AND(Y197&lt;&gt;0,Z197&lt;&gt;0)),"","Quên chấm công"))</f>
        <v/>
      </c>
      <c r="AD197" s="14">
        <f>IF(VLOOKUP(A197,Data_NV!$A:$I,7,0)="Không",0,IF(AND(Y197=0,Z197=0),0,IF(X197&lt;=Z197,0,ROUNDDOWN((X197-Z197)*24*60,0))))</f>
        <v>0</v>
      </c>
      <c r="AE197" s="14">
        <f>IF(VLOOKUP(A197,Data_NV!$A:$I,6,0)="Không",0,IF(Z197&lt;=X197,0,ROUNDDOWN((Z197-X197)*24*60,0)))</f>
        <v>138</v>
      </c>
      <c r="AF197" s="29">
        <f t="shared" si="18"/>
        <v>0</v>
      </c>
      <c r="AG197" s="30" t="str">
        <f>IF(AC197="","",IF(COUNTIFS($AC$3:AC197,"Quên chấm công",$S$3:S197,S197)&gt;3,"Không chấm công do vi phạm quá 3 lần",IF(COUNTIFS($AC$3:AC197,"Quên chấm công",$S$3:S197,S197)&gt;2,"Trừ toàn bộ chuyên cần tháng do vi phạm lần 3",IF(COUNTIFS($AC$3:AC197,"Quên chấm công",$S$3:S197,S197)&gt;1,"Trừ 1/2 ngày lương",50000))))</f>
        <v/>
      </c>
      <c r="AH197" s="14" t="str">
        <f>IF(COUNTIFS($AF$3:AF197,"&gt;0",$S$3:S197,S197)&gt;3,"Trừ toàn bộ chuyên cần tháng","")</f>
        <v/>
      </c>
      <c r="AI197" s="14"/>
      <c r="AJ197" s="14"/>
    </row>
    <row r="198" spans="1:36" x14ac:dyDescent="0.25">
      <c r="A198" s="4" t="s">
        <v>322</v>
      </c>
      <c r="B198" s="1" t="s">
        <v>323</v>
      </c>
      <c r="C198" s="1" t="s">
        <v>20</v>
      </c>
      <c r="D198" s="1" t="s">
        <v>80</v>
      </c>
      <c r="E198" s="1" t="s">
        <v>22</v>
      </c>
      <c r="F198" s="1" t="s">
        <v>23</v>
      </c>
      <c r="G198" s="1" t="s">
        <v>29</v>
      </c>
      <c r="H198" s="12" t="s">
        <v>308</v>
      </c>
      <c r="I198" s="1" t="s">
        <v>354</v>
      </c>
      <c r="J198" s="1" t="s">
        <v>25</v>
      </c>
      <c r="K198" s="1" t="s">
        <v>355</v>
      </c>
      <c r="L198" s="1" t="s">
        <v>25</v>
      </c>
      <c r="M198" s="1" t="s">
        <v>26</v>
      </c>
      <c r="N198" s="1" t="s">
        <v>25</v>
      </c>
      <c r="O198" s="1" t="s">
        <v>33</v>
      </c>
      <c r="P198" s="1" t="s">
        <v>129</v>
      </c>
      <c r="Q198" s="1" t="s">
        <v>25</v>
      </c>
      <c r="R198" s="70" t="str">
        <f t="shared" si="16"/>
        <v>2345916</v>
      </c>
      <c r="S198" t="str">
        <f>VLOOKUP(A198,Data_NV!$A:$C,3,0)</f>
        <v xml:space="preserve"> Nguyễn Thiên Thanh    </v>
      </c>
      <c r="T198" t="str">
        <f>VLOOKUP(A198,Data_NV!$A:$E,4,0)</f>
        <v>Vận Hành</v>
      </c>
      <c r="U198" s="67">
        <f>DATEVALUE(Table2[[#This Row],[Ngày]])</f>
        <v>45916</v>
      </c>
      <c r="V198" t="str">
        <f>VLOOKUP(A198,Data_NV!$A:$E,5,0)</f>
        <v>Đang làm việc</v>
      </c>
      <c r="W198" s="11">
        <f>VLOOKUP(A198,Data_NV!$A:$I,8,0)</f>
        <v>0.33333333333333331</v>
      </c>
      <c r="X198" s="11">
        <f>VLOOKUP(A198,Data_NV!$A:$I,9,0)</f>
        <v>0.70833333333333337</v>
      </c>
      <c r="Y198" s="11">
        <f>IFERROR(TIMEVALUE(Table2[[#This Row],[Vào]]),0)</f>
        <v>0.31070601851851853</v>
      </c>
      <c r="Z198" s="11">
        <f>IFERROR(TIMEVALUE(Table2[[#This Row],[Ra]]),0)</f>
        <v>0.80546296296296294</v>
      </c>
      <c r="AA198" t="str">
        <f t="shared" si="19"/>
        <v>x</v>
      </c>
      <c r="AB198" s="14">
        <f t="shared" si="17"/>
        <v>0</v>
      </c>
      <c r="AC198" s="14" t="str">
        <f>IF(VLOOKUP(A198,Data_NV!$A:$I,7,0)="Không","",IF(OR(AND(Y198=0,Z198=0),AND(Y198&lt;&gt;0,Z198&lt;&gt;0)),"","Quên chấm công"))</f>
        <v/>
      </c>
      <c r="AD198" s="14">
        <f>IF(VLOOKUP(A198,Data_NV!$A:$I,7,0)="Không",0,IF(AND(Y198=0,Z198=0),0,IF(X198&lt;=Z198,0,ROUNDDOWN((X198-Z198)*24*60,0))))</f>
        <v>0</v>
      </c>
      <c r="AE198" s="14">
        <f>IF(VLOOKUP(A198,Data_NV!$A:$I,6,0)="Không",0,IF(Z198&lt;=X198,0,ROUNDDOWN((Z198-X198)*24*60,0)))</f>
        <v>139</v>
      </c>
      <c r="AF198" s="29">
        <f t="shared" si="18"/>
        <v>0</v>
      </c>
      <c r="AG198" s="30" t="str">
        <f>IF(AC198="","",IF(COUNTIFS($AC$3:AC198,"Quên chấm công",$S$3:S198,S198)&gt;3,"Không chấm công do vi phạm quá 3 lần",IF(COUNTIFS($AC$3:AC198,"Quên chấm công",$S$3:S198,S198)&gt;2,"Trừ toàn bộ chuyên cần tháng do vi phạm lần 3",IF(COUNTIFS($AC$3:AC198,"Quên chấm công",$S$3:S198,S198)&gt;1,"Trừ 1/2 ngày lương",50000))))</f>
        <v/>
      </c>
      <c r="AH198" s="14" t="str">
        <f>IF(COUNTIFS($AF$3:AF198,"&gt;0",$S$3:S198,S198)&gt;3,"Trừ toàn bộ chuyên cần tháng","")</f>
        <v/>
      </c>
      <c r="AI198" s="14"/>
      <c r="AJ198" s="14"/>
    </row>
    <row r="199" spans="1:36" x14ac:dyDescent="0.25">
      <c r="A199" s="4" t="s">
        <v>322</v>
      </c>
      <c r="B199" s="1" t="s">
        <v>323</v>
      </c>
      <c r="C199" s="1" t="s">
        <v>20</v>
      </c>
      <c r="D199" s="1" t="s">
        <v>85</v>
      </c>
      <c r="E199" s="1" t="s">
        <v>22</v>
      </c>
      <c r="F199" s="1" t="s">
        <v>23</v>
      </c>
      <c r="G199" s="1" t="s">
        <v>29</v>
      </c>
      <c r="H199" s="12" t="s">
        <v>356</v>
      </c>
      <c r="I199" s="1" t="s">
        <v>357</v>
      </c>
      <c r="J199" s="1" t="s">
        <v>25</v>
      </c>
      <c r="K199" s="1" t="s">
        <v>269</v>
      </c>
      <c r="L199" s="1" t="s">
        <v>25</v>
      </c>
      <c r="M199" s="1" t="s">
        <v>26</v>
      </c>
      <c r="N199" s="1" t="s">
        <v>25</v>
      </c>
      <c r="O199" s="1" t="s">
        <v>270</v>
      </c>
      <c r="P199" s="1" t="s">
        <v>25</v>
      </c>
      <c r="Q199" s="1" t="s">
        <v>25</v>
      </c>
      <c r="R199" s="70" t="str">
        <f t="shared" si="16"/>
        <v>2345917</v>
      </c>
      <c r="S199" t="str">
        <f>VLOOKUP(A199,Data_NV!$A:$C,3,0)</f>
        <v xml:space="preserve"> Nguyễn Thiên Thanh    </v>
      </c>
      <c r="T199" t="str">
        <f>VLOOKUP(A199,Data_NV!$A:$E,4,0)</f>
        <v>Vận Hành</v>
      </c>
      <c r="U199" s="67">
        <f>DATEVALUE(Table2[[#This Row],[Ngày]])</f>
        <v>45917</v>
      </c>
      <c r="V199" t="str">
        <f>VLOOKUP(A199,Data_NV!$A:$E,5,0)</f>
        <v>Đang làm việc</v>
      </c>
      <c r="W199" s="11">
        <f>VLOOKUP(A199,Data_NV!$A:$I,8,0)</f>
        <v>0.33333333333333331</v>
      </c>
      <c r="X199" s="11">
        <f>VLOOKUP(A199,Data_NV!$A:$I,9,0)</f>
        <v>0.70833333333333337</v>
      </c>
      <c r="Y199" s="11">
        <f>IFERROR(TIMEVALUE(Table2[[#This Row],[Vào]]),0)</f>
        <v>0.31384259259259262</v>
      </c>
      <c r="Z199" s="11">
        <f>IFERROR(TIMEVALUE(Table2[[#This Row],[Ra]]),0)</f>
        <v>0.79048611111111111</v>
      </c>
      <c r="AA199" t="str">
        <f t="shared" si="19"/>
        <v>x</v>
      </c>
      <c r="AB199" s="14">
        <f t="shared" si="17"/>
        <v>0</v>
      </c>
      <c r="AC199" s="14" t="str">
        <f>IF(VLOOKUP(A199,Data_NV!$A:$I,7,0)="Không","",IF(OR(AND(Y199=0,Z199=0),AND(Y199&lt;&gt;0,Z199&lt;&gt;0)),"","Quên chấm công"))</f>
        <v/>
      </c>
      <c r="AD199" s="14">
        <f>IF(VLOOKUP(A199,Data_NV!$A:$I,7,0)="Không",0,IF(AND(Y199=0,Z199=0),0,IF(X199&lt;=Z199,0,ROUNDDOWN((X199-Z199)*24*60,0))))</f>
        <v>0</v>
      </c>
      <c r="AE199" s="14">
        <f>IF(VLOOKUP(A199,Data_NV!$A:$I,6,0)="Không",0,IF(Z199&lt;=X199,0,ROUNDDOWN((Z199-X199)*24*60,0)))</f>
        <v>118</v>
      </c>
      <c r="AF199" s="29">
        <f t="shared" si="18"/>
        <v>0</v>
      </c>
      <c r="AG199" s="30" t="str">
        <f>IF(AC199="","",IF(COUNTIFS($AC$3:AC199,"Quên chấm công",$S$3:S199,S199)&gt;3,"Không chấm công do vi phạm quá 3 lần",IF(COUNTIFS($AC$3:AC199,"Quên chấm công",$S$3:S199,S199)&gt;2,"Trừ toàn bộ chuyên cần tháng do vi phạm lần 3",IF(COUNTIFS($AC$3:AC199,"Quên chấm công",$S$3:S199,S199)&gt;1,"Trừ 1/2 ngày lương",50000))))</f>
        <v/>
      </c>
      <c r="AH199" s="14" t="str">
        <f>IF(COUNTIFS($AF$3:AF199,"&gt;0",$S$3:S199,S199)&gt;3,"Trừ toàn bộ chuyên cần tháng","")</f>
        <v/>
      </c>
      <c r="AI199" s="14"/>
      <c r="AJ199" s="14"/>
    </row>
    <row r="200" spans="1:36" x14ac:dyDescent="0.25">
      <c r="A200" s="4" t="s">
        <v>322</v>
      </c>
      <c r="B200" s="1" t="s">
        <v>323</v>
      </c>
      <c r="C200" s="1" t="s">
        <v>20</v>
      </c>
      <c r="D200" s="1" t="s">
        <v>90</v>
      </c>
      <c r="E200" s="1" t="s">
        <v>22</v>
      </c>
      <c r="F200" s="1" t="s">
        <v>23</v>
      </c>
      <c r="G200" s="1" t="s">
        <v>29</v>
      </c>
      <c r="H200" s="12" t="s">
        <v>358</v>
      </c>
      <c r="I200" s="1" t="s">
        <v>359</v>
      </c>
      <c r="J200" s="1" t="s">
        <v>25</v>
      </c>
      <c r="K200" s="1" t="s">
        <v>93</v>
      </c>
      <c r="L200" s="1" t="s">
        <v>25</v>
      </c>
      <c r="M200" s="1" t="s">
        <v>26</v>
      </c>
      <c r="N200" s="1" t="s">
        <v>25</v>
      </c>
      <c r="O200" s="1" t="s">
        <v>94</v>
      </c>
      <c r="P200" s="1" t="s">
        <v>25</v>
      </c>
      <c r="Q200" s="1" t="s">
        <v>25</v>
      </c>
      <c r="R200" s="70" t="str">
        <f t="shared" si="16"/>
        <v>2345918</v>
      </c>
      <c r="S200" t="str">
        <f>VLOOKUP(A200,Data_NV!$A:$C,3,0)</f>
        <v xml:space="preserve"> Nguyễn Thiên Thanh    </v>
      </c>
      <c r="T200" t="str">
        <f>VLOOKUP(A200,Data_NV!$A:$E,4,0)</f>
        <v>Vận Hành</v>
      </c>
      <c r="U200" s="67">
        <f>DATEVALUE(Table2[[#This Row],[Ngày]])</f>
        <v>45918</v>
      </c>
      <c r="V200" t="str">
        <f>VLOOKUP(A200,Data_NV!$A:$E,5,0)</f>
        <v>Đang làm việc</v>
      </c>
      <c r="W200" s="11">
        <f>VLOOKUP(A200,Data_NV!$A:$I,8,0)</f>
        <v>0.33333333333333331</v>
      </c>
      <c r="X200" s="11">
        <f>VLOOKUP(A200,Data_NV!$A:$I,9,0)</f>
        <v>0.70833333333333337</v>
      </c>
      <c r="Y200" s="11">
        <f>IFERROR(TIMEVALUE(Table2[[#This Row],[Vào]]),0)</f>
        <v>0.31605324074074076</v>
      </c>
      <c r="Z200" s="11">
        <f>IFERROR(TIMEVALUE(Table2[[#This Row],[Ra]]),0)</f>
        <v>0.7661458333333333</v>
      </c>
      <c r="AA200" t="str">
        <f t="shared" si="19"/>
        <v>x</v>
      </c>
      <c r="AB200" s="14">
        <f t="shared" si="17"/>
        <v>0</v>
      </c>
      <c r="AC200" s="14" t="str">
        <f>IF(VLOOKUP(A200,Data_NV!$A:$I,7,0)="Không","",IF(OR(AND(Y200=0,Z200=0),AND(Y200&lt;&gt;0,Z200&lt;&gt;0)),"","Quên chấm công"))</f>
        <v/>
      </c>
      <c r="AD200" s="14">
        <f>IF(VLOOKUP(A200,Data_NV!$A:$I,7,0)="Không",0,IF(AND(Y200=0,Z200=0),0,IF(X200&lt;=Z200,0,ROUNDDOWN((X200-Z200)*24*60,0))))</f>
        <v>0</v>
      </c>
      <c r="AE200" s="14">
        <f>IF(VLOOKUP(A200,Data_NV!$A:$I,6,0)="Không",0,IF(Z200&lt;=X200,0,ROUNDDOWN((Z200-X200)*24*60,0)))</f>
        <v>83</v>
      </c>
      <c r="AF200" s="29">
        <f t="shared" si="18"/>
        <v>0</v>
      </c>
      <c r="AG200" s="30" t="str">
        <f>IF(AC200="","",IF(COUNTIFS($AC$3:AC200,"Quên chấm công",$S$3:S200,S200)&gt;3,"Không chấm công do vi phạm quá 3 lần",IF(COUNTIFS($AC$3:AC200,"Quên chấm công",$S$3:S200,S200)&gt;2,"Trừ toàn bộ chuyên cần tháng do vi phạm lần 3",IF(COUNTIFS($AC$3:AC200,"Quên chấm công",$S$3:S200,S200)&gt;1,"Trừ 1/2 ngày lương",50000))))</f>
        <v/>
      </c>
      <c r="AH200" s="14" t="str">
        <f>IF(COUNTIFS($AF$3:AF200,"&gt;0",$S$3:S200,S200)&gt;3,"Trừ toàn bộ chuyên cần tháng","")</f>
        <v/>
      </c>
      <c r="AI200" s="14"/>
      <c r="AJ200" s="14"/>
    </row>
    <row r="201" spans="1:36" x14ac:dyDescent="0.25">
      <c r="A201" s="4" t="s">
        <v>322</v>
      </c>
      <c r="B201" s="1" t="s">
        <v>323</v>
      </c>
      <c r="C201" s="1" t="s">
        <v>20</v>
      </c>
      <c r="D201" s="1" t="s">
        <v>95</v>
      </c>
      <c r="E201" s="1" t="s">
        <v>22</v>
      </c>
      <c r="F201" s="1" t="s">
        <v>23</v>
      </c>
      <c r="G201" s="1" t="s">
        <v>29</v>
      </c>
      <c r="H201" s="12" t="s">
        <v>360</v>
      </c>
      <c r="I201" s="1" t="s">
        <v>361</v>
      </c>
      <c r="J201" s="1" t="s">
        <v>25</v>
      </c>
      <c r="K201" s="1" t="s">
        <v>362</v>
      </c>
      <c r="L201" s="1" t="s">
        <v>25</v>
      </c>
      <c r="M201" s="1" t="s">
        <v>26</v>
      </c>
      <c r="N201" s="1" t="s">
        <v>25</v>
      </c>
      <c r="O201" s="1" t="s">
        <v>363</v>
      </c>
      <c r="P201" s="1" t="s">
        <v>25</v>
      </c>
      <c r="Q201" s="1" t="s">
        <v>25</v>
      </c>
      <c r="R201" s="70" t="str">
        <f t="shared" si="16"/>
        <v>2345919</v>
      </c>
      <c r="S201" t="str">
        <f>VLOOKUP(A201,Data_NV!$A:$C,3,0)</f>
        <v xml:space="preserve"> Nguyễn Thiên Thanh    </v>
      </c>
      <c r="T201" t="str">
        <f>VLOOKUP(A201,Data_NV!$A:$E,4,0)</f>
        <v>Vận Hành</v>
      </c>
      <c r="U201" s="67">
        <f>DATEVALUE(Table2[[#This Row],[Ngày]])</f>
        <v>45919</v>
      </c>
      <c r="V201" t="str">
        <f>VLOOKUP(A201,Data_NV!$A:$E,5,0)</f>
        <v>Đang làm việc</v>
      </c>
      <c r="W201" s="11">
        <f>VLOOKUP(A201,Data_NV!$A:$I,8,0)</f>
        <v>0.33333333333333331</v>
      </c>
      <c r="X201" s="11">
        <f>VLOOKUP(A201,Data_NV!$A:$I,9,0)</f>
        <v>0.70833333333333337</v>
      </c>
      <c r="Y201" s="11">
        <f>IFERROR(TIMEVALUE(Table2[[#This Row],[Vào]]),0)</f>
        <v>0.31369212962962961</v>
      </c>
      <c r="Z201" s="11">
        <f>IFERROR(TIMEVALUE(Table2[[#This Row],[Ra]]),0)</f>
        <v>0.75133101851851847</v>
      </c>
      <c r="AA201" t="str">
        <f t="shared" si="19"/>
        <v>x</v>
      </c>
      <c r="AB201" s="14">
        <f t="shared" si="17"/>
        <v>0</v>
      </c>
      <c r="AC201" s="14" t="str">
        <f>IF(VLOOKUP(A201,Data_NV!$A:$I,7,0)="Không","",IF(OR(AND(Y201=0,Z201=0),AND(Y201&lt;&gt;0,Z201&lt;&gt;0)),"","Quên chấm công"))</f>
        <v/>
      </c>
      <c r="AD201" s="14">
        <f>IF(VLOOKUP(A201,Data_NV!$A:$I,7,0)="Không",0,IF(AND(Y201=0,Z201=0),0,IF(X201&lt;=Z201,0,ROUNDDOWN((X201-Z201)*24*60,0))))</f>
        <v>0</v>
      </c>
      <c r="AE201" s="14">
        <f>IF(VLOOKUP(A201,Data_NV!$A:$I,6,0)="Không",0,IF(Z201&lt;=X201,0,ROUNDDOWN((Z201-X201)*24*60,0)))</f>
        <v>61</v>
      </c>
      <c r="AF201" s="29">
        <f t="shared" si="18"/>
        <v>0</v>
      </c>
      <c r="AG201" s="30" t="str">
        <f>IF(AC201="","",IF(COUNTIFS($AC$3:AC201,"Quên chấm công",$S$3:S201,S201)&gt;3,"Không chấm công do vi phạm quá 3 lần",IF(COUNTIFS($AC$3:AC201,"Quên chấm công",$S$3:S201,S201)&gt;2,"Trừ toàn bộ chuyên cần tháng do vi phạm lần 3",IF(COUNTIFS($AC$3:AC201,"Quên chấm công",$S$3:S201,S201)&gt;1,"Trừ 1/2 ngày lương",50000))))</f>
        <v/>
      </c>
      <c r="AH201" s="14" t="str">
        <f>IF(COUNTIFS($AF$3:AF201,"&gt;0",$S$3:S201,S201)&gt;3,"Trừ toàn bộ chuyên cần tháng","")</f>
        <v/>
      </c>
      <c r="AI201" s="14"/>
      <c r="AJ201" s="14"/>
    </row>
    <row r="202" spans="1:36" x14ac:dyDescent="0.25">
      <c r="A202" s="4" t="s">
        <v>322</v>
      </c>
      <c r="B202" s="1" t="s">
        <v>323</v>
      </c>
      <c r="C202" s="1" t="s">
        <v>20</v>
      </c>
      <c r="D202" s="1" t="s">
        <v>100</v>
      </c>
      <c r="E202" s="1" t="s">
        <v>22</v>
      </c>
      <c r="F202" s="1" t="s">
        <v>23</v>
      </c>
      <c r="G202" s="1" t="s">
        <v>29</v>
      </c>
      <c r="H202" s="12" t="s">
        <v>364</v>
      </c>
      <c r="I202" s="1" t="s">
        <v>365</v>
      </c>
      <c r="J202" s="1" t="s">
        <v>25</v>
      </c>
      <c r="K202" s="1" t="s">
        <v>366</v>
      </c>
      <c r="L202" s="1" t="s">
        <v>25</v>
      </c>
      <c r="M202" s="1" t="s">
        <v>26</v>
      </c>
      <c r="N202" s="1" t="s">
        <v>25</v>
      </c>
      <c r="O202" s="1" t="s">
        <v>367</v>
      </c>
      <c r="P202" s="1" t="s">
        <v>25</v>
      </c>
      <c r="Q202" s="1" t="s">
        <v>25</v>
      </c>
      <c r="R202" s="70" t="str">
        <f t="shared" si="16"/>
        <v>2345920</v>
      </c>
      <c r="S202" t="str">
        <f>VLOOKUP(A202,Data_NV!$A:$C,3,0)</f>
        <v xml:space="preserve"> Nguyễn Thiên Thanh    </v>
      </c>
      <c r="T202" t="str">
        <f>VLOOKUP(A202,Data_NV!$A:$E,4,0)</f>
        <v>Vận Hành</v>
      </c>
      <c r="U202" s="67">
        <f>DATEVALUE(Table2[[#This Row],[Ngày]])</f>
        <v>45920</v>
      </c>
      <c r="V202" t="str">
        <f>VLOOKUP(A202,Data_NV!$A:$E,5,0)</f>
        <v>Đang làm việc</v>
      </c>
      <c r="W202" s="11">
        <f>VLOOKUP(A202,Data_NV!$A:$I,8,0)</f>
        <v>0.33333333333333331</v>
      </c>
      <c r="X202" s="11">
        <f>VLOOKUP(A202,Data_NV!$A:$I,9,0)</f>
        <v>0.70833333333333337</v>
      </c>
      <c r="Y202" s="11">
        <f>IFERROR(TIMEVALUE(Table2[[#This Row],[Vào]]),0)</f>
        <v>0.3125</v>
      </c>
      <c r="Z202" s="11">
        <f>IFERROR(TIMEVALUE(Table2[[#This Row],[Ra]]),0)</f>
        <v>0.73886574074074074</v>
      </c>
      <c r="AA202" t="str">
        <f t="shared" si="19"/>
        <v>x</v>
      </c>
      <c r="AB202" s="14">
        <f t="shared" si="17"/>
        <v>0</v>
      </c>
      <c r="AC202" s="14" t="str">
        <f>IF(VLOOKUP(A202,Data_NV!$A:$I,7,0)="Không","",IF(OR(AND(Y202=0,Z202=0),AND(Y202&lt;&gt;0,Z202&lt;&gt;0)),"","Quên chấm công"))</f>
        <v/>
      </c>
      <c r="AD202" s="14">
        <f>IF(VLOOKUP(A202,Data_NV!$A:$I,7,0)="Không",0,IF(AND(Y202=0,Z202=0),0,IF(X202&lt;=Z202,0,ROUNDDOWN((X202-Z202)*24*60,0))))</f>
        <v>0</v>
      </c>
      <c r="AE202" s="14">
        <f>IF(VLOOKUP(A202,Data_NV!$A:$I,6,0)="Không",0,IF(Z202&lt;=X202,0,ROUNDDOWN((Z202-X202)*24*60,0)))</f>
        <v>43</v>
      </c>
      <c r="AF202" s="29">
        <f t="shared" si="18"/>
        <v>0</v>
      </c>
      <c r="AG202" s="30" t="str">
        <f>IF(AC202="","",IF(COUNTIFS($AC$3:AC202,"Quên chấm công",$S$3:S202,S202)&gt;3,"Không chấm công do vi phạm quá 3 lần",IF(COUNTIFS($AC$3:AC202,"Quên chấm công",$S$3:S202,S202)&gt;2,"Trừ toàn bộ chuyên cần tháng do vi phạm lần 3",IF(COUNTIFS($AC$3:AC202,"Quên chấm công",$S$3:S202,S202)&gt;1,"Trừ 1/2 ngày lương",50000))))</f>
        <v/>
      </c>
      <c r="AH202" s="14" t="str">
        <f>IF(COUNTIFS($AF$3:AF202,"&gt;0",$S$3:S202,S202)&gt;3,"Trừ toàn bộ chuyên cần tháng","")</f>
        <v/>
      </c>
      <c r="AI202" s="14"/>
      <c r="AJ202" s="14"/>
    </row>
    <row r="203" spans="1:36" x14ac:dyDescent="0.25">
      <c r="A203" s="4" t="s">
        <v>322</v>
      </c>
      <c r="B203" s="1" t="s">
        <v>323</v>
      </c>
      <c r="C203" s="1" t="s">
        <v>20</v>
      </c>
      <c r="D203" s="1" t="s">
        <v>105</v>
      </c>
      <c r="E203" s="1" t="s">
        <v>22</v>
      </c>
      <c r="F203" s="1" t="s">
        <v>23</v>
      </c>
      <c r="G203" s="1" t="s">
        <v>12</v>
      </c>
      <c r="H203" s="12" t="s">
        <v>24</v>
      </c>
      <c r="I203" s="1" t="s">
        <v>24</v>
      </c>
      <c r="J203" s="1" t="s">
        <v>25</v>
      </c>
      <c r="K203" s="1" t="s">
        <v>25</v>
      </c>
      <c r="L203" s="1" t="s">
        <v>26</v>
      </c>
      <c r="M203" s="1" t="s">
        <v>25</v>
      </c>
      <c r="N203" s="1" t="s">
        <v>25</v>
      </c>
      <c r="O203" s="1" t="s">
        <v>25</v>
      </c>
      <c r="P203" s="1" t="s">
        <v>25</v>
      </c>
      <c r="Q203" s="1" t="s">
        <v>25</v>
      </c>
      <c r="R203" s="70" t="str">
        <f t="shared" si="16"/>
        <v>2345921</v>
      </c>
      <c r="S203" t="str">
        <f>VLOOKUP(A203,Data_NV!$A:$C,3,0)</f>
        <v xml:space="preserve"> Nguyễn Thiên Thanh    </v>
      </c>
      <c r="T203" t="str">
        <f>VLOOKUP(A203,Data_NV!$A:$E,4,0)</f>
        <v>Vận Hành</v>
      </c>
      <c r="U203" s="67">
        <f>DATEVALUE(Table2[[#This Row],[Ngày]])</f>
        <v>45921</v>
      </c>
      <c r="V203" t="str">
        <f>VLOOKUP(A203,Data_NV!$A:$E,5,0)</f>
        <v>Đang làm việc</v>
      </c>
      <c r="W203" s="11">
        <f>VLOOKUP(A203,Data_NV!$A:$I,8,0)</f>
        <v>0.33333333333333331</v>
      </c>
      <c r="X203" s="11">
        <f>VLOOKUP(A203,Data_NV!$A:$I,9,0)</f>
        <v>0.70833333333333337</v>
      </c>
      <c r="Y203" s="11">
        <f>IFERROR(TIMEVALUE(Table2[[#This Row],[Vào]]),0)</f>
        <v>0</v>
      </c>
      <c r="Z203" s="11">
        <f>IFERROR(TIMEVALUE(Table2[[#This Row],[Ra]]),0)</f>
        <v>0</v>
      </c>
      <c r="AA203" t="str">
        <f t="shared" si="19"/>
        <v/>
      </c>
      <c r="AB203" s="14">
        <f t="shared" si="17"/>
        <v>0</v>
      </c>
      <c r="AC203" s="14" t="str">
        <f>IF(VLOOKUP(A203,Data_NV!$A:$I,7,0)="Không","",IF(OR(AND(Y203=0,Z203=0),AND(Y203&lt;&gt;0,Z203&lt;&gt;0)),"","Quên chấm công"))</f>
        <v/>
      </c>
      <c r="AD203" s="14">
        <f>IF(VLOOKUP(A203,Data_NV!$A:$I,7,0)="Không",0,IF(AND(Y203=0,Z203=0),0,IF(X203&lt;=Z203,0,ROUNDDOWN((X203-Z203)*24*60,0))))</f>
        <v>0</v>
      </c>
      <c r="AE203" s="14">
        <f>IF(VLOOKUP(A203,Data_NV!$A:$I,6,0)="Không",0,IF(Z203&lt;=X203,0,ROUNDDOWN((Z203-X203)*24*60,0)))</f>
        <v>0</v>
      </c>
      <c r="AF203" s="29">
        <f t="shared" si="18"/>
        <v>0</v>
      </c>
      <c r="AG203" s="30" t="str">
        <f>IF(AC203="","",IF(COUNTIFS($AC$3:AC203,"Quên chấm công",$S$3:S203,S203)&gt;3,"Không chấm công do vi phạm quá 3 lần",IF(COUNTIFS($AC$3:AC203,"Quên chấm công",$S$3:S203,S203)&gt;2,"Trừ toàn bộ chuyên cần tháng do vi phạm lần 3",IF(COUNTIFS($AC$3:AC203,"Quên chấm công",$S$3:S203,S203)&gt;1,"Trừ 1/2 ngày lương",50000))))</f>
        <v/>
      </c>
      <c r="AH203" s="14" t="str">
        <f>IF(COUNTIFS($AF$3:AF203,"&gt;0",$S$3:S203,S203)&gt;3,"Trừ toàn bộ chuyên cần tháng","")</f>
        <v/>
      </c>
      <c r="AI203" s="14"/>
      <c r="AJ203" s="14"/>
    </row>
    <row r="204" spans="1:36" x14ac:dyDescent="0.25">
      <c r="A204" s="4" t="s">
        <v>322</v>
      </c>
      <c r="B204" s="1" t="s">
        <v>323</v>
      </c>
      <c r="C204" s="1" t="s">
        <v>20</v>
      </c>
      <c r="D204" s="1" t="s">
        <v>106</v>
      </c>
      <c r="E204" s="1" t="s">
        <v>22</v>
      </c>
      <c r="F204" s="1" t="s">
        <v>23</v>
      </c>
      <c r="G204" s="1" t="s">
        <v>29</v>
      </c>
      <c r="H204" s="12" t="s">
        <v>368</v>
      </c>
      <c r="I204" s="1" t="s">
        <v>369</v>
      </c>
      <c r="J204" s="1" t="s">
        <v>25</v>
      </c>
      <c r="K204" s="1" t="s">
        <v>88</v>
      </c>
      <c r="L204" s="1" t="s">
        <v>25</v>
      </c>
      <c r="M204" s="1" t="s">
        <v>26</v>
      </c>
      <c r="N204" s="1" t="s">
        <v>25</v>
      </c>
      <c r="O204" s="1" t="s">
        <v>89</v>
      </c>
      <c r="P204" s="1" t="s">
        <v>25</v>
      </c>
      <c r="Q204" s="1" t="s">
        <v>25</v>
      </c>
      <c r="R204" s="70" t="str">
        <f t="shared" si="16"/>
        <v>2345922</v>
      </c>
      <c r="S204" t="str">
        <f>VLOOKUP(A204,Data_NV!$A:$C,3,0)</f>
        <v xml:space="preserve"> Nguyễn Thiên Thanh    </v>
      </c>
      <c r="T204" t="str">
        <f>VLOOKUP(A204,Data_NV!$A:$E,4,0)</f>
        <v>Vận Hành</v>
      </c>
      <c r="U204" s="67">
        <f>DATEVALUE(Table2[[#This Row],[Ngày]])</f>
        <v>45922</v>
      </c>
      <c r="V204" t="str">
        <f>VLOOKUP(A204,Data_NV!$A:$E,5,0)</f>
        <v>Đang làm việc</v>
      </c>
      <c r="W204" s="11">
        <f>VLOOKUP(A204,Data_NV!$A:$I,8,0)</f>
        <v>0.33333333333333331</v>
      </c>
      <c r="X204" s="11">
        <f>VLOOKUP(A204,Data_NV!$A:$I,9,0)</f>
        <v>0.70833333333333337</v>
      </c>
      <c r="Y204" s="11">
        <f>IFERROR(TIMEVALUE(Table2[[#This Row],[Vào]]),0)</f>
        <v>0.31335648148148149</v>
      </c>
      <c r="Z204" s="11">
        <f>IFERROR(TIMEVALUE(Table2[[#This Row],[Ra]]),0)</f>
        <v>0.77386574074074077</v>
      </c>
      <c r="AA204" t="str">
        <f t="shared" si="19"/>
        <v>x</v>
      </c>
      <c r="AB204" s="14">
        <f t="shared" si="17"/>
        <v>0</v>
      </c>
      <c r="AC204" s="14" t="str">
        <f>IF(VLOOKUP(A204,Data_NV!$A:$I,7,0)="Không","",IF(OR(AND(Y204=0,Z204=0),AND(Y204&lt;&gt;0,Z204&lt;&gt;0)),"","Quên chấm công"))</f>
        <v/>
      </c>
      <c r="AD204" s="14">
        <f>IF(VLOOKUP(A204,Data_NV!$A:$I,7,0)="Không",0,IF(AND(Y204=0,Z204=0),0,IF(X204&lt;=Z204,0,ROUNDDOWN((X204-Z204)*24*60,0))))</f>
        <v>0</v>
      </c>
      <c r="AE204" s="14">
        <f>IF(VLOOKUP(A204,Data_NV!$A:$I,6,0)="Không",0,IF(Z204&lt;=X204,0,ROUNDDOWN((Z204-X204)*24*60,0)))</f>
        <v>94</v>
      </c>
      <c r="AF204" s="29">
        <f t="shared" si="18"/>
        <v>0</v>
      </c>
      <c r="AG204" s="30" t="str">
        <f>IF(AC204="","",IF(COUNTIFS($AC$3:AC204,"Quên chấm công",$S$3:S204,S204)&gt;3,"Không chấm công do vi phạm quá 3 lần",IF(COUNTIFS($AC$3:AC204,"Quên chấm công",$S$3:S204,S204)&gt;2,"Trừ toàn bộ chuyên cần tháng do vi phạm lần 3",IF(COUNTIFS($AC$3:AC204,"Quên chấm công",$S$3:S204,S204)&gt;1,"Trừ 1/2 ngày lương",50000))))</f>
        <v/>
      </c>
      <c r="AH204" s="14" t="str">
        <f>IF(COUNTIFS($AF$3:AF204,"&gt;0",$S$3:S204,S204)&gt;3,"Trừ toàn bộ chuyên cần tháng","")</f>
        <v/>
      </c>
      <c r="AI204" s="14"/>
      <c r="AJ204" s="14"/>
    </row>
    <row r="205" spans="1:36" x14ac:dyDescent="0.25">
      <c r="A205" s="4" t="s">
        <v>322</v>
      </c>
      <c r="B205" s="1" t="s">
        <v>323</v>
      </c>
      <c r="C205" s="1" t="s">
        <v>20</v>
      </c>
      <c r="D205" s="1" t="s">
        <v>111</v>
      </c>
      <c r="E205" s="1" t="s">
        <v>22</v>
      </c>
      <c r="F205" s="1" t="s">
        <v>23</v>
      </c>
      <c r="G205" s="1" t="s">
        <v>29</v>
      </c>
      <c r="H205" s="12" t="s">
        <v>370</v>
      </c>
      <c r="I205" s="1" t="s">
        <v>371</v>
      </c>
      <c r="J205" s="1" t="s">
        <v>25</v>
      </c>
      <c r="K205" s="1" t="s">
        <v>372</v>
      </c>
      <c r="L205" s="1" t="s">
        <v>25</v>
      </c>
      <c r="M205" s="1" t="s">
        <v>26</v>
      </c>
      <c r="N205" s="1" t="s">
        <v>25</v>
      </c>
      <c r="O205" s="1" t="s">
        <v>33</v>
      </c>
      <c r="P205" s="1" t="s">
        <v>373</v>
      </c>
      <c r="Q205" s="1" t="s">
        <v>25</v>
      </c>
      <c r="R205" s="70" t="str">
        <f t="shared" si="16"/>
        <v>2345923</v>
      </c>
      <c r="S205" t="str">
        <f>VLOOKUP(A205,Data_NV!$A:$C,3,0)</f>
        <v xml:space="preserve"> Nguyễn Thiên Thanh    </v>
      </c>
      <c r="T205" t="str">
        <f>VLOOKUP(A205,Data_NV!$A:$E,4,0)</f>
        <v>Vận Hành</v>
      </c>
      <c r="U205" s="67">
        <f>DATEVALUE(Table2[[#This Row],[Ngày]])</f>
        <v>45923</v>
      </c>
      <c r="V205" t="str">
        <f>VLOOKUP(A205,Data_NV!$A:$E,5,0)</f>
        <v>Đang làm việc</v>
      </c>
      <c r="W205" s="11">
        <f>VLOOKUP(A205,Data_NV!$A:$I,8,0)</f>
        <v>0.33333333333333331</v>
      </c>
      <c r="X205" s="11">
        <f>VLOOKUP(A205,Data_NV!$A:$I,9,0)</f>
        <v>0.70833333333333337</v>
      </c>
      <c r="Y205" s="11">
        <f>IFERROR(TIMEVALUE(Table2[[#This Row],[Vào]]),0)</f>
        <v>0.31229166666666669</v>
      </c>
      <c r="Z205" s="11">
        <f>IFERROR(TIMEVALUE(Table2[[#This Row],[Ra]]),0)</f>
        <v>0.8162152777777778</v>
      </c>
      <c r="AA205" t="str">
        <f t="shared" si="19"/>
        <v>x</v>
      </c>
      <c r="AB205" s="14">
        <f t="shared" si="17"/>
        <v>0</v>
      </c>
      <c r="AC205" s="14" t="str">
        <f>IF(VLOOKUP(A205,Data_NV!$A:$I,7,0)="Không","",IF(OR(AND(Y205=0,Z205=0),AND(Y205&lt;&gt;0,Z205&lt;&gt;0)),"","Quên chấm công"))</f>
        <v/>
      </c>
      <c r="AD205" s="14">
        <f>IF(VLOOKUP(A205,Data_NV!$A:$I,7,0)="Không",0,IF(AND(Y205=0,Z205=0),0,IF(X205&lt;=Z205,0,ROUNDDOWN((X205-Z205)*24*60,0))))</f>
        <v>0</v>
      </c>
      <c r="AE205" s="14">
        <f>IF(VLOOKUP(A205,Data_NV!$A:$I,6,0)="Không",0,IF(Z205&lt;=X205,0,ROUNDDOWN((Z205-X205)*24*60,0)))</f>
        <v>155</v>
      </c>
      <c r="AF205" s="29">
        <f t="shared" si="18"/>
        <v>0</v>
      </c>
      <c r="AG205" s="30" t="str">
        <f>IF(AC205="","",IF(COUNTIFS($AC$3:AC205,"Quên chấm công",$S$3:S205,S205)&gt;3,"Không chấm công do vi phạm quá 3 lần",IF(COUNTIFS($AC$3:AC205,"Quên chấm công",$S$3:S205,S205)&gt;2,"Trừ toàn bộ chuyên cần tháng do vi phạm lần 3",IF(COUNTIFS($AC$3:AC205,"Quên chấm công",$S$3:S205,S205)&gt;1,"Trừ 1/2 ngày lương",50000))))</f>
        <v/>
      </c>
      <c r="AH205" s="14" t="str">
        <f>IF(COUNTIFS($AF$3:AF205,"&gt;0",$S$3:S205,S205)&gt;3,"Trừ toàn bộ chuyên cần tháng","")</f>
        <v/>
      </c>
      <c r="AI205" s="14"/>
      <c r="AJ205" s="14"/>
    </row>
    <row r="206" spans="1:36" x14ac:dyDescent="0.25">
      <c r="A206" s="4" t="s">
        <v>322</v>
      </c>
      <c r="B206" s="1" t="s">
        <v>323</v>
      </c>
      <c r="C206" s="1" t="s">
        <v>20</v>
      </c>
      <c r="D206" s="1" t="s">
        <v>116</v>
      </c>
      <c r="E206" s="1" t="s">
        <v>22</v>
      </c>
      <c r="F206" s="1" t="s">
        <v>23</v>
      </c>
      <c r="G206" s="1" t="s">
        <v>29</v>
      </c>
      <c r="H206" s="12" t="s">
        <v>374</v>
      </c>
      <c r="I206" s="1" t="s">
        <v>375</v>
      </c>
      <c r="J206" s="1" t="s">
        <v>25</v>
      </c>
      <c r="K206" s="1" t="s">
        <v>376</v>
      </c>
      <c r="L206" s="1" t="s">
        <v>25</v>
      </c>
      <c r="M206" s="1" t="s">
        <v>26</v>
      </c>
      <c r="N206" s="1" t="s">
        <v>25</v>
      </c>
      <c r="O206" s="1" t="s">
        <v>33</v>
      </c>
      <c r="P206" s="1" t="s">
        <v>377</v>
      </c>
      <c r="Q206" s="1" t="s">
        <v>25</v>
      </c>
      <c r="R206" s="70" t="str">
        <f t="shared" si="16"/>
        <v>2345924</v>
      </c>
      <c r="S206" t="str">
        <f>VLOOKUP(A206,Data_NV!$A:$C,3,0)</f>
        <v xml:space="preserve"> Nguyễn Thiên Thanh    </v>
      </c>
      <c r="T206" t="str">
        <f>VLOOKUP(A206,Data_NV!$A:$E,4,0)</f>
        <v>Vận Hành</v>
      </c>
      <c r="U206" s="67">
        <f>DATEVALUE(Table2[[#This Row],[Ngày]])</f>
        <v>45924</v>
      </c>
      <c r="V206" t="str">
        <f>VLOOKUP(A206,Data_NV!$A:$E,5,0)</f>
        <v>Đang làm việc</v>
      </c>
      <c r="W206" s="11">
        <f>VLOOKUP(A206,Data_NV!$A:$I,8,0)</f>
        <v>0.33333333333333331</v>
      </c>
      <c r="X206" s="11">
        <f>VLOOKUP(A206,Data_NV!$A:$I,9,0)</f>
        <v>0.70833333333333337</v>
      </c>
      <c r="Y206" s="11">
        <f>IFERROR(TIMEVALUE(Table2[[#This Row],[Vào]]),0)</f>
        <v>0.31402777777777779</v>
      </c>
      <c r="Z206" s="11">
        <f>IFERROR(TIMEVALUE(Table2[[#This Row],[Ra]]),0)</f>
        <v>0.83944444444444444</v>
      </c>
      <c r="AA206" t="str">
        <f t="shared" si="19"/>
        <v>x</v>
      </c>
      <c r="AB206" s="14">
        <f t="shared" si="17"/>
        <v>0</v>
      </c>
      <c r="AC206" s="14" t="str">
        <f>IF(VLOOKUP(A206,Data_NV!$A:$I,7,0)="Không","",IF(OR(AND(Y206=0,Z206=0),AND(Y206&lt;&gt;0,Z206&lt;&gt;0)),"","Quên chấm công"))</f>
        <v/>
      </c>
      <c r="AD206" s="14">
        <f>IF(VLOOKUP(A206,Data_NV!$A:$I,7,0)="Không",0,IF(AND(Y206=0,Z206=0),0,IF(X206&lt;=Z206,0,ROUNDDOWN((X206-Z206)*24*60,0))))</f>
        <v>0</v>
      </c>
      <c r="AE206" s="14">
        <f>IF(VLOOKUP(A206,Data_NV!$A:$I,6,0)="Không",0,IF(Z206&lt;=X206,0,ROUNDDOWN((Z206-X206)*24*60,0)))</f>
        <v>188</v>
      </c>
      <c r="AF206" s="29">
        <f t="shared" si="18"/>
        <v>0</v>
      </c>
      <c r="AG206" s="30" t="str">
        <f>IF(AC206="","",IF(COUNTIFS($AC$3:AC206,"Quên chấm công",$S$3:S206,S206)&gt;3,"Không chấm công do vi phạm quá 3 lần",IF(COUNTIFS($AC$3:AC206,"Quên chấm công",$S$3:S206,S206)&gt;2,"Trừ toàn bộ chuyên cần tháng do vi phạm lần 3",IF(COUNTIFS($AC$3:AC206,"Quên chấm công",$S$3:S206,S206)&gt;1,"Trừ 1/2 ngày lương",50000))))</f>
        <v/>
      </c>
      <c r="AH206" s="14" t="str">
        <f>IF(COUNTIFS($AF$3:AF206,"&gt;0",$S$3:S206,S206)&gt;3,"Trừ toàn bộ chuyên cần tháng","")</f>
        <v/>
      </c>
      <c r="AI206" s="14"/>
      <c r="AJ206" s="14"/>
    </row>
    <row r="207" spans="1:36" x14ac:dyDescent="0.25">
      <c r="A207" s="4" t="s">
        <v>322</v>
      </c>
      <c r="B207" s="1" t="s">
        <v>323</v>
      </c>
      <c r="C207" s="1" t="s">
        <v>20</v>
      </c>
      <c r="D207" s="1" t="s">
        <v>121</v>
      </c>
      <c r="E207" s="1" t="s">
        <v>22</v>
      </c>
      <c r="F207" s="1" t="s">
        <v>23</v>
      </c>
      <c r="G207" s="1" t="s">
        <v>29</v>
      </c>
      <c r="H207" s="12" t="s">
        <v>378</v>
      </c>
      <c r="I207" s="1" t="s">
        <v>379</v>
      </c>
      <c r="J207" s="1" t="s">
        <v>25</v>
      </c>
      <c r="K207" s="1" t="s">
        <v>380</v>
      </c>
      <c r="L207" s="1" t="s">
        <v>25</v>
      </c>
      <c r="M207" s="1" t="s">
        <v>26</v>
      </c>
      <c r="N207" s="1" t="s">
        <v>25</v>
      </c>
      <c r="O207" s="1" t="s">
        <v>381</v>
      </c>
      <c r="P207" s="1" t="s">
        <v>25</v>
      </c>
      <c r="Q207" s="1" t="s">
        <v>25</v>
      </c>
      <c r="R207" s="70" t="str">
        <f t="shared" si="16"/>
        <v>2345925</v>
      </c>
      <c r="S207" t="str">
        <f>VLOOKUP(A207,Data_NV!$A:$C,3,0)</f>
        <v xml:space="preserve"> Nguyễn Thiên Thanh    </v>
      </c>
      <c r="T207" t="str">
        <f>VLOOKUP(A207,Data_NV!$A:$E,4,0)</f>
        <v>Vận Hành</v>
      </c>
      <c r="U207" s="67">
        <f>DATEVALUE(Table2[[#This Row],[Ngày]])</f>
        <v>45925</v>
      </c>
      <c r="V207" t="str">
        <f>VLOOKUP(A207,Data_NV!$A:$E,5,0)</f>
        <v>Đang làm việc</v>
      </c>
      <c r="W207" s="11">
        <f>VLOOKUP(A207,Data_NV!$A:$I,8,0)</f>
        <v>0.33333333333333331</v>
      </c>
      <c r="X207" s="11">
        <f>VLOOKUP(A207,Data_NV!$A:$I,9,0)</f>
        <v>0.70833333333333337</v>
      </c>
      <c r="Y207" s="11">
        <f>IFERROR(TIMEVALUE(Table2[[#This Row],[Vào]]),0)</f>
        <v>0.3132638888888889</v>
      </c>
      <c r="Z207" s="11">
        <f>IFERROR(TIMEVALUE(Table2[[#This Row],[Ra]]),0)</f>
        <v>0.76761574074074079</v>
      </c>
      <c r="AA207" t="str">
        <f t="shared" si="19"/>
        <v>x</v>
      </c>
      <c r="AB207" s="14">
        <f t="shared" si="17"/>
        <v>0</v>
      </c>
      <c r="AC207" s="14" t="str">
        <f>IF(VLOOKUP(A207,Data_NV!$A:$I,7,0)="Không","",IF(OR(AND(Y207=0,Z207=0),AND(Y207&lt;&gt;0,Z207&lt;&gt;0)),"","Quên chấm công"))</f>
        <v/>
      </c>
      <c r="AD207" s="14">
        <f>IF(VLOOKUP(A207,Data_NV!$A:$I,7,0)="Không",0,IF(AND(Y207=0,Z207=0),0,IF(X207&lt;=Z207,0,ROUNDDOWN((X207-Z207)*24*60,0))))</f>
        <v>0</v>
      </c>
      <c r="AE207" s="14">
        <f>IF(VLOOKUP(A207,Data_NV!$A:$I,6,0)="Không",0,IF(Z207&lt;=X207,0,ROUNDDOWN((Z207-X207)*24*60,0)))</f>
        <v>85</v>
      </c>
      <c r="AF207" s="29">
        <f t="shared" si="18"/>
        <v>0</v>
      </c>
      <c r="AG207" s="30" t="str">
        <f>IF(AC207="","",IF(COUNTIFS($AC$3:AC207,"Quên chấm công",$S$3:S207,S207)&gt;3,"Không chấm công do vi phạm quá 3 lần",IF(COUNTIFS($AC$3:AC207,"Quên chấm công",$S$3:S207,S207)&gt;2,"Trừ toàn bộ chuyên cần tháng do vi phạm lần 3",IF(COUNTIFS($AC$3:AC207,"Quên chấm công",$S$3:S207,S207)&gt;1,"Trừ 1/2 ngày lương",50000))))</f>
        <v/>
      </c>
      <c r="AH207" s="14" t="str">
        <f>IF(COUNTIFS($AF$3:AF207,"&gt;0",$S$3:S207,S207)&gt;3,"Trừ toàn bộ chuyên cần tháng","")</f>
        <v/>
      </c>
      <c r="AI207" s="14"/>
      <c r="AJ207" s="14"/>
    </row>
    <row r="208" spans="1:36" x14ac:dyDescent="0.25">
      <c r="A208" s="4" t="s">
        <v>322</v>
      </c>
      <c r="B208" s="1" t="s">
        <v>323</v>
      </c>
      <c r="C208" s="1" t="s">
        <v>20</v>
      </c>
      <c r="D208" s="1" t="s">
        <v>123</v>
      </c>
      <c r="E208" s="1" t="s">
        <v>22</v>
      </c>
      <c r="F208" s="1" t="s">
        <v>23</v>
      </c>
      <c r="G208" s="1" t="s">
        <v>29</v>
      </c>
      <c r="H208" s="12" t="s">
        <v>382</v>
      </c>
      <c r="I208" s="1" t="s">
        <v>383</v>
      </c>
      <c r="J208" s="1" t="s">
        <v>25</v>
      </c>
      <c r="K208" s="1" t="s">
        <v>45</v>
      </c>
      <c r="L208" s="1" t="s">
        <v>25</v>
      </c>
      <c r="M208" s="1" t="s">
        <v>26</v>
      </c>
      <c r="N208" s="1" t="s">
        <v>25</v>
      </c>
      <c r="O208" s="1" t="s">
        <v>46</v>
      </c>
      <c r="P208" s="1" t="s">
        <v>25</v>
      </c>
      <c r="Q208" s="1" t="s">
        <v>25</v>
      </c>
      <c r="R208" s="70" t="str">
        <f t="shared" si="16"/>
        <v>2345926</v>
      </c>
      <c r="S208" t="str">
        <f>VLOOKUP(A208,Data_NV!$A:$C,3,0)</f>
        <v xml:space="preserve"> Nguyễn Thiên Thanh    </v>
      </c>
      <c r="T208" t="str">
        <f>VLOOKUP(A208,Data_NV!$A:$E,4,0)</f>
        <v>Vận Hành</v>
      </c>
      <c r="U208" s="67">
        <f>DATEVALUE(Table2[[#This Row],[Ngày]])</f>
        <v>45926</v>
      </c>
      <c r="V208" t="str">
        <f>VLOOKUP(A208,Data_NV!$A:$E,5,0)</f>
        <v>Đang làm việc</v>
      </c>
      <c r="W208" s="11">
        <f>VLOOKUP(A208,Data_NV!$A:$I,8,0)</f>
        <v>0.33333333333333331</v>
      </c>
      <c r="X208" s="11">
        <f>VLOOKUP(A208,Data_NV!$A:$I,9,0)</f>
        <v>0.70833333333333337</v>
      </c>
      <c r="Y208" s="11">
        <f>IFERROR(TIMEVALUE(Table2[[#This Row],[Vào]]),0)</f>
        <v>0.31556712962962963</v>
      </c>
      <c r="Z208" s="11">
        <f>IFERROR(TIMEVALUE(Table2[[#This Row],[Ra]]),0)</f>
        <v>0.7431712962962963</v>
      </c>
      <c r="AA208" t="str">
        <f t="shared" si="19"/>
        <v>x</v>
      </c>
      <c r="AB208" s="14">
        <f t="shared" si="17"/>
        <v>0</v>
      </c>
      <c r="AC208" s="14" t="str">
        <f>IF(VLOOKUP(A208,Data_NV!$A:$I,7,0)="Không","",IF(OR(AND(Y208=0,Z208=0),AND(Y208&lt;&gt;0,Z208&lt;&gt;0)),"","Quên chấm công"))</f>
        <v/>
      </c>
      <c r="AD208" s="14">
        <f>IF(VLOOKUP(A208,Data_NV!$A:$I,7,0)="Không",0,IF(AND(Y208=0,Z208=0),0,IF(X208&lt;=Z208,0,ROUNDDOWN((X208-Z208)*24*60,0))))</f>
        <v>0</v>
      </c>
      <c r="AE208" s="14">
        <f>IF(VLOOKUP(A208,Data_NV!$A:$I,6,0)="Không",0,IF(Z208&lt;=X208,0,ROUNDDOWN((Z208-X208)*24*60,0)))</f>
        <v>50</v>
      </c>
      <c r="AF208" s="29">
        <f t="shared" si="18"/>
        <v>0</v>
      </c>
      <c r="AG208" s="30" t="str">
        <f>IF(AC208="","",IF(COUNTIFS($AC$3:AC208,"Quên chấm công",$S$3:S208,S208)&gt;3,"Không chấm công do vi phạm quá 3 lần",IF(COUNTIFS($AC$3:AC208,"Quên chấm công",$S$3:S208,S208)&gt;2,"Trừ toàn bộ chuyên cần tháng do vi phạm lần 3",IF(COUNTIFS($AC$3:AC208,"Quên chấm công",$S$3:S208,S208)&gt;1,"Trừ 1/2 ngày lương",50000))))</f>
        <v/>
      </c>
      <c r="AH208" s="14" t="str">
        <f>IF(COUNTIFS($AF$3:AF208,"&gt;0",$S$3:S208,S208)&gt;3,"Trừ toàn bộ chuyên cần tháng","")</f>
        <v/>
      </c>
      <c r="AI208" s="14"/>
      <c r="AJ208" s="14"/>
    </row>
    <row r="209" spans="1:36" x14ac:dyDescent="0.25">
      <c r="A209" s="4" t="s">
        <v>322</v>
      </c>
      <c r="B209" s="1" t="s">
        <v>323</v>
      </c>
      <c r="C209" s="1" t="s">
        <v>20</v>
      </c>
      <c r="D209" s="1" t="s">
        <v>125</v>
      </c>
      <c r="E209" s="1" t="s">
        <v>22</v>
      </c>
      <c r="F209" s="1" t="s">
        <v>23</v>
      </c>
      <c r="G209" s="1" t="s">
        <v>29</v>
      </c>
      <c r="H209" s="12" t="s">
        <v>384</v>
      </c>
      <c r="I209" s="1" t="s">
        <v>385</v>
      </c>
      <c r="J209" s="1" t="s">
        <v>25</v>
      </c>
      <c r="K209" s="1" t="s">
        <v>241</v>
      </c>
      <c r="L209" s="1" t="s">
        <v>25</v>
      </c>
      <c r="M209" s="1" t="s">
        <v>26</v>
      </c>
      <c r="N209" s="1" t="s">
        <v>25</v>
      </c>
      <c r="O209" s="1" t="s">
        <v>242</v>
      </c>
      <c r="P209" s="1" t="s">
        <v>25</v>
      </c>
      <c r="Q209" s="1" t="s">
        <v>25</v>
      </c>
      <c r="R209" s="70" t="str">
        <f t="shared" si="16"/>
        <v>2345927</v>
      </c>
      <c r="S209" t="str">
        <f>VLOOKUP(A209,Data_NV!$A:$C,3,0)</f>
        <v xml:space="preserve"> Nguyễn Thiên Thanh    </v>
      </c>
      <c r="T209" t="str">
        <f>VLOOKUP(A209,Data_NV!$A:$E,4,0)</f>
        <v>Vận Hành</v>
      </c>
      <c r="U209" s="67">
        <f>DATEVALUE(Table2[[#This Row],[Ngày]])</f>
        <v>45927</v>
      </c>
      <c r="V209" t="str">
        <f>VLOOKUP(A209,Data_NV!$A:$E,5,0)</f>
        <v>Đang làm việc</v>
      </c>
      <c r="W209" s="11">
        <f>VLOOKUP(A209,Data_NV!$A:$I,8,0)</f>
        <v>0.33333333333333331</v>
      </c>
      <c r="X209" s="11">
        <f>VLOOKUP(A209,Data_NV!$A:$I,9,0)</f>
        <v>0.70833333333333337</v>
      </c>
      <c r="Y209" s="11">
        <f>IFERROR(TIMEVALUE(Table2[[#This Row],[Vào]]),0)</f>
        <v>0.31240740740740741</v>
      </c>
      <c r="Z209" s="11">
        <f>IFERROR(TIMEVALUE(Table2[[#This Row],[Ra]]),0)</f>
        <v>0.73502314814814818</v>
      </c>
      <c r="AA209" t="str">
        <f t="shared" si="19"/>
        <v>x</v>
      </c>
      <c r="AB209" s="14">
        <f t="shared" si="17"/>
        <v>0</v>
      </c>
      <c r="AC209" s="14" t="str">
        <f>IF(VLOOKUP(A209,Data_NV!$A:$I,7,0)="Không","",IF(OR(AND(Y209=0,Z209=0),AND(Y209&lt;&gt;0,Z209&lt;&gt;0)),"","Quên chấm công"))</f>
        <v/>
      </c>
      <c r="AD209" s="14">
        <f>IF(VLOOKUP(A209,Data_NV!$A:$I,7,0)="Không",0,IF(AND(Y209=0,Z209=0),0,IF(X209&lt;=Z209,0,ROUNDDOWN((X209-Z209)*24*60,0))))</f>
        <v>0</v>
      </c>
      <c r="AE209" s="14">
        <f>IF(VLOOKUP(A209,Data_NV!$A:$I,6,0)="Không",0,IF(Z209&lt;=X209,0,ROUNDDOWN((Z209-X209)*24*60,0)))</f>
        <v>38</v>
      </c>
      <c r="AF209" s="29">
        <f t="shared" si="18"/>
        <v>0</v>
      </c>
      <c r="AG209" s="30" t="str">
        <f>IF(AC209="","",IF(COUNTIFS($AC$3:AC209,"Quên chấm công",$S$3:S209,S209)&gt;3,"Không chấm công do vi phạm quá 3 lần",IF(COUNTIFS($AC$3:AC209,"Quên chấm công",$S$3:S209,S209)&gt;2,"Trừ toàn bộ chuyên cần tháng do vi phạm lần 3",IF(COUNTIFS($AC$3:AC209,"Quên chấm công",$S$3:S209,S209)&gt;1,"Trừ 1/2 ngày lương",50000))))</f>
        <v/>
      </c>
      <c r="AH209" s="14" t="str">
        <f>IF(COUNTIFS($AF$3:AF209,"&gt;0",$S$3:S209,S209)&gt;3,"Trừ toàn bộ chuyên cần tháng","")</f>
        <v/>
      </c>
      <c r="AI209" s="14"/>
      <c r="AJ209" s="14"/>
    </row>
    <row r="210" spans="1:36" x14ac:dyDescent="0.25">
      <c r="A210" s="4" t="s">
        <v>322</v>
      </c>
      <c r="B210" s="1" t="s">
        <v>323</v>
      </c>
      <c r="C210" s="1" t="s">
        <v>20</v>
      </c>
      <c r="D210" s="1" t="s">
        <v>130</v>
      </c>
      <c r="E210" s="1" t="s">
        <v>22</v>
      </c>
      <c r="F210" s="1" t="s">
        <v>23</v>
      </c>
      <c r="G210" s="1" t="s">
        <v>12</v>
      </c>
      <c r="H210" s="12" t="s">
        <v>24</v>
      </c>
      <c r="I210" s="1" t="s">
        <v>24</v>
      </c>
      <c r="J210" s="1" t="s">
        <v>25</v>
      </c>
      <c r="K210" s="1" t="s">
        <v>25</v>
      </c>
      <c r="L210" s="1" t="s">
        <v>26</v>
      </c>
      <c r="M210" s="1" t="s">
        <v>25</v>
      </c>
      <c r="N210" s="1" t="s">
        <v>25</v>
      </c>
      <c r="O210" s="1" t="s">
        <v>25</v>
      </c>
      <c r="P210" s="1" t="s">
        <v>25</v>
      </c>
      <c r="Q210" s="1" t="s">
        <v>25</v>
      </c>
      <c r="R210" s="70" t="str">
        <f t="shared" si="16"/>
        <v>2345928</v>
      </c>
      <c r="S210" t="str">
        <f>VLOOKUP(A210,Data_NV!$A:$C,3,0)</f>
        <v xml:space="preserve"> Nguyễn Thiên Thanh    </v>
      </c>
      <c r="T210" t="str">
        <f>VLOOKUP(A210,Data_NV!$A:$E,4,0)</f>
        <v>Vận Hành</v>
      </c>
      <c r="U210" s="67">
        <f>DATEVALUE(Table2[[#This Row],[Ngày]])</f>
        <v>45928</v>
      </c>
      <c r="V210" t="str">
        <f>VLOOKUP(A210,Data_NV!$A:$E,5,0)</f>
        <v>Đang làm việc</v>
      </c>
      <c r="W210" s="11">
        <f>VLOOKUP(A210,Data_NV!$A:$I,8,0)</f>
        <v>0.33333333333333331</v>
      </c>
      <c r="X210" s="11">
        <f>VLOOKUP(A210,Data_NV!$A:$I,9,0)</f>
        <v>0.70833333333333337</v>
      </c>
      <c r="Y210" s="11">
        <f>IFERROR(TIMEVALUE(Table2[[#This Row],[Vào]]),0)</f>
        <v>0</v>
      </c>
      <c r="Z210" s="11">
        <f>IFERROR(TIMEVALUE(Table2[[#This Row],[Ra]]),0)</f>
        <v>0</v>
      </c>
      <c r="AA210" t="str">
        <f t="shared" si="19"/>
        <v/>
      </c>
      <c r="AB210" s="14">
        <f t="shared" si="17"/>
        <v>0</v>
      </c>
      <c r="AC210" s="14" t="str">
        <f>IF(VLOOKUP(A210,Data_NV!$A:$I,7,0)="Không","",IF(OR(AND(Y210=0,Z210=0),AND(Y210&lt;&gt;0,Z210&lt;&gt;0)),"","Quên chấm công"))</f>
        <v/>
      </c>
      <c r="AD210" s="14">
        <f>IF(VLOOKUP(A210,Data_NV!$A:$I,7,0)="Không",0,IF(AND(Y210=0,Z210=0),0,IF(X210&lt;=Z210,0,ROUNDDOWN((X210-Z210)*24*60,0))))</f>
        <v>0</v>
      </c>
      <c r="AE210" s="14">
        <f>IF(VLOOKUP(A210,Data_NV!$A:$I,6,0)="Không",0,IF(Z210&lt;=X210,0,ROUNDDOWN((Z210-X210)*24*60,0)))</f>
        <v>0</v>
      </c>
      <c r="AF210" s="29">
        <f t="shared" si="18"/>
        <v>0</v>
      </c>
      <c r="AG210" s="30" t="str">
        <f>IF(AC210="","",IF(COUNTIFS($AC$3:AC210,"Quên chấm công",$S$3:S210,S210)&gt;3,"Không chấm công do vi phạm quá 3 lần",IF(COUNTIFS($AC$3:AC210,"Quên chấm công",$S$3:S210,S210)&gt;2,"Trừ toàn bộ chuyên cần tháng do vi phạm lần 3",IF(COUNTIFS($AC$3:AC210,"Quên chấm công",$S$3:S210,S210)&gt;1,"Trừ 1/2 ngày lương",50000))))</f>
        <v/>
      </c>
      <c r="AH210" s="14" t="str">
        <f>IF(COUNTIFS($AF$3:AF210,"&gt;0",$S$3:S210,S210)&gt;3,"Trừ toàn bộ chuyên cần tháng","")</f>
        <v/>
      </c>
      <c r="AI210" s="14"/>
      <c r="AJ210" s="14"/>
    </row>
    <row r="211" spans="1:36" x14ac:dyDescent="0.25">
      <c r="A211" s="4" t="s">
        <v>322</v>
      </c>
      <c r="B211" s="1" t="s">
        <v>323</v>
      </c>
      <c r="C211" s="1" t="s">
        <v>20</v>
      </c>
      <c r="D211" s="1" t="s">
        <v>131</v>
      </c>
      <c r="E211" s="1" t="s">
        <v>22</v>
      </c>
      <c r="F211" s="1" t="s">
        <v>23</v>
      </c>
      <c r="G211" s="1" t="s">
        <v>29</v>
      </c>
      <c r="H211" s="12" t="s">
        <v>386</v>
      </c>
      <c r="I211" s="1" t="s">
        <v>387</v>
      </c>
      <c r="J211" s="1" t="s">
        <v>25</v>
      </c>
      <c r="K211" s="1" t="s">
        <v>315</v>
      </c>
      <c r="L211" s="1" t="s">
        <v>25</v>
      </c>
      <c r="M211" s="1" t="s">
        <v>26</v>
      </c>
      <c r="N211" s="1" t="s">
        <v>25</v>
      </c>
      <c r="O211" s="1" t="s">
        <v>33</v>
      </c>
      <c r="P211" s="1" t="s">
        <v>316</v>
      </c>
      <c r="Q211" s="1" t="s">
        <v>25</v>
      </c>
      <c r="R211" s="70" t="str">
        <f t="shared" si="16"/>
        <v>2345929</v>
      </c>
      <c r="S211" t="str">
        <f>VLOOKUP(A211,Data_NV!$A:$C,3,0)</f>
        <v xml:space="preserve"> Nguyễn Thiên Thanh    </v>
      </c>
      <c r="T211" t="str">
        <f>VLOOKUP(A211,Data_NV!$A:$E,4,0)</f>
        <v>Vận Hành</v>
      </c>
      <c r="U211" s="67">
        <f>DATEVALUE(Table2[[#This Row],[Ngày]])</f>
        <v>45929</v>
      </c>
      <c r="V211" t="str">
        <f>VLOOKUP(A211,Data_NV!$A:$E,5,0)</f>
        <v>Đang làm việc</v>
      </c>
      <c r="W211" s="11">
        <f>VLOOKUP(A211,Data_NV!$A:$I,8,0)</f>
        <v>0.33333333333333331</v>
      </c>
      <c r="X211" s="11">
        <f>VLOOKUP(A211,Data_NV!$A:$I,9,0)</f>
        <v>0.70833333333333337</v>
      </c>
      <c r="Y211" s="11">
        <f>IFERROR(TIMEVALUE(Table2[[#This Row],[Vào]]),0)</f>
        <v>0.31479166666666669</v>
      </c>
      <c r="Z211" s="11">
        <f>IFERROR(TIMEVALUE(Table2[[#This Row],[Ra]]),0)</f>
        <v>0.80061342592592588</v>
      </c>
      <c r="AA211" t="str">
        <f t="shared" si="19"/>
        <v>x</v>
      </c>
      <c r="AB211" s="14">
        <f t="shared" si="17"/>
        <v>0</v>
      </c>
      <c r="AC211" s="14" t="str">
        <f>IF(VLOOKUP(A211,Data_NV!$A:$I,7,0)="Không","",IF(OR(AND(Y211=0,Z211=0),AND(Y211&lt;&gt;0,Z211&lt;&gt;0)),"","Quên chấm công"))</f>
        <v/>
      </c>
      <c r="AD211" s="14">
        <f>IF(VLOOKUP(A211,Data_NV!$A:$I,7,0)="Không",0,IF(AND(Y211=0,Z211=0),0,IF(X211&lt;=Z211,0,ROUNDDOWN((X211-Z211)*24*60,0))))</f>
        <v>0</v>
      </c>
      <c r="AE211" s="14">
        <f>IF(VLOOKUP(A211,Data_NV!$A:$I,6,0)="Không",0,IF(Z211&lt;=X211,0,ROUNDDOWN((Z211-X211)*24*60,0)))</f>
        <v>132</v>
      </c>
      <c r="AF211" s="29">
        <f t="shared" si="18"/>
        <v>0</v>
      </c>
      <c r="AG211" s="30" t="str">
        <f>IF(AC211="","",IF(COUNTIFS($AC$3:AC211,"Quên chấm công",$S$3:S211,S211)&gt;3,"Không chấm công do vi phạm quá 3 lần",IF(COUNTIFS($AC$3:AC211,"Quên chấm công",$S$3:S211,S211)&gt;2,"Trừ toàn bộ chuyên cần tháng do vi phạm lần 3",IF(COUNTIFS($AC$3:AC211,"Quên chấm công",$S$3:S211,S211)&gt;1,"Trừ 1/2 ngày lương",50000))))</f>
        <v/>
      </c>
      <c r="AH211" s="14" t="str">
        <f>IF(COUNTIFS($AF$3:AF211,"&gt;0",$S$3:S211,S211)&gt;3,"Trừ toàn bộ chuyên cần tháng","")</f>
        <v/>
      </c>
      <c r="AI211" s="14"/>
      <c r="AJ211" s="14"/>
    </row>
    <row r="212" spans="1:36" x14ac:dyDescent="0.25">
      <c r="A212" s="4" t="s">
        <v>322</v>
      </c>
      <c r="B212" s="1" t="s">
        <v>323</v>
      </c>
      <c r="C212" s="1" t="s">
        <v>20</v>
      </c>
      <c r="D212" s="1" t="s">
        <v>136</v>
      </c>
      <c r="E212" s="1" t="s">
        <v>22</v>
      </c>
      <c r="F212" s="1" t="s">
        <v>23</v>
      </c>
      <c r="G212" s="1" t="s">
        <v>29</v>
      </c>
      <c r="H212" s="12" t="s">
        <v>374</v>
      </c>
      <c r="I212" s="1" t="s">
        <v>388</v>
      </c>
      <c r="J212" s="1" t="s">
        <v>25</v>
      </c>
      <c r="K212" s="1" t="s">
        <v>389</v>
      </c>
      <c r="L212" s="1" t="s">
        <v>25</v>
      </c>
      <c r="M212" s="1" t="s">
        <v>26</v>
      </c>
      <c r="N212" s="1" t="s">
        <v>25</v>
      </c>
      <c r="O212" s="1" t="s">
        <v>327</v>
      </c>
      <c r="P212" s="1" t="s">
        <v>25</v>
      </c>
      <c r="Q212" s="1" t="s">
        <v>25</v>
      </c>
      <c r="R212" s="70" t="str">
        <f t="shared" si="16"/>
        <v>2345930</v>
      </c>
      <c r="S212" t="str">
        <f>VLOOKUP(A212,Data_NV!$A:$C,3,0)</f>
        <v xml:space="preserve"> Nguyễn Thiên Thanh    </v>
      </c>
      <c r="T212" t="str">
        <f>VLOOKUP(A212,Data_NV!$A:$E,4,0)</f>
        <v>Vận Hành</v>
      </c>
      <c r="U212" s="67">
        <f>DATEVALUE(Table2[[#This Row],[Ngày]])</f>
        <v>45930</v>
      </c>
      <c r="V212" t="str">
        <f>VLOOKUP(A212,Data_NV!$A:$E,5,0)</f>
        <v>Đang làm việc</v>
      </c>
      <c r="W212" s="11">
        <f>VLOOKUP(A212,Data_NV!$A:$I,8,0)</f>
        <v>0.33333333333333331</v>
      </c>
      <c r="X212" s="11">
        <f>VLOOKUP(A212,Data_NV!$A:$I,9,0)</f>
        <v>0.70833333333333337</v>
      </c>
      <c r="Y212" s="11">
        <f>IFERROR(TIMEVALUE(Table2[[#This Row],[Vào]]),0)</f>
        <v>0.31402777777777779</v>
      </c>
      <c r="Z212" s="11">
        <f>IFERROR(TIMEVALUE(Table2[[#This Row],[Ra]]),0)</f>
        <v>0.77063657407407404</v>
      </c>
      <c r="AA212" t="str">
        <f t="shared" si="19"/>
        <v>x</v>
      </c>
      <c r="AB212" s="14">
        <f t="shared" si="17"/>
        <v>0</v>
      </c>
      <c r="AC212" s="14" t="str">
        <f>IF(VLOOKUP(A212,Data_NV!$A:$I,7,0)="Không","",IF(OR(AND(Y212=0,Z212=0),AND(Y212&lt;&gt;0,Z212&lt;&gt;0)),"","Quên chấm công"))</f>
        <v/>
      </c>
      <c r="AD212" s="14">
        <f>IF(VLOOKUP(A212,Data_NV!$A:$I,7,0)="Không",0,IF(AND(Y212=0,Z212=0),0,IF(X212&lt;=Z212,0,ROUNDDOWN((X212-Z212)*24*60,0))))</f>
        <v>0</v>
      </c>
      <c r="AE212" s="14">
        <f>IF(VLOOKUP(A212,Data_NV!$A:$I,6,0)="Không",0,IF(Z212&lt;=X212,0,ROUNDDOWN((Z212-X212)*24*60,0)))</f>
        <v>89</v>
      </c>
      <c r="AF212" s="29">
        <f t="shared" si="18"/>
        <v>0</v>
      </c>
      <c r="AG212" s="30" t="str">
        <f>IF(AC212="","",IF(COUNTIFS($AC$3:AC212,"Quên chấm công",$S$3:S212,S212)&gt;3,"Không chấm công do vi phạm quá 3 lần",IF(COUNTIFS($AC$3:AC212,"Quên chấm công",$S$3:S212,S212)&gt;2,"Trừ toàn bộ chuyên cần tháng do vi phạm lần 3",IF(COUNTIFS($AC$3:AC212,"Quên chấm công",$S$3:S212,S212)&gt;1,"Trừ 1/2 ngày lương",50000))))</f>
        <v/>
      </c>
      <c r="AH212" s="14" t="str">
        <f>IF(COUNTIFS($AF$3:AF212,"&gt;0",$S$3:S212,S212)&gt;3,"Trừ toàn bộ chuyên cần tháng","")</f>
        <v/>
      </c>
      <c r="AI212" s="14"/>
      <c r="AJ212" s="14"/>
    </row>
    <row r="213" spans="1:36" x14ac:dyDescent="0.25">
      <c r="A213" s="4" t="s">
        <v>390</v>
      </c>
      <c r="B213" s="1" t="s">
        <v>391</v>
      </c>
      <c r="C213" s="1" t="s">
        <v>20</v>
      </c>
      <c r="D213" s="1" t="s">
        <v>21</v>
      </c>
      <c r="E213" s="1" t="s">
        <v>22</v>
      </c>
      <c r="F213" s="1" t="s">
        <v>23</v>
      </c>
      <c r="G213" s="1" t="s">
        <v>12</v>
      </c>
      <c r="H213" s="12" t="s">
        <v>24</v>
      </c>
      <c r="I213" s="1" t="s">
        <v>24</v>
      </c>
      <c r="J213" s="1" t="s">
        <v>25</v>
      </c>
      <c r="K213" s="1" t="s">
        <v>25</v>
      </c>
      <c r="L213" s="1" t="s">
        <v>26</v>
      </c>
      <c r="M213" s="1" t="s">
        <v>25</v>
      </c>
      <c r="N213" s="1" t="s">
        <v>25</v>
      </c>
      <c r="O213" s="1" t="s">
        <v>25</v>
      </c>
      <c r="P213" s="1" t="s">
        <v>25</v>
      </c>
      <c r="Q213" s="1" t="s">
        <v>25</v>
      </c>
      <c r="R213" s="70" t="str">
        <f t="shared" si="16"/>
        <v>2445901</v>
      </c>
      <c r="S213" t="str">
        <f>VLOOKUP(A213,Data_NV!$A:$C,3,0)</f>
        <v xml:space="preserve"> Nguyễn Thiên Trang    </v>
      </c>
      <c r="T213" t="str">
        <f>VLOOKUP(A213,Data_NV!$A:$E,4,0)</f>
        <v>Vận Hành</v>
      </c>
      <c r="U213" s="67">
        <f>DATEVALUE(Table2[[#This Row],[Ngày]])</f>
        <v>45901</v>
      </c>
      <c r="V213" t="str">
        <f>VLOOKUP(A213,Data_NV!$A:$E,5,0)</f>
        <v>Đang làm việc</v>
      </c>
      <c r="W213" s="11">
        <f>VLOOKUP(A213,Data_NV!$A:$I,8,0)</f>
        <v>0.33333333333333331</v>
      </c>
      <c r="X213" s="11">
        <f>VLOOKUP(A213,Data_NV!$A:$I,9,0)</f>
        <v>0.70833333333333337</v>
      </c>
      <c r="Y213" s="11">
        <f>IFERROR(TIMEVALUE(Table2[[#This Row],[Vào]]),0)</f>
        <v>0</v>
      </c>
      <c r="Z213" s="11">
        <f>IFERROR(TIMEVALUE(Table2[[#This Row],[Ra]]),0)</f>
        <v>0</v>
      </c>
      <c r="AA213" s="10" t="s">
        <v>771</v>
      </c>
      <c r="AB213" s="14">
        <f t="shared" si="17"/>
        <v>0</v>
      </c>
      <c r="AC213" s="14" t="str">
        <f>IF(VLOOKUP(A213,Data_NV!$A:$I,7,0)="Không","",IF(OR(AND(Y213=0,Z213=0),AND(Y213&lt;&gt;0,Z213&lt;&gt;0)),"","Quên chấm công"))</f>
        <v/>
      </c>
      <c r="AD213" s="14">
        <f>IF(VLOOKUP(A213,Data_NV!$A:$I,7,0)="Không",0,IF(AND(Y213=0,Z213=0),0,IF(X213&lt;=Z213,0,ROUNDDOWN((X213-Z213)*24*60,0))))</f>
        <v>0</v>
      </c>
      <c r="AE213" s="14">
        <f>IF(VLOOKUP(A213,Data_NV!$A:$I,6,0)="Không",0,IF(Z213&lt;=X213,0,ROUNDDOWN((Z213-X213)*24*60,0)))</f>
        <v>0</v>
      </c>
      <c r="AF213" s="29">
        <f t="shared" si="18"/>
        <v>0</v>
      </c>
      <c r="AG213" s="30" t="str">
        <f>IF(AC213="","",IF(COUNTIFS($AC$3:AC213,"Quên chấm công",$S$3:S213,S213)&gt;3,"Không chấm công do vi phạm quá 3 lần",IF(COUNTIFS($AC$3:AC213,"Quên chấm công",$S$3:S213,S213)&gt;2,"Trừ toàn bộ chuyên cần tháng do vi phạm lần 3",IF(COUNTIFS($AC$3:AC213,"Quên chấm công",$S$3:S213,S213)&gt;1,"Trừ 1/2 ngày lương",50000))))</f>
        <v/>
      </c>
      <c r="AH213" s="14" t="str">
        <f>IF(COUNTIFS($AF$3:AF213,"&gt;0",$S$3:S213,S213)&gt;3,"Trừ toàn bộ chuyên cần tháng","")</f>
        <v/>
      </c>
      <c r="AI213" s="14"/>
      <c r="AJ213" s="14"/>
    </row>
    <row r="214" spans="1:36" x14ac:dyDescent="0.25">
      <c r="A214" s="4" t="s">
        <v>390</v>
      </c>
      <c r="B214" s="1" t="s">
        <v>391</v>
      </c>
      <c r="C214" s="1" t="s">
        <v>20</v>
      </c>
      <c r="D214" s="1" t="s">
        <v>27</v>
      </c>
      <c r="E214" s="1" t="s">
        <v>22</v>
      </c>
      <c r="F214" s="1" t="s">
        <v>23</v>
      </c>
      <c r="G214" s="1" t="s">
        <v>12</v>
      </c>
      <c r="H214" s="12" t="s">
        <v>24</v>
      </c>
      <c r="I214" s="1" t="s">
        <v>24</v>
      </c>
      <c r="J214" s="1" t="s">
        <v>25</v>
      </c>
      <c r="K214" s="1" t="s">
        <v>25</v>
      </c>
      <c r="L214" s="1" t="s">
        <v>26</v>
      </c>
      <c r="M214" s="1" t="s">
        <v>25</v>
      </c>
      <c r="N214" s="1" t="s">
        <v>25</v>
      </c>
      <c r="O214" s="1" t="s">
        <v>25</v>
      </c>
      <c r="P214" s="1" t="s">
        <v>25</v>
      </c>
      <c r="Q214" s="1" t="s">
        <v>25</v>
      </c>
      <c r="R214" s="70" t="str">
        <f t="shared" si="16"/>
        <v>2445902</v>
      </c>
      <c r="S214" t="str">
        <f>VLOOKUP(A214,Data_NV!$A:$C,3,0)</f>
        <v xml:space="preserve"> Nguyễn Thiên Trang    </v>
      </c>
      <c r="T214" t="str">
        <f>VLOOKUP(A214,Data_NV!$A:$E,4,0)</f>
        <v>Vận Hành</v>
      </c>
      <c r="U214" s="67">
        <f>DATEVALUE(Table2[[#This Row],[Ngày]])</f>
        <v>45902</v>
      </c>
      <c r="V214" t="str">
        <f>VLOOKUP(A214,Data_NV!$A:$E,5,0)</f>
        <v>Đang làm việc</v>
      </c>
      <c r="W214" s="11">
        <f>VLOOKUP(A214,Data_NV!$A:$I,8,0)</f>
        <v>0.33333333333333331</v>
      </c>
      <c r="X214" s="11">
        <f>VLOOKUP(A214,Data_NV!$A:$I,9,0)</f>
        <v>0.70833333333333337</v>
      </c>
      <c r="Y214" s="11">
        <f>IFERROR(TIMEVALUE(Table2[[#This Row],[Vào]]),0)</f>
        <v>0</v>
      </c>
      <c r="Z214" s="11">
        <f>IFERROR(TIMEVALUE(Table2[[#This Row],[Ra]]),0)</f>
        <v>0</v>
      </c>
      <c r="AA214" s="10" t="s">
        <v>771</v>
      </c>
      <c r="AB214" s="14">
        <f t="shared" si="17"/>
        <v>0</v>
      </c>
      <c r="AC214" s="14" t="str">
        <f>IF(VLOOKUP(A214,Data_NV!$A:$I,7,0)="Không","",IF(OR(AND(Y214=0,Z214=0),AND(Y214&lt;&gt;0,Z214&lt;&gt;0)),"","Quên chấm công"))</f>
        <v/>
      </c>
      <c r="AD214" s="14">
        <f>IF(VLOOKUP(A214,Data_NV!$A:$I,7,0)="Không",0,IF(AND(Y214=0,Z214=0),0,IF(X214&lt;=Z214,0,ROUNDDOWN((X214-Z214)*24*60,0))))</f>
        <v>0</v>
      </c>
      <c r="AE214" s="14">
        <f>IF(VLOOKUP(A214,Data_NV!$A:$I,6,0)="Không",0,IF(Z214&lt;=X214,0,ROUNDDOWN((Z214-X214)*24*60,0)))</f>
        <v>0</v>
      </c>
      <c r="AF214" s="29">
        <f t="shared" si="18"/>
        <v>0</v>
      </c>
      <c r="AG214" s="30" t="str">
        <f>IF(AC214="","",IF(COUNTIFS($AC$3:AC214,"Quên chấm công",$S$3:S214,S214)&gt;3,"Không chấm công do vi phạm quá 3 lần",IF(COUNTIFS($AC$3:AC214,"Quên chấm công",$S$3:S214,S214)&gt;2,"Trừ toàn bộ chuyên cần tháng do vi phạm lần 3",IF(COUNTIFS($AC$3:AC214,"Quên chấm công",$S$3:S214,S214)&gt;1,"Trừ 1/2 ngày lương",50000))))</f>
        <v/>
      </c>
      <c r="AH214" s="14" t="str">
        <f>IF(COUNTIFS($AF$3:AF214,"&gt;0",$S$3:S214,S214)&gt;3,"Trừ toàn bộ chuyên cần tháng","")</f>
        <v/>
      </c>
      <c r="AI214" s="14"/>
      <c r="AJ214" s="14"/>
    </row>
    <row r="215" spans="1:36" x14ac:dyDescent="0.25">
      <c r="A215" s="4" t="s">
        <v>390</v>
      </c>
      <c r="B215" s="1" t="s">
        <v>391</v>
      </c>
      <c r="C215" s="1" t="s">
        <v>20</v>
      </c>
      <c r="D215" s="1" t="s">
        <v>28</v>
      </c>
      <c r="E215" s="1" t="s">
        <v>22</v>
      </c>
      <c r="F215" s="1" t="s">
        <v>23</v>
      </c>
      <c r="G215" s="1" t="s">
        <v>29</v>
      </c>
      <c r="H215" s="12" t="s">
        <v>392</v>
      </c>
      <c r="I215" s="1" t="s">
        <v>393</v>
      </c>
      <c r="J215" s="1" t="s">
        <v>25</v>
      </c>
      <c r="K215" s="1" t="s">
        <v>326</v>
      </c>
      <c r="L215" s="1" t="s">
        <v>25</v>
      </c>
      <c r="M215" s="1" t="s">
        <v>26</v>
      </c>
      <c r="N215" s="1" t="s">
        <v>25</v>
      </c>
      <c r="O215" s="1" t="s">
        <v>33</v>
      </c>
      <c r="P215" s="1" t="s">
        <v>394</v>
      </c>
      <c r="Q215" s="1" t="s">
        <v>25</v>
      </c>
      <c r="R215" s="70" t="str">
        <f t="shared" si="16"/>
        <v>2445903</v>
      </c>
      <c r="S215" t="str">
        <f>VLOOKUP(A215,Data_NV!$A:$C,3,0)</f>
        <v xml:space="preserve"> Nguyễn Thiên Trang    </v>
      </c>
      <c r="T215" t="str">
        <f>VLOOKUP(A215,Data_NV!$A:$E,4,0)</f>
        <v>Vận Hành</v>
      </c>
      <c r="U215" s="67">
        <f>DATEVALUE(Table2[[#This Row],[Ngày]])</f>
        <v>45903</v>
      </c>
      <c r="V215" t="str">
        <f>VLOOKUP(A215,Data_NV!$A:$E,5,0)</f>
        <v>Đang làm việc</v>
      </c>
      <c r="W215" s="11">
        <f>VLOOKUP(A215,Data_NV!$A:$I,8,0)</f>
        <v>0.33333333333333331</v>
      </c>
      <c r="X215" s="11">
        <f>VLOOKUP(A215,Data_NV!$A:$I,9,0)</f>
        <v>0.70833333333333337</v>
      </c>
      <c r="Y215" s="11">
        <f>IFERROR(TIMEVALUE(Table2[[#This Row],[Vào]]),0)</f>
        <v>0.31018518518518517</v>
      </c>
      <c r="Z215" s="11">
        <f>IFERROR(TIMEVALUE(Table2[[#This Row],[Ra]]),0)</f>
        <v>0.82268518518518519</v>
      </c>
      <c r="AA215" t="str">
        <f t="shared" si="19"/>
        <v>x</v>
      </c>
      <c r="AB215" s="14">
        <f t="shared" si="17"/>
        <v>0</v>
      </c>
      <c r="AC215" s="14" t="str">
        <f>IF(VLOOKUP(A215,Data_NV!$A:$I,7,0)="Không","",IF(OR(AND(Y215=0,Z215=0),AND(Y215&lt;&gt;0,Z215&lt;&gt;0)),"","Quên chấm công"))</f>
        <v/>
      </c>
      <c r="AD215" s="14">
        <f>IF(VLOOKUP(A215,Data_NV!$A:$I,7,0)="Không",0,IF(AND(Y215=0,Z215=0),0,IF(X215&lt;=Z215,0,ROUNDDOWN((X215-Z215)*24*60,0))))</f>
        <v>0</v>
      </c>
      <c r="AE215" s="14">
        <f>IF(VLOOKUP(A215,Data_NV!$A:$I,6,0)="Không",0,IF(Z215&lt;=X215,0,ROUNDDOWN((Z215-X215)*24*60,0)))</f>
        <v>164</v>
      </c>
      <c r="AF215" s="29">
        <f t="shared" si="18"/>
        <v>0</v>
      </c>
      <c r="AG215" s="30" t="str">
        <f>IF(AC215="","",IF(COUNTIFS($AC$3:AC215,"Quên chấm công",$S$3:S215,S215)&gt;3,"Không chấm công do vi phạm quá 3 lần",IF(COUNTIFS($AC$3:AC215,"Quên chấm công",$S$3:S215,S215)&gt;2,"Trừ toàn bộ chuyên cần tháng do vi phạm lần 3",IF(COUNTIFS($AC$3:AC215,"Quên chấm công",$S$3:S215,S215)&gt;1,"Trừ 1/2 ngày lương",50000))))</f>
        <v/>
      </c>
      <c r="AH215" s="14" t="str">
        <f>IF(COUNTIFS($AF$3:AF215,"&gt;0",$S$3:S215,S215)&gt;3,"Trừ toàn bộ chuyên cần tháng","")</f>
        <v/>
      </c>
      <c r="AI215" s="14"/>
      <c r="AJ215" s="14"/>
    </row>
    <row r="216" spans="1:36" x14ac:dyDescent="0.25">
      <c r="A216" s="4" t="s">
        <v>390</v>
      </c>
      <c r="B216" s="1" t="s">
        <v>391</v>
      </c>
      <c r="C216" s="1" t="s">
        <v>20</v>
      </c>
      <c r="D216" s="1" t="s">
        <v>35</v>
      </c>
      <c r="E216" s="1" t="s">
        <v>22</v>
      </c>
      <c r="F216" s="1" t="s">
        <v>23</v>
      </c>
      <c r="G216" s="1" t="s">
        <v>29</v>
      </c>
      <c r="H216" s="12" t="s">
        <v>395</v>
      </c>
      <c r="I216" s="1" t="s">
        <v>396</v>
      </c>
      <c r="J216" s="1" t="s">
        <v>25</v>
      </c>
      <c r="K216" s="1" t="s">
        <v>88</v>
      </c>
      <c r="L216" s="1" t="s">
        <v>25</v>
      </c>
      <c r="M216" s="1" t="s">
        <v>26</v>
      </c>
      <c r="N216" s="1" t="s">
        <v>25</v>
      </c>
      <c r="O216" s="1" t="s">
        <v>89</v>
      </c>
      <c r="P216" s="1" t="s">
        <v>25</v>
      </c>
      <c r="Q216" s="1" t="s">
        <v>25</v>
      </c>
      <c r="R216" s="70" t="str">
        <f t="shared" si="16"/>
        <v>2445904</v>
      </c>
      <c r="S216" t="str">
        <f>VLOOKUP(A216,Data_NV!$A:$C,3,0)</f>
        <v xml:space="preserve"> Nguyễn Thiên Trang    </v>
      </c>
      <c r="T216" t="str">
        <f>VLOOKUP(A216,Data_NV!$A:$E,4,0)</f>
        <v>Vận Hành</v>
      </c>
      <c r="U216" s="67">
        <f>DATEVALUE(Table2[[#This Row],[Ngày]])</f>
        <v>45904</v>
      </c>
      <c r="V216" t="str">
        <f>VLOOKUP(A216,Data_NV!$A:$E,5,0)</f>
        <v>Đang làm việc</v>
      </c>
      <c r="W216" s="11">
        <f>VLOOKUP(A216,Data_NV!$A:$I,8,0)</f>
        <v>0.33333333333333331</v>
      </c>
      <c r="X216" s="11">
        <f>VLOOKUP(A216,Data_NV!$A:$I,9,0)</f>
        <v>0.70833333333333337</v>
      </c>
      <c r="Y216" s="11">
        <f>IFERROR(TIMEVALUE(Table2[[#This Row],[Vào]]),0)</f>
        <v>0.31490740740740741</v>
      </c>
      <c r="Z216" s="11">
        <f>IFERROR(TIMEVALUE(Table2[[#This Row],[Ra]]),0)</f>
        <v>0.77328703703703705</v>
      </c>
      <c r="AA216" t="str">
        <f t="shared" si="19"/>
        <v>x</v>
      </c>
      <c r="AB216" s="14">
        <f t="shared" si="17"/>
        <v>0</v>
      </c>
      <c r="AC216" s="14" t="str">
        <f>IF(VLOOKUP(A216,Data_NV!$A:$I,7,0)="Không","",IF(OR(AND(Y216=0,Z216=0),AND(Y216&lt;&gt;0,Z216&lt;&gt;0)),"","Quên chấm công"))</f>
        <v/>
      </c>
      <c r="AD216" s="14">
        <f>IF(VLOOKUP(A216,Data_NV!$A:$I,7,0)="Không",0,IF(AND(Y216=0,Z216=0),0,IF(X216&lt;=Z216,0,ROUNDDOWN((X216-Z216)*24*60,0))))</f>
        <v>0</v>
      </c>
      <c r="AE216" s="14">
        <f>IF(VLOOKUP(A216,Data_NV!$A:$I,6,0)="Không",0,IF(Z216&lt;=X216,0,ROUNDDOWN((Z216-X216)*24*60,0)))</f>
        <v>93</v>
      </c>
      <c r="AF216" s="29">
        <f t="shared" si="18"/>
        <v>0</v>
      </c>
      <c r="AG216" s="30" t="str">
        <f>IF(AC216="","",IF(COUNTIFS($AC$3:AC216,"Quên chấm công",$S$3:S216,S216)&gt;3,"Không chấm công do vi phạm quá 3 lần",IF(COUNTIFS($AC$3:AC216,"Quên chấm công",$S$3:S216,S216)&gt;2,"Trừ toàn bộ chuyên cần tháng do vi phạm lần 3",IF(COUNTIFS($AC$3:AC216,"Quên chấm công",$S$3:S216,S216)&gt;1,"Trừ 1/2 ngày lương",50000))))</f>
        <v/>
      </c>
      <c r="AH216" s="14" t="str">
        <f>IF(COUNTIFS($AF$3:AF216,"&gt;0",$S$3:S216,S216)&gt;3,"Trừ toàn bộ chuyên cần tháng","")</f>
        <v/>
      </c>
      <c r="AI216" s="14"/>
      <c r="AJ216" s="14"/>
    </row>
    <row r="217" spans="1:36" x14ac:dyDescent="0.25">
      <c r="A217" s="4" t="s">
        <v>390</v>
      </c>
      <c r="B217" s="1" t="s">
        <v>391</v>
      </c>
      <c r="C217" s="1" t="s">
        <v>20</v>
      </c>
      <c r="D217" s="1" t="s">
        <v>37</v>
      </c>
      <c r="E217" s="1" t="s">
        <v>22</v>
      </c>
      <c r="F217" s="1" t="s">
        <v>23</v>
      </c>
      <c r="G217" s="1" t="s">
        <v>29</v>
      </c>
      <c r="H217" s="12" t="s">
        <v>397</v>
      </c>
      <c r="I217" s="1" t="s">
        <v>398</v>
      </c>
      <c r="J217" s="1" t="s">
        <v>25</v>
      </c>
      <c r="K217" s="1" t="s">
        <v>72</v>
      </c>
      <c r="L217" s="1" t="s">
        <v>25</v>
      </c>
      <c r="M217" s="1" t="s">
        <v>26</v>
      </c>
      <c r="N217" s="1" t="s">
        <v>25</v>
      </c>
      <c r="O217" s="1" t="s">
        <v>73</v>
      </c>
      <c r="P217" s="1" t="s">
        <v>25</v>
      </c>
      <c r="Q217" s="1" t="s">
        <v>25</v>
      </c>
      <c r="R217" s="70" t="str">
        <f t="shared" si="16"/>
        <v>2445905</v>
      </c>
      <c r="S217" t="str">
        <f>VLOOKUP(A217,Data_NV!$A:$C,3,0)</f>
        <v xml:space="preserve"> Nguyễn Thiên Trang    </v>
      </c>
      <c r="T217" t="str">
        <f>VLOOKUP(A217,Data_NV!$A:$E,4,0)</f>
        <v>Vận Hành</v>
      </c>
      <c r="U217" s="67">
        <f>DATEVALUE(Table2[[#This Row],[Ngày]])</f>
        <v>45905</v>
      </c>
      <c r="V217" t="str">
        <f>VLOOKUP(A217,Data_NV!$A:$E,5,0)</f>
        <v>Đang làm việc</v>
      </c>
      <c r="W217" s="11">
        <f>VLOOKUP(A217,Data_NV!$A:$I,8,0)</f>
        <v>0.33333333333333331</v>
      </c>
      <c r="X217" s="11">
        <f>VLOOKUP(A217,Data_NV!$A:$I,9,0)</f>
        <v>0.70833333333333337</v>
      </c>
      <c r="Y217" s="11">
        <f>IFERROR(TIMEVALUE(Table2[[#This Row],[Vào]]),0)</f>
        <v>0.31571759259259258</v>
      </c>
      <c r="Z217" s="11">
        <f>IFERROR(TIMEVALUE(Table2[[#This Row],[Ra]]),0)</f>
        <v>0.74633101851851846</v>
      </c>
      <c r="AA217" t="str">
        <f t="shared" si="19"/>
        <v>x</v>
      </c>
      <c r="AB217" s="14">
        <f t="shared" si="17"/>
        <v>0</v>
      </c>
      <c r="AC217" s="14" t="str">
        <f>IF(VLOOKUP(A217,Data_NV!$A:$I,7,0)="Không","",IF(OR(AND(Y217=0,Z217=0),AND(Y217&lt;&gt;0,Z217&lt;&gt;0)),"","Quên chấm công"))</f>
        <v/>
      </c>
      <c r="AD217" s="14">
        <f>IF(VLOOKUP(A217,Data_NV!$A:$I,7,0)="Không",0,IF(AND(Y217=0,Z217=0),0,IF(X217&lt;=Z217,0,ROUNDDOWN((X217-Z217)*24*60,0))))</f>
        <v>0</v>
      </c>
      <c r="AE217" s="14">
        <f>IF(VLOOKUP(A217,Data_NV!$A:$I,6,0)="Không",0,IF(Z217&lt;=X217,0,ROUNDDOWN((Z217-X217)*24*60,0)))</f>
        <v>54</v>
      </c>
      <c r="AF217" s="29">
        <f t="shared" si="18"/>
        <v>0</v>
      </c>
      <c r="AG217" s="30" t="str">
        <f>IF(AC217="","",IF(COUNTIFS($AC$3:AC217,"Quên chấm công",$S$3:S217,S217)&gt;3,"Không chấm công do vi phạm quá 3 lần",IF(COUNTIFS($AC$3:AC217,"Quên chấm công",$S$3:S217,S217)&gt;2,"Trừ toàn bộ chuyên cần tháng do vi phạm lần 3",IF(COUNTIFS($AC$3:AC217,"Quên chấm công",$S$3:S217,S217)&gt;1,"Trừ 1/2 ngày lương",50000))))</f>
        <v/>
      </c>
      <c r="AH217" s="14" t="str">
        <f>IF(COUNTIFS($AF$3:AF217,"&gt;0",$S$3:S217,S217)&gt;3,"Trừ toàn bộ chuyên cần tháng","")</f>
        <v/>
      </c>
      <c r="AI217" s="14"/>
      <c r="AJ217" s="14"/>
    </row>
    <row r="218" spans="1:36" x14ac:dyDescent="0.25">
      <c r="A218" s="4" t="s">
        <v>390</v>
      </c>
      <c r="B218" s="1" t="s">
        <v>391</v>
      </c>
      <c r="C218" s="1" t="s">
        <v>20</v>
      </c>
      <c r="D218" s="1" t="s">
        <v>42</v>
      </c>
      <c r="E218" s="1" t="s">
        <v>22</v>
      </c>
      <c r="F218" s="1" t="s">
        <v>23</v>
      </c>
      <c r="G218" s="1" t="s">
        <v>29</v>
      </c>
      <c r="H218" s="12" t="s">
        <v>399</v>
      </c>
      <c r="I218" s="1" t="s">
        <v>400</v>
      </c>
      <c r="J218" s="1" t="s">
        <v>25</v>
      </c>
      <c r="K218" s="1" t="s">
        <v>401</v>
      </c>
      <c r="L218" s="1" t="s">
        <v>25</v>
      </c>
      <c r="M218" s="1" t="s">
        <v>26</v>
      </c>
      <c r="N218" s="1" t="s">
        <v>25</v>
      </c>
      <c r="O218" s="1" t="s">
        <v>402</v>
      </c>
      <c r="P218" s="1" t="s">
        <v>25</v>
      </c>
      <c r="Q218" s="1" t="s">
        <v>25</v>
      </c>
      <c r="R218" s="70" t="str">
        <f t="shared" si="16"/>
        <v>2445906</v>
      </c>
      <c r="S218" t="str">
        <f>VLOOKUP(A218,Data_NV!$A:$C,3,0)</f>
        <v xml:space="preserve"> Nguyễn Thiên Trang    </v>
      </c>
      <c r="T218" t="str">
        <f>VLOOKUP(A218,Data_NV!$A:$E,4,0)</f>
        <v>Vận Hành</v>
      </c>
      <c r="U218" s="67">
        <f>DATEVALUE(Table2[[#This Row],[Ngày]])</f>
        <v>45906</v>
      </c>
      <c r="V218" t="str">
        <f>VLOOKUP(A218,Data_NV!$A:$E,5,0)</f>
        <v>Đang làm việc</v>
      </c>
      <c r="W218" s="11">
        <f>VLOOKUP(A218,Data_NV!$A:$I,8,0)</f>
        <v>0.33333333333333331</v>
      </c>
      <c r="X218" s="11">
        <f>VLOOKUP(A218,Data_NV!$A:$I,9,0)</f>
        <v>0.70833333333333337</v>
      </c>
      <c r="Y218" s="11">
        <f>IFERROR(TIMEVALUE(Table2[[#This Row],[Vào]]),0)</f>
        <v>0.31376157407407407</v>
      </c>
      <c r="Z218" s="11">
        <f>IFERROR(TIMEVALUE(Table2[[#This Row],[Ra]]),0)</f>
        <v>0.77664351851851854</v>
      </c>
      <c r="AA218" t="str">
        <f t="shared" si="19"/>
        <v>x</v>
      </c>
      <c r="AB218" s="14">
        <f t="shared" si="17"/>
        <v>0</v>
      </c>
      <c r="AC218" s="14" t="str">
        <f>IF(VLOOKUP(A218,Data_NV!$A:$I,7,0)="Không","",IF(OR(AND(Y218=0,Z218=0),AND(Y218&lt;&gt;0,Z218&lt;&gt;0)),"","Quên chấm công"))</f>
        <v/>
      </c>
      <c r="AD218" s="14">
        <f>IF(VLOOKUP(A218,Data_NV!$A:$I,7,0)="Không",0,IF(AND(Y218=0,Z218=0),0,IF(X218&lt;=Z218,0,ROUNDDOWN((X218-Z218)*24*60,0))))</f>
        <v>0</v>
      </c>
      <c r="AE218" s="14">
        <f>IF(VLOOKUP(A218,Data_NV!$A:$I,6,0)="Không",0,IF(Z218&lt;=X218,0,ROUNDDOWN((Z218-X218)*24*60,0)))</f>
        <v>98</v>
      </c>
      <c r="AF218" s="29">
        <f t="shared" si="18"/>
        <v>0</v>
      </c>
      <c r="AG218" s="30" t="str">
        <f>IF(AC218="","",IF(COUNTIFS($AC$3:AC218,"Quên chấm công",$S$3:S218,S218)&gt;3,"Không chấm công do vi phạm quá 3 lần",IF(COUNTIFS($AC$3:AC218,"Quên chấm công",$S$3:S218,S218)&gt;2,"Trừ toàn bộ chuyên cần tháng do vi phạm lần 3",IF(COUNTIFS($AC$3:AC218,"Quên chấm công",$S$3:S218,S218)&gt;1,"Trừ 1/2 ngày lương",50000))))</f>
        <v/>
      </c>
      <c r="AH218" s="14" t="str">
        <f>IF(COUNTIFS($AF$3:AF218,"&gt;0",$S$3:S218,S218)&gt;3,"Trừ toàn bộ chuyên cần tháng","")</f>
        <v/>
      </c>
      <c r="AI218" s="14"/>
      <c r="AJ218" s="14"/>
    </row>
    <row r="219" spans="1:36" x14ac:dyDescent="0.25">
      <c r="A219" s="4" t="s">
        <v>390</v>
      </c>
      <c r="B219" s="1" t="s">
        <v>391</v>
      </c>
      <c r="C219" s="1" t="s">
        <v>20</v>
      </c>
      <c r="D219" s="1" t="s">
        <v>47</v>
      </c>
      <c r="E219" s="1" t="s">
        <v>22</v>
      </c>
      <c r="F219" s="1" t="s">
        <v>23</v>
      </c>
      <c r="G219" s="1" t="s">
        <v>12</v>
      </c>
      <c r="H219" s="12" t="s">
        <v>24</v>
      </c>
      <c r="I219" s="1" t="s">
        <v>24</v>
      </c>
      <c r="J219" s="1" t="s">
        <v>25</v>
      </c>
      <c r="K219" s="1" t="s">
        <v>25</v>
      </c>
      <c r="L219" s="1" t="s">
        <v>26</v>
      </c>
      <c r="M219" s="1" t="s">
        <v>25</v>
      </c>
      <c r="N219" s="1" t="s">
        <v>25</v>
      </c>
      <c r="O219" s="1" t="s">
        <v>25</v>
      </c>
      <c r="P219" s="1" t="s">
        <v>25</v>
      </c>
      <c r="Q219" s="1" t="s">
        <v>25</v>
      </c>
      <c r="R219" s="70" t="str">
        <f t="shared" si="16"/>
        <v>2445907</v>
      </c>
      <c r="S219" t="str">
        <f>VLOOKUP(A219,Data_NV!$A:$C,3,0)</f>
        <v xml:space="preserve"> Nguyễn Thiên Trang    </v>
      </c>
      <c r="T219" t="str">
        <f>VLOOKUP(A219,Data_NV!$A:$E,4,0)</f>
        <v>Vận Hành</v>
      </c>
      <c r="U219" s="67">
        <f>DATEVALUE(Table2[[#This Row],[Ngày]])</f>
        <v>45907</v>
      </c>
      <c r="V219" t="str">
        <f>VLOOKUP(A219,Data_NV!$A:$E,5,0)</f>
        <v>Đang làm việc</v>
      </c>
      <c r="W219" s="11">
        <f>VLOOKUP(A219,Data_NV!$A:$I,8,0)</f>
        <v>0.33333333333333331</v>
      </c>
      <c r="X219" s="11">
        <f>VLOOKUP(A219,Data_NV!$A:$I,9,0)</f>
        <v>0.70833333333333337</v>
      </c>
      <c r="Y219" s="11">
        <f>IFERROR(TIMEVALUE(Table2[[#This Row],[Vào]]),0)</f>
        <v>0</v>
      </c>
      <c r="Z219" s="11">
        <f>IFERROR(TIMEVALUE(Table2[[#This Row],[Ra]]),0)</f>
        <v>0</v>
      </c>
      <c r="AA219" t="str">
        <f t="shared" si="19"/>
        <v/>
      </c>
      <c r="AB219" s="14">
        <f t="shared" si="17"/>
        <v>0</v>
      </c>
      <c r="AC219" s="14" t="str">
        <f>IF(VLOOKUP(A219,Data_NV!$A:$I,7,0)="Không","",IF(OR(AND(Y219=0,Z219=0),AND(Y219&lt;&gt;0,Z219&lt;&gt;0)),"","Quên chấm công"))</f>
        <v/>
      </c>
      <c r="AD219" s="14">
        <f>IF(VLOOKUP(A219,Data_NV!$A:$I,7,0)="Không",0,IF(AND(Y219=0,Z219=0),0,IF(X219&lt;=Z219,0,ROUNDDOWN((X219-Z219)*24*60,0))))</f>
        <v>0</v>
      </c>
      <c r="AE219" s="14">
        <f>IF(VLOOKUP(A219,Data_NV!$A:$I,6,0)="Không",0,IF(Z219&lt;=X219,0,ROUNDDOWN((Z219-X219)*24*60,0)))</f>
        <v>0</v>
      </c>
      <c r="AF219" s="29">
        <f t="shared" si="18"/>
        <v>0</v>
      </c>
      <c r="AG219" s="30" t="str">
        <f>IF(AC219="","",IF(COUNTIFS($AC$3:AC219,"Quên chấm công",$S$3:S219,S219)&gt;3,"Không chấm công do vi phạm quá 3 lần",IF(COUNTIFS($AC$3:AC219,"Quên chấm công",$S$3:S219,S219)&gt;2,"Trừ toàn bộ chuyên cần tháng do vi phạm lần 3",IF(COUNTIFS($AC$3:AC219,"Quên chấm công",$S$3:S219,S219)&gt;1,"Trừ 1/2 ngày lương",50000))))</f>
        <v/>
      </c>
      <c r="AH219" s="14" t="str">
        <f>IF(COUNTIFS($AF$3:AF219,"&gt;0",$S$3:S219,S219)&gt;3,"Trừ toàn bộ chuyên cần tháng","")</f>
        <v/>
      </c>
      <c r="AI219" s="14"/>
      <c r="AJ219" s="14"/>
    </row>
    <row r="220" spans="1:36" x14ac:dyDescent="0.25">
      <c r="A220" s="4" t="s">
        <v>390</v>
      </c>
      <c r="B220" s="1" t="s">
        <v>391</v>
      </c>
      <c r="C220" s="1" t="s">
        <v>20</v>
      </c>
      <c r="D220" s="1" t="s">
        <v>48</v>
      </c>
      <c r="E220" s="1" t="s">
        <v>22</v>
      </c>
      <c r="F220" s="1" t="s">
        <v>23</v>
      </c>
      <c r="G220" s="1" t="s">
        <v>29</v>
      </c>
      <c r="H220" s="12" t="s">
        <v>403</v>
      </c>
      <c r="I220" s="1" t="s">
        <v>404</v>
      </c>
      <c r="J220" s="1" t="s">
        <v>25</v>
      </c>
      <c r="K220" s="1" t="s">
        <v>405</v>
      </c>
      <c r="L220" s="1" t="s">
        <v>25</v>
      </c>
      <c r="M220" s="1" t="s">
        <v>26</v>
      </c>
      <c r="N220" s="1" t="s">
        <v>25</v>
      </c>
      <c r="O220" s="1" t="s">
        <v>33</v>
      </c>
      <c r="P220" s="1" t="s">
        <v>406</v>
      </c>
      <c r="Q220" s="1" t="s">
        <v>25</v>
      </c>
      <c r="R220" s="70" t="str">
        <f t="shared" si="16"/>
        <v>2445908</v>
      </c>
      <c r="S220" t="str">
        <f>VLOOKUP(A220,Data_NV!$A:$C,3,0)</f>
        <v xml:space="preserve"> Nguyễn Thiên Trang    </v>
      </c>
      <c r="T220" t="str">
        <f>VLOOKUP(A220,Data_NV!$A:$E,4,0)</f>
        <v>Vận Hành</v>
      </c>
      <c r="U220" s="67">
        <f>DATEVALUE(Table2[[#This Row],[Ngày]])</f>
        <v>45908</v>
      </c>
      <c r="V220" t="str">
        <f>VLOOKUP(A220,Data_NV!$A:$E,5,0)</f>
        <v>Đang làm việc</v>
      </c>
      <c r="W220" s="11">
        <f>VLOOKUP(A220,Data_NV!$A:$I,8,0)</f>
        <v>0.33333333333333331</v>
      </c>
      <c r="X220" s="11">
        <f>VLOOKUP(A220,Data_NV!$A:$I,9,0)</f>
        <v>0.70833333333333337</v>
      </c>
      <c r="Y220" s="11">
        <f>IFERROR(TIMEVALUE(Table2[[#This Row],[Vào]]),0)</f>
        <v>0.3162847222222222</v>
      </c>
      <c r="Z220" s="11">
        <f>IFERROR(TIMEVALUE(Table2[[#This Row],[Ra]]),0)</f>
        <v>0.85473379629629631</v>
      </c>
      <c r="AA220" t="str">
        <f t="shared" si="19"/>
        <v>x</v>
      </c>
      <c r="AB220" s="14">
        <f t="shared" si="17"/>
        <v>0</v>
      </c>
      <c r="AC220" s="14" t="str">
        <f>IF(VLOOKUP(A220,Data_NV!$A:$I,7,0)="Không","",IF(OR(AND(Y220=0,Z220=0),AND(Y220&lt;&gt;0,Z220&lt;&gt;0)),"","Quên chấm công"))</f>
        <v/>
      </c>
      <c r="AD220" s="14">
        <f>IF(VLOOKUP(A220,Data_NV!$A:$I,7,0)="Không",0,IF(AND(Y220=0,Z220=0),0,IF(X220&lt;=Z220,0,ROUNDDOWN((X220-Z220)*24*60,0))))</f>
        <v>0</v>
      </c>
      <c r="AE220" s="14">
        <f>IF(VLOOKUP(A220,Data_NV!$A:$I,6,0)="Không",0,IF(Z220&lt;=X220,0,ROUNDDOWN((Z220-X220)*24*60,0)))</f>
        <v>210</v>
      </c>
      <c r="AF220" s="29">
        <f t="shared" si="18"/>
        <v>0</v>
      </c>
      <c r="AG220" s="30" t="str">
        <f>IF(AC220="","",IF(COUNTIFS($AC$3:AC220,"Quên chấm công",$S$3:S220,S220)&gt;3,"Không chấm công do vi phạm quá 3 lần",IF(COUNTIFS($AC$3:AC220,"Quên chấm công",$S$3:S220,S220)&gt;2,"Trừ toàn bộ chuyên cần tháng do vi phạm lần 3",IF(COUNTIFS($AC$3:AC220,"Quên chấm công",$S$3:S220,S220)&gt;1,"Trừ 1/2 ngày lương",50000))))</f>
        <v/>
      </c>
      <c r="AH220" s="14" t="str">
        <f>IF(COUNTIFS($AF$3:AF220,"&gt;0",$S$3:S220,S220)&gt;3,"Trừ toàn bộ chuyên cần tháng","")</f>
        <v/>
      </c>
      <c r="AI220" s="14"/>
      <c r="AJ220" s="14"/>
    </row>
    <row r="221" spans="1:36" x14ac:dyDescent="0.25">
      <c r="A221" s="4" t="s">
        <v>390</v>
      </c>
      <c r="B221" s="1" t="s">
        <v>391</v>
      </c>
      <c r="C221" s="1" t="s">
        <v>20</v>
      </c>
      <c r="D221" s="1" t="s">
        <v>53</v>
      </c>
      <c r="E221" s="1" t="s">
        <v>22</v>
      </c>
      <c r="F221" s="1" t="s">
        <v>23</v>
      </c>
      <c r="G221" s="1" t="s">
        <v>29</v>
      </c>
      <c r="H221" s="12" t="s">
        <v>407</v>
      </c>
      <c r="I221" s="1" t="s">
        <v>408</v>
      </c>
      <c r="J221" s="1" t="s">
        <v>25</v>
      </c>
      <c r="K221" s="1" t="s">
        <v>409</v>
      </c>
      <c r="L221" s="1" t="s">
        <v>25</v>
      </c>
      <c r="M221" s="1" t="s">
        <v>26</v>
      </c>
      <c r="N221" s="1" t="s">
        <v>25</v>
      </c>
      <c r="O221" s="1" t="s">
        <v>410</v>
      </c>
      <c r="P221" s="1" t="s">
        <v>25</v>
      </c>
      <c r="Q221" s="1" t="s">
        <v>25</v>
      </c>
      <c r="R221" s="70" t="str">
        <f t="shared" si="16"/>
        <v>2445909</v>
      </c>
      <c r="S221" t="str">
        <f>VLOOKUP(A221,Data_NV!$A:$C,3,0)</f>
        <v xml:space="preserve"> Nguyễn Thiên Trang    </v>
      </c>
      <c r="T221" t="str">
        <f>VLOOKUP(A221,Data_NV!$A:$E,4,0)</f>
        <v>Vận Hành</v>
      </c>
      <c r="U221" s="67">
        <f>DATEVALUE(Table2[[#This Row],[Ngày]])</f>
        <v>45909</v>
      </c>
      <c r="V221" t="str">
        <f>VLOOKUP(A221,Data_NV!$A:$E,5,0)</f>
        <v>Đang làm việc</v>
      </c>
      <c r="W221" s="11">
        <f>VLOOKUP(A221,Data_NV!$A:$I,8,0)</f>
        <v>0.33333333333333331</v>
      </c>
      <c r="X221" s="11">
        <f>VLOOKUP(A221,Data_NV!$A:$I,9,0)</f>
        <v>0.70833333333333337</v>
      </c>
      <c r="Y221" s="11">
        <f>IFERROR(TIMEVALUE(Table2[[#This Row],[Vào]]),0)</f>
        <v>0.29567129629629629</v>
      </c>
      <c r="Z221" s="11">
        <f>IFERROR(TIMEVALUE(Table2[[#This Row],[Ra]]),0)</f>
        <v>0.78616898148148151</v>
      </c>
      <c r="AA221" t="str">
        <f t="shared" si="19"/>
        <v>x</v>
      </c>
      <c r="AB221" s="14">
        <f t="shared" si="17"/>
        <v>0</v>
      </c>
      <c r="AC221" s="14" t="str">
        <f>IF(VLOOKUP(A221,Data_NV!$A:$I,7,0)="Không","",IF(OR(AND(Y221=0,Z221=0),AND(Y221&lt;&gt;0,Z221&lt;&gt;0)),"","Quên chấm công"))</f>
        <v/>
      </c>
      <c r="AD221" s="14">
        <f>IF(VLOOKUP(A221,Data_NV!$A:$I,7,0)="Không",0,IF(AND(Y221=0,Z221=0),0,IF(X221&lt;=Z221,0,ROUNDDOWN((X221-Z221)*24*60,0))))</f>
        <v>0</v>
      </c>
      <c r="AE221" s="14">
        <f>IF(VLOOKUP(A221,Data_NV!$A:$I,6,0)="Không",0,IF(Z221&lt;=X221,0,ROUNDDOWN((Z221-X221)*24*60,0)))</f>
        <v>112</v>
      </c>
      <c r="AF221" s="29">
        <f t="shared" si="18"/>
        <v>0</v>
      </c>
      <c r="AG221" s="30" t="str">
        <f>IF(AC221="","",IF(COUNTIFS($AC$3:AC221,"Quên chấm công",$S$3:S221,S221)&gt;3,"Không chấm công do vi phạm quá 3 lần",IF(COUNTIFS($AC$3:AC221,"Quên chấm công",$S$3:S221,S221)&gt;2,"Trừ toàn bộ chuyên cần tháng do vi phạm lần 3",IF(COUNTIFS($AC$3:AC221,"Quên chấm công",$S$3:S221,S221)&gt;1,"Trừ 1/2 ngày lương",50000))))</f>
        <v/>
      </c>
      <c r="AH221" s="14" t="str">
        <f>IF(COUNTIFS($AF$3:AF221,"&gt;0",$S$3:S221,S221)&gt;3,"Trừ toàn bộ chuyên cần tháng","")</f>
        <v/>
      </c>
      <c r="AI221" s="14"/>
      <c r="AJ221" s="14"/>
    </row>
    <row r="222" spans="1:36" x14ac:dyDescent="0.25">
      <c r="A222" s="4" t="s">
        <v>390</v>
      </c>
      <c r="B222" s="1" t="s">
        <v>391</v>
      </c>
      <c r="C222" s="1" t="s">
        <v>20</v>
      </c>
      <c r="D222" s="1" t="s">
        <v>58</v>
      </c>
      <c r="E222" s="1" t="s">
        <v>22</v>
      </c>
      <c r="F222" s="1" t="s">
        <v>23</v>
      </c>
      <c r="G222" s="1" t="s">
        <v>29</v>
      </c>
      <c r="H222" s="12" t="s">
        <v>411</v>
      </c>
      <c r="I222" s="1" t="s">
        <v>412</v>
      </c>
      <c r="J222" s="1" t="s">
        <v>25</v>
      </c>
      <c r="K222" s="1" t="s">
        <v>380</v>
      </c>
      <c r="L222" s="1" t="s">
        <v>25</v>
      </c>
      <c r="M222" s="1" t="s">
        <v>26</v>
      </c>
      <c r="N222" s="1" t="s">
        <v>25</v>
      </c>
      <c r="O222" s="1" t="s">
        <v>381</v>
      </c>
      <c r="P222" s="1" t="s">
        <v>25</v>
      </c>
      <c r="Q222" s="1" t="s">
        <v>25</v>
      </c>
      <c r="R222" s="70" t="str">
        <f t="shared" si="16"/>
        <v>2445910</v>
      </c>
      <c r="S222" t="str">
        <f>VLOOKUP(A222,Data_NV!$A:$C,3,0)</f>
        <v xml:space="preserve"> Nguyễn Thiên Trang    </v>
      </c>
      <c r="T222" t="str">
        <f>VLOOKUP(A222,Data_NV!$A:$E,4,0)</f>
        <v>Vận Hành</v>
      </c>
      <c r="U222" s="67">
        <f>DATEVALUE(Table2[[#This Row],[Ngày]])</f>
        <v>45910</v>
      </c>
      <c r="V222" t="str">
        <f>VLOOKUP(A222,Data_NV!$A:$E,5,0)</f>
        <v>Đang làm việc</v>
      </c>
      <c r="W222" s="11">
        <f>VLOOKUP(A222,Data_NV!$A:$I,8,0)</f>
        <v>0.33333333333333331</v>
      </c>
      <c r="X222" s="11">
        <f>VLOOKUP(A222,Data_NV!$A:$I,9,0)</f>
        <v>0.70833333333333337</v>
      </c>
      <c r="Y222" s="11">
        <f>IFERROR(TIMEVALUE(Table2[[#This Row],[Vào]]),0)</f>
        <v>0.31648148148148147</v>
      </c>
      <c r="Z222" s="11">
        <f>IFERROR(TIMEVALUE(Table2[[#This Row],[Ra]]),0)</f>
        <v>0.76712962962962961</v>
      </c>
      <c r="AA222" t="str">
        <f t="shared" si="19"/>
        <v>x</v>
      </c>
      <c r="AB222" s="14">
        <f t="shared" si="17"/>
        <v>0</v>
      </c>
      <c r="AC222" s="14" t="str">
        <f>IF(VLOOKUP(A222,Data_NV!$A:$I,7,0)="Không","",IF(OR(AND(Y222=0,Z222=0),AND(Y222&lt;&gt;0,Z222&lt;&gt;0)),"","Quên chấm công"))</f>
        <v/>
      </c>
      <c r="AD222" s="14">
        <f>IF(VLOOKUP(A222,Data_NV!$A:$I,7,0)="Không",0,IF(AND(Y222=0,Z222=0),0,IF(X222&lt;=Z222,0,ROUNDDOWN((X222-Z222)*24*60,0))))</f>
        <v>0</v>
      </c>
      <c r="AE222" s="14">
        <f>IF(VLOOKUP(A222,Data_NV!$A:$I,6,0)="Không",0,IF(Z222&lt;=X222,0,ROUNDDOWN((Z222-X222)*24*60,0)))</f>
        <v>84</v>
      </c>
      <c r="AF222" s="29">
        <f t="shared" si="18"/>
        <v>0</v>
      </c>
      <c r="AG222" s="30" t="str">
        <f>IF(AC222="","",IF(COUNTIFS($AC$3:AC222,"Quên chấm công",$S$3:S222,S222)&gt;3,"Không chấm công do vi phạm quá 3 lần",IF(COUNTIFS($AC$3:AC222,"Quên chấm công",$S$3:S222,S222)&gt;2,"Trừ toàn bộ chuyên cần tháng do vi phạm lần 3",IF(COUNTIFS($AC$3:AC222,"Quên chấm công",$S$3:S222,S222)&gt;1,"Trừ 1/2 ngày lương",50000))))</f>
        <v/>
      </c>
      <c r="AH222" s="14" t="str">
        <f>IF(COUNTIFS($AF$3:AF222,"&gt;0",$S$3:S222,S222)&gt;3,"Trừ toàn bộ chuyên cần tháng","")</f>
        <v/>
      </c>
      <c r="AI222" s="14"/>
      <c r="AJ222" s="14"/>
    </row>
    <row r="223" spans="1:36" x14ac:dyDescent="0.25">
      <c r="A223" s="4" t="s">
        <v>390</v>
      </c>
      <c r="B223" s="1" t="s">
        <v>391</v>
      </c>
      <c r="C223" s="1" t="s">
        <v>20</v>
      </c>
      <c r="D223" s="1" t="s">
        <v>63</v>
      </c>
      <c r="E223" s="1" t="s">
        <v>22</v>
      </c>
      <c r="F223" s="1" t="s">
        <v>23</v>
      </c>
      <c r="G223" s="1" t="s">
        <v>29</v>
      </c>
      <c r="H223" s="12" t="s">
        <v>413</v>
      </c>
      <c r="I223" s="1" t="s">
        <v>414</v>
      </c>
      <c r="J223" s="1" t="s">
        <v>25</v>
      </c>
      <c r="K223" s="1" t="s">
        <v>310</v>
      </c>
      <c r="L223" s="1" t="s">
        <v>25</v>
      </c>
      <c r="M223" s="1" t="s">
        <v>26</v>
      </c>
      <c r="N223" s="1" t="s">
        <v>25</v>
      </c>
      <c r="O223" s="1" t="s">
        <v>293</v>
      </c>
      <c r="P223" s="1" t="s">
        <v>25</v>
      </c>
      <c r="Q223" s="1" t="s">
        <v>25</v>
      </c>
      <c r="R223" s="70" t="str">
        <f t="shared" si="16"/>
        <v>2445911</v>
      </c>
      <c r="S223" t="str">
        <f>VLOOKUP(A223,Data_NV!$A:$C,3,0)</f>
        <v xml:space="preserve"> Nguyễn Thiên Trang    </v>
      </c>
      <c r="T223" t="str">
        <f>VLOOKUP(A223,Data_NV!$A:$E,4,0)</f>
        <v>Vận Hành</v>
      </c>
      <c r="U223" s="67">
        <f>DATEVALUE(Table2[[#This Row],[Ngày]])</f>
        <v>45911</v>
      </c>
      <c r="V223" t="str">
        <f>VLOOKUP(A223,Data_NV!$A:$E,5,0)</f>
        <v>Đang làm việc</v>
      </c>
      <c r="W223" s="11">
        <f>VLOOKUP(A223,Data_NV!$A:$I,8,0)</f>
        <v>0.33333333333333331</v>
      </c>
      <c r="X223" s="11">
        <f>VLOOKUP(A223,Data_NV!$A:$I,9,0)</f>
        <v>0.70833333333333337</v>
      </c>
      <c r="Y223" s="11">
        <f>IFERROR(TIMEVALUE(Table2[[#This Row],[Vào]]),0)</f>
        <v>0.31055555555555553</v>
      </c>
      <c r="Z223" s="11">
        <f>IFERROR(TIMEVALUE(Table2[[#This Row],[Ra]]),0)</f>
        <v>0.78702546296296294</v>
      </c>
      <c r="AA223" t="str">
        <f t="shared" si="19"/>
        <v>x</v>
      </c>
      <c r="AB223" s="14">
        <f t="shared" si="17"/>
        <v>0</v>
      </c>
      <c r="AC223" s="14" t="str">
        <f>IF(VLOOKUP(A223,Data_NV!$A:$I,7,0)="Không","",IF(OR(AND(Y223=0,Z223=0),AND(Y223&lt;&gt;0,Z223&lt;&gt;0)),"","Quên chấm công"))</f>
        <v/>
      </c>
      <c r="AD223" s="14">
        <f>IF(VLOOKUP(A223,Data_NV!$A:$I,7,0)="Không",0,IF(AND(Y223=0,Z223=0),0,IF(X223&lt;=Z223,0,ROUNDDOWN((X223-Z223)*24*60,0))))</f>
        <v>0</v>
      </c>
      <c r="AE223" s="14">
        <f>IF(VLOOKUP(A223,Data_NV!$A:$I,6,0)="Không",0,IF(Z223&lt;=X223,0,ROUNDDOWN((Z223-X223)*24*60,0)))</f>
        <v>113</v>
      </c>
      <c r="AF223" s="29">
        <f t="shared" si="18"/>
        <v>0</v>
      </c>
      <c r="AG223" s="30" t="str">
        <f>IF(AC223="","",IF(COUNTIFS($AC$3:AC223,"Quên chấm công",$S$3:S223,S223)&gt;3,"Không chấm công do vi phạm quá 3 lần",IF(COUNTIFS($AC$3:AC223,"Quên chấm công",$S$3:S223,S223)&gt;2,"Trừ toàn bộ chuyên cần tháng do vi phạm lần 3",IF(COUNTIFS($AC$3:AC223,"Quên chấm công",$S$3:S223,S223)&gt;1,"Trừ 1/2 ngày lương",50000))))</f>
        <v/>
      </c>
      <c r="AH223" s="14" t="str">
        <f>IF(COUNTIFS($AF$3:AF223,"&gt;0",$S$3:S223,S223)&gt;3,"Trừ toàn bộ chuyên cần tháng","")</f>
        <v/>
      </c>
      <c r="AI223" s="14"/>
      <c r="AJ223" s="14"/>
    </row>
    <row r="224" spans="1:36" x14ac:dyDescent="0.25">
      <c r="A224" s="4" t="s">
        <v>390</v>
      </c>
      <c r="B224" s="1" t="s">
        <v>391</v>
      </c>
      <c r="C224" s="1" t="s">
        <v>20</v>
      </c>
      <c r="D224" s="1" t="s">
        <v>67</v>
      </c>
      <c r="E224" s="1" t="s">
        <v>22</v>
      </c>
      <c r="F224" s="1" t="s">
        <v>23</v>
      </c>
      <c r="G224" s="1" t="s">
        <v>29</v>
      </c>
      <c r="H224" s="12" t="s">
        <v>415</v>
      </c>
      <c r="I224" s="1" t="s">
        <v>416</v>
      </c>
      <c r="J224" s="1" t="s">
        <v>25</v>
      </c>
      <c r="K224" s="1" t="s">
        <v>417</v>
      </c>
      <c r="L224" s="1" t="s">
        <v>25</v>
      </c>
      <c r="M224" s="1" t="s">
        <v>26</v>
      </c>
      <c r="N224" s="1" t="s">
        <v>25</v>
      </c>
      <c r="O224" s="1" t="s">
        <v>418</v>
      </c>
      <c r="P224" s="1" t="s">
        <v>25</v>
      </c>
      <c r="Q224" s="1" t="s">
        <v>25</v>
      </c>
      <c r="R224" s="70" t="str">
        <f t="shared" si="16"/>
        <v>2445912</v>
      </c>
      <c r="S224" t="str">
        <f>VLOOKUP(A224,Data_NV!$A:$C,3,0)</f>
        <v xml:space="preserve"> Nguyễn Thiên Trang    </v>
      </c>
      <c r="T224" t="str">
        <f>VLOOKUP(A224,Data_NV!$A:$E,4,0)</f>
        <v>Vận Hành</v>
      </c>
      <c r="U224" s="67">
        <f>DATEVALUE(Table2[[#This Row],[Ngày]])</f>
        <v>45912</v>
      </c>
      <c r="V224" t="str">
        <f>VLOOKUP(A224,Data_NV!$A:$E,5,0)</f>
        <v>Đang làm việc</v>
      </c>
      <c r="W224" s="11">
        <f>VLOOKUP(A224,Data_NV!$A:$I,8,0)</f>
        <v>0.33333333333333331</v>
      </c>
      <c r="X224" s="11">
        <f>VLOOKUP(A224,Data_NV!$A:$I,9,0)</f>
        <v>0.70833333333333337</v>
      </c>
      <c r="Y224" s="11">
        <f>IFERROR(TIMEVALUE(Table2[[#This Row],[Vào]]),0)</f>
        <v>0.31677083333333333</v>
      </c>
      <c r="Z224" s="11">
        <f>IFERROR(TIMEVALUE(Table2[[#This Row],[Ra]]),0)</f>
        <v>0.76078703703703698</v>
      </c>
      <c r="AA224" t="str">
        <f t="shared" si="19"/>
        <v>x</v>
      </c>
      <c r="AB224" s="14">
        <f t="shared" si="17"/>
        <v>0</v>
      </c>
      <c r="AC224" s="14" t="str">
        <f>IF(VLOOKUP(A224,Data_NV!$A:$I,7,0)="Không","",IF(OR(AND(Y224=0,Z224=0),AND(Y224&lt;&gt;0,Z224&lt;&gt;0)),"","Quên chấm công"))</f>
        <v/>
      </c>
      <c r="AD224" s="14">
        <f>IF(VLOOKUP(A224,Data_NV!$A:$I,7,0)="Không",0,IF(AND(Y224=0,Z224=0),0,IF(X224&lt;=Z224,0,ROUNDDOWN((X224-Z224)*24*60,0))))</f>
        <v>0</v>
      </c>
      <c r="AE224" s="14">
        <f>IF(VLOOKUP(A224,Data_NV!$A:$I,6,0)="Không",0,IF(Z224&lt;=X224,0,ROUNDDOWN((Z224-X224)*24*60,0)))</f>
        <v>75</v>
      </c>
      <c r="AF224" s="29">
        <f t="shared" si="18"/>
        <v>0</v>
      </c>
      <c r="AG224" s="30" t="str">
        <f>IF(AC224="","",IF(COUNTIFS($AC$3:AC224,"Quên chấm công",$S$3:S224,S224)&gt;3,"Không chấm công do vi phạm quá 3 lần",IF(COUNTIFS($AC$3:AC224,"Quên chấm công",$S$3:S224,S224)&gt;2,"Trừ toàn bộ chuyên cần tháng do vi phạm lần 3",IF(COUNTIFS($AC$3:AC224,"Quên chấm công",$S$3:S224,S224)&gt;1,"Trừ 1/2 ngày lương",50000))))</f>
        <v/>
      </c>
      <c r="AH224" s="14" t="str">
        <f>IF(COUNTIFS($AF$3:AF224,"&gt;0",$S$3:S224,S224)&gt;3,"Trừ toàn bộ chuyên cần tháng","")</f>
        <v/>
      </c>
      <c r="AI224" s="14"/>
      <c r="AJ224" s="14"/>
    </row>
    <row r="225" spans="1:36" x14ac:dyDescent="0.25">
      <c r="A225" s="4" t="s">
        <v>390</v>
      </c>
      <c r="B225" s="1" t="s">
        <v>391</v>
      </c>
      <c r="C225" s="1" t="s">
        <v>20</v>
      </c>
      <c r="D225" s="1" t="s">
        <v>69</v>
      </c>
      <c r="E225" s="1" t="s">
        <v>22</v>
      </c>
      <c r="F225" s="1" t="s">
        <v>23</v>
      </c>
      <c r="G225" s="1" t="s">
        <v>29</v>
      </c>
      <c r="H225" s="12" t="s">
        <v>419</v>
      </c>
      <c r="I225" s="1" t="s">
        <v>420</v>
      </c>
      <c r="J225" s="1" t="s">
        <v>25</v>
      </c>
      <c r="K225" s="1" t="s">
        <v>237</v>
      </c>
      <c r="L225" s="1" t="s">
        <v>25</v>
      </c>
      <c r="M225" s="1" t="s">
        <v>26</v>
      </c>
      <c r="N225" s="1" t="s">
        <v>25</v>
      </c>
      <c r="O225" s="1" t="s">
        <v>238</v>
      </c>
      <c r="P225" s="1" t="s">
        <v>25</v>
      </c>
      <c r="Q225" s="1" t="s">
        <v>25</v>
      </c>
      <c r="R225" s="70" t="str">
        <f t="shared" si="16"/>
        <v>2445913</v>
      </c>
      <c r="S225" t="str">
        <f>VLOOKUP(A225,Data_NV!$A:$C,3,0)</f>
        <v xml:space="preserve"> Nguyễn Thiên Trang    </v>
      </c>
      <c r="T225" t="str">
        <f>VLOOKUP(A225,Data_NV!$A:$E,4,0)</f>
        <v>Vận Hành</v>
      </c>
      <c r="U225" s="67">
        <f>DATEVALUE(Table2[[#This Row],[Ngày]])</f>
        <v>45913</v>
      </c>
      <c r="V225" t="str">
        <f>VLOOKUP(A225,Data_NV!$A:$E,5,0)</f>
        <v>Đang làm việc</v>
      </c>
      <c r="W225" s="11">
        <f>VLOOKUP(A225,Data_NV!$A:$I,8,0)</f>
        <v>0.33333333333333331</v>
      </c>
      <c r="X225" s="11">
        <f>VLOOKUP(A225,Data_NV!$A:$I,9,0)</f>
        <v>0.70833333333333337</v>
      </c>
      <c r="Y225" s="11">
        <f>IFERROR(TIMEVALUE(Table2[[#This Row],[Vào]]),0)</f>
        <v>0.30865740740740738</v>
      </c>
      <c r="Z225" s="11">
        <f>IFERROR(TIMEVALUE(Table2[[#This Row],[Ra]]),0)</f>
        <v>0.75971064814814815</v>
      </c>
      <c r="AA225" t="str">
        <f t="shared" si="19"/>
        <v>x</v>
      </c>
      <c r="AB225" s="14">
        <f t="shared" si="17"/>
        <v>0</v>
      </c>
      <c r="AC225" s="14" t="str">
        <f>IF(VLOOKUP(A225,Data_NV!$A:$I,7,0)="Không","",IF(OR(AND(Y225=0,Z225=0),AND(Y225&lt;&gt;0,Z225&lt;&gt;0)),"","Quên chấm công"))</f>
        <v/>
      </c>
      <c r="AD225" s="14">
        <f>IF(VLOOKUP(A225,Data_NV!$A:$I,7,0)="Không",0,IF(AND(Y225=0,Z225=0),0,IF(X225&lt;=Z225,0,ROUNDDOWN((X225-Z225)*24*60,0))))</f>
        <v>0</v>
      </c>
      <c r="AE225" s="14">
        <f>IF(VLOOKUP(A225,Data_NV!$A:$I,6,0)="Không",0,IF(Z225&lt;=X225,0,ROUNDDOWN((Z225-X225)*24*60,0)))</f>
        <v>73</v>
      </c>
      <c r="AF225" s="29">
        <f t="shared" si="18"/>
        <v>0</v>
      </c>
      <c r="AG225" s="30" t="str">
        <f>IF(AC225="","",IF(COUNTIFS($AC$3:AC225,"Quên chấm công",$S$3:S225,S225)&gt;3,"Không chấm công do vi phạm quá 3 lần",IF(COUNTIFS($AC$3:AC225,"Quên chấm công",$S$3:S225,S225)&gt;2,"Trừ toàn bộ chuyên cần tháng do vi phạm lần 3",IF(COUNTIFS($AC$3:AC225,"Quên chấm công",$S$3:S225,S225)&gt;1,"Trừ 1/2 ngày lương",50000))))</f>
        <v/>
      </c>
      <c r="AH225" s="14" t="str">
        <f>IF(COUNTIFS($AF$3:AF225,"&gt;0",$S$3:S225,S225)&gt;3,"Trừ toàn bộ chuyên cần tháng","")</f>
        <v/>
      </c>
      <c r="AI225" s="14"/>
      <c r="AJ225" s="14"/>
    </row>
    <row r="226" spans="1:36" x14ac:dyDescent="0.25">
      <c r="A226" s="4" t="s">
        <v>390</v>
      </c>
      <c r="B226" s="1" t="s">
        <v>391</v>
      </c>
      <c r="C226" s="1" t="s">
        <v>20</v>
      </c>
      <c r="D226" s="1" t="s">
        <v>74</v>
      </c>
      <c r="E226" s="1" t="s">
        <v>22</v>
      </c>
      <c r="F226" s="1" t="s">
        <v>23</v>
      </c>
      <c r="G226" s="1" t="s">
        <v>12</v>
      </c>
      <c r="H226" s="12" t="s">
        <v>24</v>
      </c>
      <c r="I226" s="1" t="s">
        <v>24</v>
      </c>
      <c r="J226" s="1" t="s">
        <v>25</v>
      </c>
      <c r="K226" s="1" t="s">
        <v>25</v>
      </c>
      <c r="L226" s="1" t="s">
        <v>26</v>
      </c>
      <c r="M226" s="1" t="s">
        <v>25</v>
      </c>
      <c r="N226" s="1" t="s">
        <v>25</v>
      </c>
      <c r="O226" s="1" t="s">
        <v>25</v>
      </c>
      <c r="P226" s="1" t="s">
        <v>25</v>
      </c>
      <c r="Q226" s="1" t="s">
        <v>25</v>
      </c>
      <c r="R226" s="70" t="str">
        <f t="shared" si="16"/>
        <v>2445914</v>
      </c>
      <c r="S226" t="str">
        <f>VLOOKUP(A226,Data_NV!$A:$C,3,0)</f>
        <v xml:space="preserve"> Nguyễn Thiên Trang    </v>
      </c>
      <c r="T226" t="str">
        <f>VLOOKUP(A226,Data_NV!$A:$E,4,0)</f>
        <v>Vận Hành</v>
      </c>
      <c r="U226" s="67">
        <f>DATEVALUE(Table2[[#This Row],[Ngày]])</f>
        <v>45914</v>
      </c>
      <c r="V226" t="str">
        <f>VLOOKUP(A226,Data_NV!$A:$E,5,0)</f>
        <v>Đang làm việc</v>
      </c>
      <c r="W226" s="11">
        <f>VLOOKUP(A226,Data_NV!$A:$I,8,0)</f>
        <v>0.33333333333333331</v>
      </c>
      <c r="X226" s="11">
        <f>VLOOKUP(A226,Data_NV!$A:$I,9,0)</f>
        <v>0.70833333333333337</v>
      </c>
      <c r="Y226" s="11">
        <f>IFERROR(TIMEVALUE(Table2[[#This Row],[Vào]]),0)</f>
        <v>0</v>
      </c>
      <c r="Z226" s="11">
        <f>IFERROR(TIMEVALUE(Table2[[#This Row],[Ra]]),0)</f>
        <v>0</v>
      </c>
      <c r="AA226" t="str">
        <f t="shared" si="19"/>
        <v/>
      </c>
      <c r="AB226" s="14">
        <f t="shared" si="17"/>
        <v>0</v>
      </c>
      <c r="AC226" s="14" t="str">
        <f>IF(VLOOKUP(A226,Data_NV!$A:$I,7,0)="Không","",IF(OR(AND(Y226=0,Z226=0),AND(Y226&lt;&gt;0,Z226&lt;&gt;0)),"","Quên chấm công"))</f>
        <v/>
      </c>
      <c r="AD226" s="14">
        <f>IF(VLOOKUP(A226,Data_NV!$A:$I,7,0)="Không",0,IF(AND(Y226=0,Z226=0),0,IF(X226&lt;=Z226,0,ROUNDDOWN((X226-Z226)*24*60,0))))</f>
        <v>0</v>
      </c>
      <c r="AE226" s="14">
        <f>IF(VLOOKUP(A226,Data_NV!$A:$I,6,0)="Không",0,IF(Z226&lt;=X226,0,ROUNDDOWN((Z226-X226)*24*60,0)))</f>
        <v>0</v>
      </c>
      <c r="AF226" s="29">
        <f t="shared" si="18"/>
        <v>0</v>
      </c>
      <c r="AG226" s="30" t="str">
        <f>IF(AC226="","",IF(COUNTIFS($AC$3:AC226,"Quên chấm công",$S$3:S226,S226)&gt;3,"Không chấm công do vi phạm quá 3 lần",IF(COUNTIFS($AC$3:AC226,"Quên chấm công",$S$3:S226,S226)&gt;2,"Trừ toàn bộ chuyên cần tháng do vi phạm lần 3",IF(COUNTIFS($AC$3:AC226,"Quên chấm công",$S$3:S226,S226)&gt;1,"Trừ 1/2 ngày lương",50000))))</f>
        <v/>
      </c>
      <c r="AH226" s="14" t="str">
        <f>IF(COUNTIFS($AF$3:AF226,"&gt;0",$S$3:S226,S226)&gt;3,"Trừ toàn bộ chuyên cần tháng","")</f>
        <v/>
      </c>
      <c r="AI226" s="14"/>
      <c r="AJ226" s="14"/>
    </row>
    <row r="227" spans="1:36" x14ac:dyDescent="0.25">
      <c r="A227" s="4" t="s">
        <v>390</v>
      </c>
      <c r="B227" s="1" t="s">
        <v>391</v>
      </c>
      <c r="C227" s="1" t="s">
        <v>20</v>
      </c>
      <c r="D227" s="1" t="s">
        <v>75</v>
      </c>
      <c r="E227" s="1" t="s">
        <v>22</v>
      </c>
      <c r="F227" s="1" t="s">
        <v>23</v>
      </c>
      <c r="G227" s="1" t="s">
        <v>29</v>
      </c>
      <c r="H227" s="12" t="s">
        <v>421</v>
      </c>
      <c r="I227" s="1" t="s">
        <v>422</v>
      </c>
      <c r="J227" s="1" t="s">
        <v>25</v>
      </c>
      <c r="K227" s="1" t="s">
        <v>313</v>
      </c>
      <c r="L227" s="1" t="s">
        <v>25</v>
      </c>
      <c r="M227" s="1" t="s">
        <v>26</v>
      </c>
      <c r="N227" s="1" t="s">
        <v>25</v>
      </c>
      <c r="O227" s="1" t="s">
        <v>33</v>
      </c>
      <c r="P227" s="1" t="s">
        <v>242</v>
      </c>
      <c r="Q227" s="1" t="s">
        <v>25</v>
      </c>
      <c r="R227" s="70" t="str">
        <f t="shared" si="16"/>
        <v>2445915</v>
      </c>
      <c r="S227" t="str">
        <f>VLOOKUP(A227,Data_NV!$A:$C,3,0)</f>
        <v xml:space="preserve"> Nguyễn Thiên Trang    </v>
      </c>
      <c r="T227" t="str">
        <f>VLOOKUP(A227,Data_NV!$A:$E,4,0)</f>
        <v>Vận Hành</v>
      </c>
      <c r="U227" s="67">
        <f>DATEVALUE(Table2[[#This Row],[Ngày]])</f>
        <v>45915</v>
      </c>
      <c r="V227" t="str">
        <f>VLOOKUP(A227,Data_NV!$A:$E,5,0)</f>
        <v>Đang làm việc</v>
      </c>
      <c r="W227" s="11">
        <f>VLOOKUP(A227,Data_NV!$A:$I,8,0)</f>
        <v>0.33333333333333331</v>
      </c>
      <c r="X227" s="11">
        <f>VLOOKUP(A227,Data_NV!$A:$I,9,0)</f>
        <v>0.70833333333333337</v>
      </c>
      <c r="Y227" s="11">
        <f>IFERROR(TIMEVALUE(Table2[[#This Row],[Vào]]),0)</f>
        <v>0.31140046296296298</v>
      </c>
      <c r="Z227" s="11">
        <f>IFERROR(TIMEVALUE(Table2[[#This Row],[Ra]]),0)</f>
        <v>0.80501157407407409</v>
      </c>
      <c r="AA227" t="str">
        <f t="shared" si="19"/>
        <v>x</v>
      </c>
      <c r="AB227" s="14">
        <f t="shared" si="17"/>
        <v>0</v>
      </c>
      <c r="AC227" s="14" t="str">
        <f>IF(VLOOKUP(A227,Data_NV!$A:$I,7,0)="Không","",IF(OR(AND(Y227=0,Z227=0),AND(Y227&lt;&gt;0,Z227&lt;&gt;0)),"","Quên chấm công"))</f>
        <v/>
      </c>
      <c r="AD227" s="14">
        <f>IF(VLOOKUP(A227,Data_NV!$A:$I,7,0)="Không",0,IF(AND(Y227=0,Z227=0),0,IF(X227&lt;=Z227,0,ROUNDDOWN((X227-Z227)*24*60,0))))</f>
        <v>0</v>
      </c>
      <c r="AE227" s="14">
        <f>IF(VLOOKUP(A227,Data_NV!$A:$I,6,0)="Không",0,IF(Z227&lt;=X227,0,ROUNDDOWN((Z227-X227)*24*60,0)))</f>
        <v>139</v>
      </c>
      <c r="AF227" s="29">
        <f t="shared" si="18"/>
        <v>0</v>
      </c>
      <c r="AG227" s="30" t="str">
        <f>IF(AC227="","",IF(COUNTIFS($AC$3:AC227,"Quên chấm công",$S$3:S227,S227)&gt;3,"Không chấm công do vi phạm quá 3 lần",IF(COUNTIFS($AC$3:AC227,"Quên chấm công",$S$3:S227,S227)&gt;2,"Trừ toàn bộ chuyên cần tháng do vi phạm lần 3",IF(COUNTIFS($AC$3:AC227,"Quên chấm công",$S$3:S227,S227)&gt;1,"Trừ 1/2 ngày lương",50000))))</f>
        <v/>
      </c>
      <c r="AH227" s="14" t="str">
        <f>IF(COUNTIFS($AF$3:AF227,"&gt;0",$S$3:S227,S227)&gt;3,"Trừ toàn bộ chuyên cần tháng","")</f>
        <v/>
      </c>
      <c r="AI227" s="14"/>
      <c r="AJ227" s="14"/>
    </row>
    <row r="228" spans="1:36" x14ac:dyDescent="0.25">
      <c r="A228" s="4" t="s">
        <v>390</v>
      </c>
      <c r="B228" s="1" t="s">
        <v>391</v>
      </c>
      <c r="C228" s="1" t="s">
        <v>20</v>
      </c>
      <c r="D228" s="1" t="s">
        <v>80</v>
      </c>
      <c r="E228" s="1" t="s">
        <v>22</v>
      </c>
      <c r="F228" s="1" t="s">
        <v>23</v>
      </c>
      <c r="G228" s="1" t="s">
        <v>29</v>
      </c>
      <c r="H228" s="12" t="s">
        <v>423</v>
      </c>
      <c r="I228" s="1" t="s">
        <v>424</v>
      </c>
      <c r="J228" s="1" t="s">
        <v>25</v>
      </c>
      <c r="K228" s="1" t="s">
        <v>32</v>
      </c>
      <c r="L228" s="1" t="s">
        <v>25</v>
      </c>
      <c r="M228" s="1" t="s">
        <v>26</v>
      </c>
      <c r="N228" s="1" t="s">
        <v>25</v>
      </c>
      <c r="O228" s="1" t="s">
        <v>33</v>
      </c>
      <c r="P228" s="1" t="s">
        <v>66</v>
      </c>
      <c r="Q228" s="1" t="s">
        <v>25</v>
      </c>
      <c r="R228" s="70" t="str">
        <f t="shared" si="16"/>
        <v>2445916</v>
      </c>
      <c r="S228" t="str">
        <f>VLOOKUP(A228,Data_NV!$A:$C,3,0)</f>
        <v xml:space="preserve"> Nguyễn Thiên Trang    </v>
      </c>
      <c r="T228" t="str">
        <f>VLOOKUP(A228,Data_NV!$A:$E,4,0)</f>
        <v>Vận Hành</v>
      </c>
      <c r="U228" s="67">
        <f>DATEVALUE(Table2[[#This Row],[Ngày]])</f>
        <v>45916</v>
      </c>
      <c r="V228" t="str">
        <f>VLOOKUP(A228,Data_NV!$A:$E,5,0)</f>
        <v>Đang làm việc</v>
      </c>
      <c r="W228" s="11">
        <f>VLOOKUP(A228,Data_NV!$A:$I,8,0)</f>
        <v>0.33333333333333331</v>
      </c>
      <c r="X228" s="11">
        <f>VLOOKUP(A228,Data_NV!$A:$I,9,0)</f>
        <v>0.70833333333333337</v>
      </c>
      <c r="Y228" s="11">
        <f>IFERROR(TIMEVALUE(Table2[[#This Row],[Vào]]),0)</f>
        <v>0.31067129629629631</v>
      </c>
      <c r="Z228" s="11">
        <f>IFERROR(TIMEVALUE(Table2[[#This Row],[Ra]]),0)</f>
        <v>0.80608796296296292</v>
      </c>
      <c r="AA228" t="str">
        <f t="shared" si="19"/>
        <v>x</v>
      </c>
      <c r="AB228" s="14">
        <f t="shared" si="17"/>
        <v>0</v>
      </c>
      <c r="AC228" s="14" t="str">
        <f>IF(VLOOKUP(A228,Data_NV!$A:$I,7,0)="Không","",IF(OR(AND(Y228=0,Z228=0),AND(Y228&lt;&gt;0,Z228&lt;&gt;0)),"","Quên chấm công"))</f>
        <v/>
      </c>
      <c r="AD228" s="14">
        <f>IF(VLOOKUP(A228,Data_NV!$A:$I,7,0)="Không",0,IF(AND(Y228=0,Z228=0),0,IF(X228&lt;=Z228,0,ROUNDDOWN((X228-Z228)*24*60,0))))</f>
        <v>0</v>
      </c>
      <c r="AE228" s="14">
        <f>IF(VLOOKUP(A228,Data_NV!$A:$I,6,0)="Không",0,IF(Z228&lt;=X228,0,ROUNDDOWN((Z228-X228)*24*60,0)))</f>
        <v>140</v>
      </c>
      <c r="AF228" s="29">
        <f t="shared" si="18"/>
        <v>0</v>
      </c>
      <c r="AG228" s="30" t="str">
        <f>IF(AC228="","",IF(COUNTIFS($AC$3:AC228,"Quên chấm công",$S$3:S228,S228)&gt;3,"Không chấm công do vi phạm quá 3 lần",IF(COUNTIFS($AC$3:AC228,"Quên chấm công",$S$3:S228,S228)&gt;2,"Trừ toàn bộ chuyên cần tháng do vi phạm lần 3",IF(COUNTIFS($AC$3:AC228,"Quên chấm công",$S$3:S228,S228)&gt;1,"Trừ 1/2 ngày lương",50000))))</f>
        <v/>
      </c>
      <c r="AH228" s="14" t="str">
        <f>IF(COUNTIFS($AF$3:AF228,"&gt;0",$S$3:S228,S228)&gt;3,"Trừ toàn bộ chuyên cần tháng","")</f>
        <v/>
      </c>
      <c r="AI228" s="14"/>
      <c r="AJ228" s="14"/>
    </row>
    <row r="229" spans="1:36" x14ac:dyDescent="0.25">
      <c r="A229" s="4" t="s">
        <v>390</v>
      </c>
      <c r="B229" s="1" t="s">
        <v>391</v>
      </c>
      <c r="C229" s="1" t="s">
        <v>20</v>
      </c>
      <c r="D229" s="1" t="s">
        <v>85</v>
      </c>
      <c r="E229" s="1" t="s">
        <v>22</v>
      </c>
      <c r="F229" s="1" t="s">
        <v>23</v>
      </c>
      <c r="G229" s="1" t="s">
        <v>29</v>
      </c>
      <c r="H229" s="12" t="s">
        <v>425</v>
      </c>
      <c r="I229" s="1" t="s">
        <v>426</v>
      </c>
      <c r="J229" s="1" t="s">
        <v>25</v>
      </c>
      <c r="K229" s="1" t="s">
        <v>269</v>
      </c>
      <c r="L229" s="1" t="s">
        <v>25</v>
      </c>
      <c r="M229" s="1" t="s">
        <v>26</v>
      </c>
      <c r="N229" s="1" t="s">
        <v>25</v>
      </c>
      <c r="O229" s="1" t="s">
        <v>270</v>
      </c>
      <c r="P229" s="1" t="s">
        <v>25</v>
      </c>
      <c r="Q229" s="1" t="s">
        <v>25</v>
      </c>
      <c r="R229" s="70" t="str">
        <f t="shared" si="16"/>
        <v>2445917</v>
      </c>
      <c r="S229" t="str">
        <f>VLOOKUP(A229,Data_NV!$A:$C,3,0)</f>
        <v xml:space="preserve"> Nguyễn Thiên Trang    </v>
      </c>
      <c r="T229" t="str">
        <f>VLOOKUP(A229,Data_NV!$A:$E,4,0)</f>
        <v>Vận Hành</v>
      </c>
      <c r="U229" s="67">
        <f>DATEVALUE(Table2[[#This Row],[Ngày]])</f>
        <v>45917</v>
      </c>
      <c r="V229" t="str">
        <f>VLOOKUP(A229,Data_NV!$A:$E,5,0)</f>
        <v>Đang làm việc</v>
      </c>
      <c r="W229" s="11">
        <f>VLOOKUP(A229,Data_NV!$A:$I,8,0)</f>
        <v>0.33333333333333331</v>
      </c>
      <c r="X229" s="11">
        <f>VLOOKUP(A229,Data_NV!$A:$I,9,0)</f>
        <v>0.70833333333333337</v>
      </c>
      <c r="Y229" s="11">
        <f>IFERROR(TIMEVALUE(Table2[[#This Row],[Vào]]),0)</f>
        <v>0.3137962962962963</v>
      </c>
      <c r="Z229" s="11">
        <f>IFERROR(TIMEVALUE(Table2[[#This Row],[Ra]]),0)</f>
        <v>0.79031249999999997</v>
      </c>
      <c r="AA229" t="str">
        <f t="shared" si="19"/>
        <v>x</v>
      </c>
      <c r="AB229" s="14">
        <f t="shared" si="17"/>
        <v>0</v>
      </c>
      <c r="AC229" s="14" t="str">
        <f>IF(VLOOKUP(A229,Data_NV!$A:$I,7,0)="Không","",IF(OR(AND(Y229=0,Z229=0),AND(Y229&lt;&gt;0,Z229&lt;&gt;0)),"","Quên chấm công"))</f>
        <v/>
      </c>
      <c r="AD229" s="14">
        <f>IF(VLOOKUP(A229,Data_NV!$A:$I,7,0)="Không",0,IF(AND(Y229=0,Z229=0),0,IF(X229&lt;=Z229,0,ROUNDDOWN((X229-Z229)*24*60,0))))</f>
        <v>0</v>
      </c>
      <c r="AE229" s="14">
        <f>IF(VLOOKUP(A229,Data_NV!$A:$I,6,0)="Không",0,IF(Z229&lt;=X229,0,ROUNDDOWN((Z229-X229)*24*60,0)))</f>
        <v>118</v>
      </c>
      <c r="AF229" s="29">
        <f t="shared" si="18"/>
        <v>0</v>
      </c>
      <c r="AG229" s="30" t="str">
        <f>IF(AC229="","",IF(COUNTIFS($AC$3:AC229,"Quên chấm công",$S$3:S229,S229)&gt;3,"Không chấm công do vi phạm quá 3 lần",IF(COUNTIFS($AC$3:AC229,"Quên chấm công",$S$3:S229,S229)&gt;2,"Trừ toàn bộ chuyên cần tháng do vi phạm lần 3",IF(COUNTIFS($AC$3:AC229,"Quên chấm công",$S$3:S229,S229)&gt;1,"Trừ 1/2 ngày lương",50000))))</f>
        <v/>
      </c>
      <c r="AH229" s="14" t="str">
        <f>IF(COUNTIFS($AF$3:AF229,"&gt;0",$S$3:S229,S229)&gt;3,"Trừ toàn bộ chuyên cần tháng","")</f>
        <v/>
      </c>
      <c r="AI229" s="14"/>
      <c r="AJ229" s="14"/>
    </row>
    <row r="230" spans="1:36" x14ac:dyDescent="0.25">
      <c r="A230" s="4" t="s">
        <v>390</v>
      </c>
      <c r="B230" s="1" t="s">
        <v>391</v>
      </c>
      <c r="C230" s="1" t="s">
        <v>20</v>
      </c>
      <c r="D230" s="1" t="s">
        <v>90</v>
      </c>
      <c r="E230" s="1" t="s">
        <v>22</v>
      </c>
      <c r="F230" s="1" t="s">
        <v>23</v>
      </c>
      <c r="G230" s="1" t="s">
        <v>29</v>
      </c>
      <c r="H230" s="12" t="s">
        <v>427</v>
      </c>
      <c r="I230" s="1" t="s">
        <v>428</v>
      </c>
      <c r="J230" s="1" t="s">
        <v>25</v>
      </c>
      <c r="K230" s="1" t="s">
        <v>93</v>
      </c>
      <c r="L230" s="1" t="s">
        <v>25</v>
      </c>
      <c r="M230" s="1" t="s">
        <v>26</v>
      </c>
      <c r="N230" s="1" t="s">
        <v>25</v>
      </c>
      <c r="O230" s="1" t="s">
        <v>94</v>
      </c>
      <c r="P230" s="1" t="s">
        <v>25</v>
      </c>
      <c r="Q230" s="1" t="s">
        <v>25</v>
      </c>
      <c r="R230" s="70" t="str">
        <f t="shared" si="16"/>
        <v>2445918</v>
      </c>
      <c r="S230" t="str">
        <f>VLOOKUP(A230,Data_NV!$A:$C,3,0)</f>
        <v xml:space="preserve"> Nguyễn Thiên Trang    </v>
      </c>
      <c r="T230" t="str">
        <f>VLOOKUP(A230,Data_NV!$A:$E,4,0)</f>
        <v>Vận Hành</v>
      </c>
      <c r="U230" s="67">
        <f>DATEVALUE(Table2[[#This Row],[Ngày]])</f>
        <v>45918</v>
      </c>
      <c r="V230" t="str">
        <f>VLOOKUP(A230,Data_NV!$A:$E,5,0)</f>
        <v>Đang làm việc</v>
      </c>
      <c r="W230" s="11">
        <f>VLOOKUP(A230,Data_NV!$A:$I,8,0)</f>
        <v>0.33333333333333331</v>
      </c>
      <c r="X230" s="11">
        <f>VLOOKUP(A230,Data_NV!$A:$I,9,0)</f>
        <v>0.70833333333333337</v>
      </c>
      <c r="Y230" s="11">
        <f>IFERROR(TIMEVALUE(Table2[[#This Row],[Vào]]),0)</f>
        <v>0.3159837962962963</v>
      </c>
      <c r="Z230" s="11">
        <f>IFERROR(TIMEVALUE(Table2[[#This Row],[Ra]]),0)</f>
        <v>0.76605324074074077</v>
      </c>
      <c r="AA230" t="str">
        <f t="shared" si="19"/>
        <v>x</v>
      </c>
      <c r="AB230" s="14">
        <f t="shared" si="17"/>
        <v>0</v>
      </c>
      <c r="AC230" s="14" t="str">
        <f>IF(VLOOKUP(A230,Data_NV!$A:$I,7,0)="Không","",IF(OR(AND(Y230=0,Z230=0),AND(Y230&lt;&gt;0,Z230&lt;&gt;0)),"","Quên chấm công"))</f>
        <v/>
      </c>
      <c r="AD230" s="14">
        <f>IF(VLOOKUP(A230,Data_NV!$A:$I,7,0)="Không",0,IF(AND(Y230=0,Z230=0),0,IF(X230&lt;=Z230,0,ROUNDDOWN((X230-Z230)*24*60,0))))</f>
        <v>0</v>
      </c>
      <c r="AE230" s="14">
        <f>IF(VLOOKUP(A230,Data_NV!$A:$I,6,0)="Không",0,IF(Z230&lt;=X230,0,ROUNDDOWN((Z230-X230)*24*60,0)))</f>
        <v>83</v>
      </c>
      <c r="AF230" s="29">
        <f t="shared" si="18"/>
        <v>0</v>
      </c>
      <c r="AG230" s="30" t="str">
        <f>IF(AC230="","",IF(COUNTIFS($AC$3:AC230,"Quên chấm công",$S$3:S230,S230)&gt;3,"Không chấm công do vi phạm quá 3 lần",IF(COUNTIFS($AC$3:AC230,"Quên chấm công",$S$3:S230,S230)&gt;2,"Trừ toàn bộ chuyên cần tháng do vi phạm lần 3",IF(COUNTIFS($AC$3:AC230,"Quên chấm công",$S$3:S230,S230)&gt;1,"Trừ 1/2 ngày lương",50000))))</f>
        <v/>
      </c>
      <c r="AH230" s="14" t="str">
        <f>IF(COUNTIFS($AF$3:AF230,"&gt;0",$S$3:S230,S230)&gt;3,"Trừ toàn bộ chuyên cần tháng","")</f>
        <v/>
      </c>
      <c r="AI230" s="14"/>
      <c r="AJ230" s="14"/>
    </row>
    <row r="231" spans="1:36" x14ac:dyDescent="0.25">
      <c r="A231" s="4" t="s">
        <v>390</v>
      </c>
      <c r="B231" s="1" t="s">
        <v>391</v>
      </c>
      <c r="C231" s="1" t="s">
        <v>20</v>
      </c>
      <c r="D231" s="1" t="s">
        <v>95</v>
      </c>
      <c r="E231" s="1" t="s">
        <v>22</v>
      </c>
      <c r="F231" s="1" t="s">
        <v>23</v>
      </c>
      <c r="G231" s="1" t="s">
        <v>29</v>
      </c>
      <c r="H231" s="12" t="s">
        <v>429</v>
      </c>
      <c r="I231" s="1" t="s">
        <v>430</v>
      </c>
      <c r="J231" s="1" t="s">
        <v>25</v>
      </c>
      <c r="K231" s="1" t="s">
        <v>362</v>
      </c>
      <c r="L231" s="1" t="s">
        <v>25</v>
      </c>
      <c r="M231" s="1" t="s">
        <v>26</v>
      </c>
      <c r="N231" s="1" t="s">
        <v>25</v>
      </c>
      <c r="O231" s="1" t="s">
        <v>363</v>
      </c>
      <c r="P231" s="1" t="s">
        <v>25</v>
      </c>
      <c r="Q231" s="1" t="s">
        <v>25</v>
      </c>
      <c r="R231" s="70" t="str">
        <f t="shared" si="16"/>
        <v>2445919</v>
      </c>
      <c r="S231" t="str">
        <f>VLOOKUP(A231,Data_NV!$A:$C,3,0)</f>
        <v xml:space="preserve"> Nguyễn Thiên Trang    </v>
      </c>
      <c r="T231" t="str">
        <f>VLOOKUP(A231,Data_NV!$A:$E,4,0)</f>
        <v>Vận Hành</v>
      </c>
      <c r="U231" s="67">
        <f>DATEVALUE(Table2[[#This Row],[Ngày]])</f>
        <v>45919</v>
      </c>
      <c r="V231" t="str">
        <f>VLOOKUP(A231,Data_NV!$A:$E,5,0)</f>
        <v>Đang làm việc</v>
      </c>
      <c r="W231" s="11">
        <f>VLOOKUP(A231,Data_NV!$A:$I,8,0)</f>
        <v>0.33333333333333331</v>
      </c>
      <c r="X231" s="11">
        <f>VLOOKUP(A231,Data_NV!$A:$I,9,0)</f>
        <v>0.70833333333333337</v>
      </c>
      <c r="Y231" s="11">
        <f>IFERROR(TIMEVALUE(Table2[[#This Row],[Vào]]),0)</f>
        <v>0.31363425925925925</v>
      </c>
      <c r="Z231" s="11">
        <f>IFERROR(TIMEVALUE(Table2[[#This Row],[Ra]]),0)</f>
        <v>0.75153935185185183</v>
      </c>
      <c r="AA231" t="str">
        <f t="shared" si="19"/>
        <v>x</v>
      </c>
      <c r="AB231" s="14">
        <f t="shared" si="17"/>
        <v>0</v>
      </c>
      <c r="AC231" s="14" t="str">
        <f>IF(VLOOKUP(A231,Data_NV!$A:$I,7,0)="Không","",IF(OR(AND(Y231=0,Z231=0),AND(Y231&lt;&gt;0,Z231&lt;&gt;0)),"","Quên chấm công"))</f>
        <v/>
      </c>
      <c r="AD231" s="14">
        <f>IF(VLOOKUP(A231,Data_NV!$A:$I,7,0)="Không",0,IF(AND(Y231=0,Z231=0),0,IF(X231&lt;=Z231,0,ROUNDDOWN((X231-Z231)*24*60,0))))</f>
        <v>0</v>
      </c>
      <c r="AE231" s="14">
        <f>IF(VLOOKUP(A231,Data_NV!$A:$I,6,0)="Không",0,IF(Z231&lt;=X231,0,ROUNDDOWN((Z231-X231)*24*60,0)))</f>
        <v>62</v>
      </c>
      <c r="AF231" s="29">
        <f t="shared" si="18"/>
        <v>0</v>
      </c>
      <c r="AG231" s="30" t="str">
        <f>IF(AC231="","",IF(COUNTIFS($AC$3:AC231,"Quên chấm công",$S$3:S231,S231)&gt;3,"Không chấm công do vi phạm quá 3 lần",IF(COUNTIFS($AC$3:AC231,"Quên chấm công",$S$3:S231,S231)&gt;2,"Trừ toàn bộ chuyên cần tháng do vi phạm lần 3",IF(COUNTIFS($AC$3:AC231,"Quên chấm công",$S$3:S231,S231)&gt;1,"Trừ 1/2 ngày lương",50000))))</f>
        <v/>
      </c>
      <c r="AH231" s="14" t="str">
        <f>IF(COUNTIFS($AF$3:AF231,"&gt;0",$S$3:S231,S231)&gt;3,"Trừ toàn bộ chuyên cần tháng","")</f>
        <v/>
      </c>
      <c r="AI231" s="14"/>
      <c r="AJ231" s="14"/>
    </row>
    <row r="232" spans="1:36" x14ac:dyDescent="0.25">
      <c r="A232" s="4" t="s">
        <v>390</v>
      </c>
      <c r="B232" s="1" t="s">
        <v>391</v>
      </c>
      <c r="C232" s="1" t="s">
        <v>20</v>
      </c>
      <c r="D232" s="1" t="s">
        <v>100</v>
      </c>
      <c r="E232" s="1" t="s">
        <v>22</v>
      </c>
      <c r="F232" s="1" t="s">
        <v>23</v>
      </c>
      <c r="G232" s="1" t="s">
        <v>29</v>
      </c>
      <c r="H232" s="12" t="s">
        <v>431</v>
      </c>
      <c r="I232" s="1" t="s">
        <v>432</v>
      </c>
      <c r="J232" s="1" t="s">
        <v>25</v>
      </c>
      <c r="K232" s="1" t="s">
        <v>366</v>
      </c>
      <c r="L232" s="1" t="s">
        <v>25</v>
      </c>
      <c r="M232" s="1" t="s">
        <v>26</v>
      </c>
      <c r="N232" s="1" t="s">
        <v>25</v>
      </c>
      <c r="O232" s="1" t="s">
        <v>367</v>
      </c>
      <c r="P232" s="1" t="s">
        <v>25</v>
      </c>
      <c r="Q232" s="1" t="s">
        <v>25</v>
      </c>
      <c r="R232" s="70" t="str">
        <f t="shared" si="16"/>
        <v>2445920</v>
      </c>
      <c r="S232" t="str">
        <f>VLOOKUP(A232,Data_NV!$A:$C,3,0)</f>
        <v xml:space="preserve"> Nguyễn Thiên Trang    </v>
      </c>
      <c r="T232" t="str">
        <f>VLOOKUP(A232,Data_NV!$A:$E,4,0)</f>
        <v>Vận Hành</v>
      </c>
      <c r="U232" s="67">
        <f>DATEVALUE(Table2[[#This Row],[Ngày]])</f>
        <v>45920</v>
      </c>
      <c r="V232" t="str">
        <f>VLOOKUP(A232,Data_NV!$A:$E,5,0)</f>
        <v>Đang làm việc</v>
      </c>
      <c r="W232" s="11">
        <f>VLOOKUP(A232,Data_NV!$A:$I,8,0)</f>
        <v>0.33333333333333331</v>
      </c>
      <c r="X232" s="11">
        <f>VLOOKUP(A232,Data_NV!$A:$I,9,0)</f>
        <v>0.70833333333333337</v>
      </c>
      <c r="Y232" s="11">
        <f>IFERROR(TIMEVALUE(Table2[[#This Row],[Vào]]),0)</f>
        <v>0.31244212962962964</v>
      </c>
      <c r="Z232" s="11">
        <f>IFERROR(TIMEVALUE(Table2[[#This Row],[Ra]]),0)</f>
        <v>0.73893518518518519</v>
      </c>
      <c r="AA232" t="str">
        <f t="shared" si="19"/>
        <v>x</v>
      </c>
      <c r="AB232" s="14">
        <f t="shared" si="17"/>
        <v>0</v>
      </c>
      <c r="AC232" s="14" t="str">
        <f>IF(VLOOKUP(A232,Data_NV!$A:$I,7,0)="Không","",IF(OR(AND(Y232=0,Z232=0),AND(Y232&lt;&gt;0,Z232&lt;&gt;0)),"","Quên chấm công"))</f>
        <v/>
      </c>
      <c r="AD232" s="14">
        <f>IF(VLOOKUP(A232,Data_NV!$A:$I,7,0)="Không",0,IF(AND(Y232=0,Z232=0),0,IF(X232&lt;=Z232,0,ROUNDDOWN((X232-Z232)*24*60,0))))</f>
        <v>0</v>
      </c>
      <c r="AE232" s="14">
        <f>IF(VLOOKUP(A232,Data_NV!$A:$I,6,0)="Không",0,IF(Z232&lt;=X232,0,ROUNDDOWN((Z232-X232)*24*60,0)))</f>
        <v>44</v>
      </c>
      <c r="AF232" s="29">
        <f t="shared" si="18"/>
        <v>0</v>
      </c>
      <c r="AG232" s="30" t="str">
        <f>IF(AC232="","",IF(COUNTIFS($AC$3:AC232,"Quên chấm công",$S$3:S232,S232)&gt;3,"Không chấm công do vi phạm quá 3 lần",IF(COUNTIFS($AC$3:AC232,"Quên chấm công",$S$3:S232,S232)&gt;2,"Trừ toàn bộ chuyên cần tháng do vi phạm lần 3",IF(COUNTIFS($AC$3:AC232,"Quên chấm công",$S$3:S232,S232)&gt;1,"Trừ 1/2 ngày lương",50000))))</f>
        <v/>
      </c>
      <c r="AH232" s="14" t="str">
        <f>IF(COUNTIFS($AF$3:AF232,"&gt;0",$S$3:S232,S232)&gt;3,"Trừ toàn bộ chuyên cần tháng","")</f>
        <v/>
      </c>
      <c r="AI232" s="14"/>
      <c r="AJ232" s="14"/>
    </row>
    <row r="233" spans="1:36" x14ac:dyDescent="0.25">
      <c r="A233" s="4" t="s">
        <v>390</v>
      </c>
      <c r="B233" s="1" t="s">
        <v>391</v>
      </c>
      <c r="C233" s="1" t="s">
        <v>20</v>
      </c>
      <c r="D233" s="1" t="s">
        <v>105</v>
      </c>
      <c r="E233" s="1" t="s">
        <v>22</v>
      </c>
      <c r="F233" s="1" t="s">
        <v>23</v>
      </c>
      <c r="G233" s="1" t="s">
        <v>12</v>
      </c>
      <c r="H233" s="12" t="s">
        <v>24</v>
      </c>
      <c r="I233" s="1" t="s">
        <v>24</v>
      </c>
      <c r="J233" s="1" t="s">
        <v>25</v>
      </c>
      <c r="K233" s="1" t="s">
        <v>25</v>
      </c>
      <c r="L233" s="1" t="s">
        <v>26</v>
      </c>
      <c r="M233" s="1" t="s">
        <v>25</v>
      </c>
      <c r="N233" s="1" t="s">
        <v>25</v>
      </c>
      <c r="O233" s="1" t="s">
        <v>25</v>
      </c>
      <c r="P233" s="1" t="s">
        <v>25</v>
      </c>
      <c r="Q233" s="1" t="s">
        <v>25</v>
      </c>
      <c r="R233" s="70" t="str">
        <f t="shared" ref="R233:R296" si="20">A233&amp;U233</f>
        <v>2445921</v>
      </c>
      <c r="S233" t="str">
        <f>VLOOKUP(A233,Data_NV!$A:$C,3,0)</f>
        <v xml:space="preserve"> Nguyễn Thiên Trang    </v>
      </c>
      <c r="T233" t="str">
        <f>VLOOKUP(A233,Data_NV!$A:$E,4,0)</f>
        <v>Vận Hành</v>
      </c>
      <c r="U233" s="67">
        <f>DATEVALUE(Table2[[#This Row],[Ngày]])</f>
        <v>45921</v>
      </c>
      <c r="V233" t="str">
        <f>VLOOKUP(A233,Data_NV!$A:$E,5,0)</f>
        <v>Đang làm việc</v>
      </c>
      <c r="W233" s="11">
        <f>VLOOKUP(A233,Data_NV!$A:$I,8,0)</f>
        <v>0.33333333333333331</v>
      </c>
      <c r="X233" s="11">
        <f>VLOOKUP(A233,Data_NV!$A:$I,9,0)</f>
        <v>0.70833333333333337</v>
      </c>
      <c r="Y233" s="11">
        <f>IFERROR(TIMEVALUE(Table2[[#This Row],[Vào]]),0)</f>
        <v>0</v>
      </c>
      <c r="Z233" s="11">
        <f>IFERROR(TIMEVALUE(Table2[[#This Row],[Ra]]),0)</f>
        <v>0</v>
      </c>
      <c r="AA233" t="str">
        <f t="shared" ref="AA233:AA296" si="21">IF(OR(AND(Y233=0,Z233=0),AG233="Không chấm công do vi phạm quá 3 lần"),"",IF(OR(AG233="Trừ 1/2 ngày lương",AF233="Trừ 1/2 ngày lương",AB233&gt;=60),"1/2","x"))</f>
        <v/>
      </c>
      <c r="AB233" s="14">
        <f t="shared" si="17"/>
        <v>0</v>
      </c>
      <c r="AC233" s="14" t="str">
        <f>IF(VLOOKUP(A233,Data_NV!$A:$I,7,0)="Không","",IF(OR(AND(Y233=0,Z233=0),AND(Y233&lt;&gt;0,Z233&lt;&gt;0)),"","Quên chấm công"))</f>
        <v/>
      </c>
      <c r="AD233" s="14">
        <f>IF(VLOOKUP(A233,Data_NV!$A:$I,7,0)="Không",0,IF(AND(Y233=0,Z233=0),0,IF(X233&lt;=Z233,0,ROUNDDOWN((X233-Z233)*24*60,0))))</f>
        <v>0</v>
      </c>
      <c r="AE233" s="14">
        <f>IF(VLOOKUP(A233,Data_NV!$A:$I,6,0)="Không",0,IF(Z233&lt;=X233,0,ROUNDDOWN((Z233-X233)*24*60,0)))</f>
        <v>0</v>
      </c>
      <c r="AF233" s="29">
        <f t="shared" ref="AF233:AF296" si="22">IF(AB233&gt;60,"Trừ 1/2 ngày lương",IF(AB233&gt;15,50000,IF(AB233&gt;6,30000,0)))</f>
        <v>0</v>
      </c>
      <c r="AG233" s="30" t="str">
        <f>IF(AC233="","",IF(COUNTIFS($AC$3:AC233,"Quên chấm công",$S$3:S233,S233)&gt;3,"Không chấm công do vi phạm quá 3 lần",IF(COUNTIFS($AC$3:AC233,"Quên chấm công",$S$3:S233,S233)&gt;2,"Trừ toàn bộ chuyên cần tháng do vi phạm lần 3",IF(COUNTIFS($AC$3:AC233,"Quên chấm công",$S$3:S233,S233)&gt;1,"Trừ 1/2 ngày lương",50000))))</f>
        <v/>
      </c>
      <c r="AH233" s="14" t="str">
        <f>IF(COUNTIFS($AF$3:AF233,"&gt;0",$S$3:S233,S233)&gt;3,"Trừ toàn bộ chuyên cần tháng","")</f>
        <v/>
      </c>
      <c r="AI233" s="14"/>
      <c r="AJ233" s="14"/>
    </row>
    <row r="234" spans="1:36" x14ac:dyDescent="0.25">
      <c r="A234" s="4" t="s">
        <v>390</v>
      </c>
      <c r="B234" s="1" t="s">
        <v>391</v>
      </c>
      <c r="C234" s="1" t="s">
        <v>20</v>
      </c>
      <c r="D234" s="1" t="s">
        <v>106</v>
      </c>
      <c r="E234" s="1" t="s">
        <v>22</v>
      </c>
      <c r="F234" s="1" t="s">
        <v>23</v>
      </c>
      <c r="G234" s="1" t="s">
        <v>29</v>
      </c>
      <c r="H234" s="12" t="s">
        <v>433</v>
      </c>
      <c r="I234" s="1" t="s">
        <v>434</v>
      </c>
      <c r="J234" s="1" t="s">
        <v>25</v>
      </c>
      <c r="K234" s="1" t="s">
        <v>88</v>
      </c>
      <c r="L234" s="1" t="s">
        <v>25</v>
      </c>
      <c r="M234" s="1" t="s">
        <v>26</v>
      </c>
      <c r="N234" s="1" t="s">
        <v>25</v>
      </c>
      <c r="O234" s="1" t="s">
        <v>89</v>
      </c>
      <c r="P234" s="1" t="s">
        <v>25</v>
      </c>
      <c r="Q234" s="1" t="s">
        <v>25</v>
      </c>
      <c r="R234" s="70" t="str">
        <f t="shared" si="20"/>
        <v>2445922</v>
      </c>
      <c r="S234" t="str">
        <f>VLOOKUP(A234,Data_NV!$A:$C,3,0)</f>
        <v xml:space="preserve"> Nguyễn Thiên Trang    </v>
      </c>
      <c r="T234" t="str">
        <f>VLOOKUP(A234,Data_NV!$A:$E,4,0)</f>
        <v>Vận Hành</v>
      </c>
      <c r="U234" s="67">
        <f>DATEVALUE(Table2[[#This Row],[Ngày]])</f>
        <v>45922</v>
      </c>
      <c r="V234" t="str">
        <f>VLOOKUP(A234,Data_NV!$A:$E,5,0)</f>
        <v>Đang làm việc</v>
      </c>
      <c r="W234" s="11">
        <f>VLOOKUP(A234,Data_NV!$A:$I,8,0)</f>
        <v>0.33333333333333331</v>
      </c>
      <c r="X234" s="11">
        <f>VLOOKUP(A234,Data_NV!$A:$I,9,0)</f>
        <v>0.70833333333333337</v>
      </c>
      <c r="Y234" s="11">
        <f>IFERROR(TIMEVALUE(Table2[[#This Row],[Vào]]),0)</f>
        <v>0.31332175925925926</v>
      </c>
      <c r="Z234" s="11">
        <f>IFERROR(TIMEVALUE(Table2[[#This Row],[Ra]]),0)</f>
        <v>0.77378472222222228</v>
      </c>
      <c r="AA234" t="str">
        <f t="shared" si="21"/>
        <v>x</v>
      </c>
      <c r="AB234" s="14">
        <f t="shared" si="17"/>
        <v>0</v>
      </c>
      <c r="AC234" s="14" t="str">
        <f>IF(VLOOKUP(A234,Data_NV!$A:$I,7,0)="Không","",IF(OR(AND(Y234=0,Z234=0),AND(Y234&lt;&gt;0,Z234&lt;&gt;0)),"","Quên chấm công"))</f>
        <v/>
      </c>
      <c r="AD234" s="14">
        <f>IF(VLOOKUP(A234,Data_NV!$A:$I,7,0)="Không",0,IF(AND(Y234=0,Z234=0),0,IF(X234&lt;=Z234,0,ROUNDDOWN((X234-Z234)*24*60,0))))</f>
        <v>0</v>
      </c>
      <c r="AE234" s="14">
        <f>IF(VLOOKUP(A234,Data_NV!$A:$I,6,0)="Không",0,IF(Z234&lt;=X234,0,ROUNDDOWN((Z234-X234)*24*60,0)))</f>
        <v>94</v>
      </c>
      <c r="AF234" s="29">
        <f t="shared" si="22"/>
        <v>0</v>
      </c>
      <c r="AG234" s="30" t="str">
        <f>IF(AC234="","",IF(COUNTIFS($AC$3:AC234,"Quên chấm công",$S$3:S234,S234)&gt;3,"Không chấm công do vi phạm quá 3 lần",IF(COUNTIFS($AC$3:AC234,"Quên chấm công",$S$3:S234,S234)&gt;2,"Trừ toàn bộ chuyên cần tháng do vi phạm lần 3",IF(COUNTIFS($AC$3:AC234,"Quên chấm công",$S$3:S234,S234)&gt;1,"Trừ 1/2 ngày lương",50000))))</f>
        <v/>
      </c>
      <c r="AH234" s="14" t="str">
        <f>IF(COUNTIFS($AF$3:AF234,"&gt;0",$S$3:S234,S234)&gt;3,"Trừ toàn bộ chuyên cần tháng","")</f>
        <v/>
      </c>
      <c r="AI234" s="14"/>
      <c r="AJ234" s="14"/>
    </row>
    <row r="235" spans="1:36" x14ac:dyDescent="0.25">
      <c r="A235" s="4" t="s">
        <v>390</v>
      </c>
      <c r="B235" s="1" t="s">
        <v>391</v>
      </c>
      <c r="C235" s="1" t="s">
        <v>20</v>
      </c>
      <c r="D235" s="1" t="s">
        <v>111</v>
      </c>
      <c r="E235" s="1" t="s">
        <v>22</v>
      </c>
      <c r="F235" s="1" t="s">
        <v>23</v>
      </c>
      <c r="G235" s="1" t="s">
        <v>29</v>
      </c>
      <c r="H235" s="12" t="s">
        <v>435</v>
      </c>
      <c r="I235" s="1" t="s">
        <v>436</v>
      </c>
      <c r="J235" s="1" t="s">
        <v>25</v>
      </c>
      <c r="K235" s="1" t="s">
        <v>437</v>
      </c>
      <c r="L235" s="1" t="s">
        <v>25</v>
      </c>
      <c r="M235" s="1" t="s">
        <v>26</v>
      </c>
      <c r="N235" s="1" t="s">
        <v>25</v>
      </c>
      <c r="O235" s="1" t="s">
        <v>33</v>
      </c>
      <c r="P235" s="1" t="s">
        <v>438</v>
      </c>
      <c r="Q235" s="1" t="s">
        <v>25</v>
      </c>
      <c r="R235" s="70" t="str">
        <f t="shared" si="20"/>
        <v>2445923</v>
      </c>
      <c r="S235" t="str">
        <f>VLOOKUP(A235,Data_NV!$A:$C,3,0)</f>
        <v xml:space="preserve"> Nguyễn Thiên Trang    </v>
      </c>
      <c r="T235" t="str">
        <f>VLOOKUP(A235,Data_NV!$A:$E,4,0)</f>
        <v>Vận Hành</v>
      </c>
      <c r="U235" s="67">
        <f>DATEVALUE(Table2[[#This Row],[Ngày]])</f>
        <v>45923</v>
      </c>
      <c r="V235" t="str">
        <f>VLOOKUP(A235,Data_NV!$A:$E,5,0)</f>
        <v>Đang làm việc</v>
      </c>
      <c r="W235" s="11">
        <f>VLOOKUP(A235,Data_NV!$A:$I,8,0)</f>
        <v>0.33333333333333331</v>
      </c>
      <c r="X235" s="11">
        <f>VLOOKUP(A235,Data_NV!$A:$I,9,0)</f>
        <v>0.70833333333333337</v>
      </c>
      <c r="Y235" s="11">
        <f>IFERROR(TIMEVALUE(Table2[[#This Row],[Vào]]),0)</f>
        <v>0.31224537037037037</v>
      </c>
      <c r="Z235" s="11">
        <f>IFERROR(TIMEVALUE(Table2[[#This Row],[Ra]]),0)</f>
        <v>0.81666666666666665</v>
      </c>
      <c r="AA235" t="str">
        <f t="shared" si="21"/>
        <v>x</v>
      </c>
      <c r="AB235" s="14">
        <f t="shared" si="17"/>
        <v>0</v>
      </c>
      <c r="AC235" s="14" t="str">
        <f>IF(VLOOKUP(A235,Data_NV!$A:$I,7,0)="Không","",IF(OR(AND(Y235=0,Z235=0),AND(Y235&lt;&gt;0,Z235&lt;&gt;0)),"","Quên chấm công"))</f>
        <v/>
      </c>
      <c r="AD235" s="14">
        <f>IF(VLOOKUP(A235,Data_NV!$A:$I,7,0)="Không",0,IF(AND(Y235=0,Z235=0),0,IF(X235&lt;=Z235,0,ROUNDDOWN((X235-Z235)*24*60,0))))</f>
        <v>0</v>
      </c>
      <c r="AE235" s="14">
        <f>IF(VLOOKUP(A235,Data_NV!$A:$I,6,0)="Không",0,IF(Z235&lt;=X235,0,ROUNDDOWN((Z235-X235)*24*60,0)))</f>
        <v>156</v>
      </c>
      <c r="AF235" s="29">
        <f t="shared" si="22"/>
        <v>0</v>
      </c>
      <c r="AG235" s="30" t="str">
        <f>IF(AC235="","",IF(COUNTIFS($AC$3:AC235,"Quên chấm công",$S$3:S235,S235)&gt;3,"Không chấm công do vi phạm quá 3 lần",IF(COUNTIFS($AC$3:AC235,"Quên chấm công",$S$3:S235,S235)&gt;2,"Trừ toàn bộ chuyên cần tháng do vi phạm lần 3",IF(COUNTIFS($AC$3:AC235,"Quên chấm công",$S$3:S235,S235)&gt;1,"Trừ 1/2 ngày lương",50000))))</f>
        <v/>
      </c>
      <c r="AH235" s="14" t="str">
        <f>IF(COUNTIFS($AF$3:AF235,"&gt;0",$S$3:S235,S235)&gt;3,"Trừ toàn bộ chuyên cần tháng","")</f>
        <v/>
      </c>
      <c r="AI235" s="14"/>
      <c r="AJ235" s="14"/>
    </row>
    <row r="236" spans="1:36" x14ac:dyDescent="0.25">
      <c r="A236" s="4" t="s">
        <v>390</v>
      </c>
      <c r="B236" s="1" t="s">
        <v>391</v>
      </c>
      <c r="C236" s="1" t="s">
        <v>20</v>
      </c>
      <c r="D236" s="1" t="s">
        <v>116</v>
      </c>
      <c r="E236" s="1" t="s">
        <v>22</v>
      </c>
      <c r="F236" s="1" t="s">
        <v>23</v>
      </c>
      <c r="G236" s="1" t="s">
        <v>29</v>
      </c>
      <c r="H236" s="12" t="s">
        <v>439</v>
      </c>
      <c r="I236" s="1" t="s">
        <v>440</v>
      </c>
      <c r="J236" s="1" t="s">
        <v>25</v>
      </c>
      <c r="K236" s="1" t="s">
        <v>376</v>
      </c>
      <c r="L236" s="1" t="s">
        <v>25</v>
      </c>
      <c r="M236" s="1" t="s">
        <v>26</v>
      </c>
      <c r="N236" s="1" t="s">
        <v>25</v>
      </c>
      <c r="O236" s="1" t="s">
        <v>33</v>
      </c>
      <c r="P236" s="1" t="s">
        <v>441</v>
      </c>
      <c r="Q236" s="1" t="s">
        <v>25</v>
      </c>
      <c r="R236" s="70" t="str">
        <f t="shared" si="20"/>
        <v>2445924</v>
      </c>
      <c r="S236" t="str">
        <f>VLOOKUP(A236,Data_NV!$A:$C,3,0)</f>
        <v xml:space="preserve"> Nguyễn Thiên Trang    </v>
      </c>
      <c r="T236" t="str">
        <f>VLOOKUP(A236,Data_NV!$A:$E,4,0)</f>
        <v>Vận Hành</v>
      </c>
      <c r="U236" s="67">
        <f>DATEVALUE(Table2[[#This Row],[Ngày]])</f>
        <v>45924</v>
      </c>
      <c r="V236" t="str">
        <f>VLOOKUP(A236,Data_NV!$A:$E,5,0)</f>
        <v>Đang làm việc</v>
      </c>
      <c r="W236" s="11">
        <f>VLOOKUP(A236,Data_NV!$A:$I,8,0)</f>
        <v>0.33333333333333331</v>
      </c>
      <c r="X236" s="11">
        <f>VLOOKUP(A236,Data_NV!$A:$I,9,0)</f>
        <v>0.70833333333333337</v>
      </c>
      <c r="Y236" s="11">
        <f>IFERROR(TIMEVALUE(Table2[[#This Row],[Vào]]),0)</f>
        <v>0.31395833333333334</v>
      </c>
      <c r="Z236" s="11">
        <f>IFERROR(TIMEVALUE(Table2[[#This Row],[Ra]]),0)</f>
        <v>0.83936342592592594</v>
      </c>
      <c r="AA236" t="str">
        <f t="shared" si="21"/>
        <v>x</v>
      </c>
      <c r="AB236" s="14">
        <f t="shared" si="17"/>
        <v>0</v>
      </c>
      <c r="AC236" s="14" t="str">
        <f>IF(VLOOKUP(A236,Data_NV!$A:$I,7,0)="Không","",IF(OR(AND(Y236=0,Z236=0),AND(Y236&lt;&gt;0,Z236&lt;&gt;0)),"","Quên chấm công"))</f>
        <v/>
      </c>
      <c r="AD236" s="14">
        <f>IF(VLOOKUP(A236,Data_NV!$A:$I,7,0)="Không",0,IF(AND(Y236=0,Z236=0),0,IF(X236&lt;=Z236,0,ROUNDDOWN((X236-Z236)*24*60,0))))</f>
        <v>0</v>
      </c>
      <c r="AE236" s="14">
        <f>IF(VLOOKUP(A236,Data_NV!$A:$I,6,0)="Không",0,IF(Z236&lt;=X236,0,ROUNDDOWN((Z236-X236)*24*60,0)))</f>
        <v>188</v>
      </c>
      <c r="AF236" s="29">
        <f t="shared" si="22"/>
        <v>0</v>
      </c>
      <c r="AG236" s="30" t="str">
        <f>IF(AC236="","",IF(COUNTIFS($AC$3:AC236,"Quên chấm công",$S$3:S236,S236)&gt;3,"Không chấm công do vi phạm quá 3 lần",IF(COUNTIFS($AC$3:AC236,"Quên chấm công",$S$3:S236,S236)&gt;2,"Trừ toàn bộ chuyên cần tháng do vi phạm lần 3",IF(COUNTIFS($AC$3:AC236,"Quên chấm công",$S$3:S236,S236)&gt;1,"Trừ 1/2 ngày lương",50000))))</f>
        <v/>
      </c>
      <c r="AH236" s="14" t="str">
        <f>IF(COUNTIFS($AF$3:AF236,"&gt;0",$S$3:S236,S236)&gt;3,"Trừ toàn bộ chuyên cần tháng","")</f>
        <v/>
      </c>
      <c r="AI236" s="14"/>
      <c r="AJ236" s="14"/>
    </row>
    <row r="237" spans="1:36" x14ac:dyDescent="0.25">
      <c r="A237" s="4" t="s">
        <v>390</v>
      </c>
      <c r="B237" s="1" t="s">
        <v>391</v>
      </c>
      <c r="C237" s="1" t="s">
        <v>20</v>
      </c>
      <c r="D237" s="1" t="s">
        <v>121</v>
      </c>
      <c r="E237" s="1" t="s">
        <v>22</v>
      </c>
      <c r="F237" s="1" t="s">
        <v>23</v>
      </c>
      <c r="G237" s="1" t="s">
        <v>29</v>
      </c>
      <c r="H237" s="12" t="s">
        <v>442</v>
      </c>
      <c r="I237" s="1" t="s">
        <v>443</v>
      </c>
      <c r="J237" s="1" t="s">
        <v>25</v>
      </c>
      <c r="K237" s="1" t="s">
        <v>380</v>
      </c>
      <c r="L237" s="1" t="s">
        <v>25</v>
      </c>
      <c r="M237" s="1" t="s">
        <v>26</v>
      </c>
      <c r="N237" s="1" t="s">
        <v>25</v>
      </c>
      <c r="O237" s="1" t="s">
        <v>381</v>
      </c>
      <c r="P237" s="1" t="s">
        <v>25</v>
      </c>
      <c r="Q237" s="1" t="s">
        <v>25</v>
      </c>
      <c r="R237" s="70" t="str">
        <f t="shared" si="20"/>
        <v>2445925</v>
      </c>
      <c r="S237" t="str">
        <f>VLOOKUP(A237,Data_NV!$A:$C,3,0)</f>
        <v xml:space="preserve"> Nguyễn Thiên Trang    </v>
      </c>
      <c r="T237" t="str">
        <f>VLOOKUP(A237,Data_NV!$A:$E,4,0)</f>
        <v>Vận Hành</v>
      </c>
      <c r="U237" s="67">
        <f>DATEVALUE(Table2[[#This Row],[Ngày]])</f>
        <v>45925</v>
      </c>
      <c r="V237" t="str">
        <f>VLOOKUP(A237,Data_NV!$A:$E,5,0)</f>
        <v>Đang làm việc</v>
      </c>
      <c r="W237" s="11">
        <f>VLOOKUP(A237,Data_NV!$A:$I,8,0)</f>
        <v>0.33333333333333331</v>
      </c>
      <c r="X237" s="11">
        <f>VLOOKUP(A237,Data_NV!$A:$I,9,0)</f>
        <v>0.70833333333333337</v>
      </c>
      <c r="Y237" s="11">
        <f>IFERROR(TIMEVALUE(Table2[[#This Row],[Vào]]),0)</f>
        <v>0.31321759259259258</v>
      </c>
      <c r="Z237" s="11">
        <f>IFERROR(TIMEVALUE(Table2[[#This Row],[Ra]]),0)</f>
        <v>0.76756944444444442</v>
      </c>
      <c r="AA237" t="str">
        <f t="shared" si="21"/>
        <v>x</v>
      </c>
      <c r="AB237" s="14">
        <f t="shared" si="17"/>
        <v>0</v>
      </c>
      <c r="AC237" s="14" t="str">
        <f>IF(VLOOKUP(A237,Data_NV!$A:$I,7,0)="Không","",IF(OR(AND(Y237=0,Z237=0),AND(Y237&lt;&gt;0,Z237&lt;&gt;0)),"","Quên chấm công"))</f>
        <v/>
      </c>
      <c r="AD237" s="14">
        <f>IF(VLOOKUP(A237,Data_NV!$A:$I,7,0)="Không",0,IF(AND(Y237=0,Z237=0),0,IF(X237&lt;=Z237,0,ROUNDDOWN((X237-Z237)*24*60,0))))</f>
        <v>0</v>
      </c>
      <c r="AE237" s="14">
        <f>IF(VLOOKUP(A237,Data_NV!$A:$I,6,0)="Không",0,IF(Z237&lt;=X237,0,ROUNDDOWN((Z237-X237)*24*60,0)))</f>
        <v>85</v>
      </c>
      <c r="AF237" s="29">
        <f t="shared" si="22"/>
        <v>0</v>
      </c>
      <c r="AG237" s="30" t="str">
        <f>IF(AC237="","",IF(COUNTIFS($AC$3:AC237,"Quên chấm công",$S$3:S237,S237)&gt;3,"Không chấm công do vi phạm quá 3 lần",IF(COUNTIFS($AC$3:AC237,"Quên chấm công",$S$3:S237,S237)&gt;2,"Trừ toàn bộ chuyên cần tháng do vi phạm lần 3",IF(COUNTIFS($AC$3:AC237,"Quên chấm công",$S$3:S237,S237)&gt;1,"Trừ 1/2 ngày lương",50000))))</f>
        <v/>
      </c>
      <c r="AH237" s="14" t="str">
        <f>IF(COUNTIFS($AF$3:AF237,"&gt;0",$S$3:S237,S237)&gt;3,"Trừ toàn bộ chuyên cần tháng","")</f>
        <v/>
      </c>
      <c r="AI237" s="14"/>
      <c r="AJ237" s="14"/>
    </row>
    <row r="238" spans="1:36" x14ac:dyDescent="0.25">
      <c r="A238" s="4" t="s">
        <v>390</v>
      </c>
      <c r="B238" s="1" t="s">
        <v>391</v>
      </c>
      <c r="C238" s="1" t="s">
        <v>20</v>
      </c>
      <c r="D238" s="1" t="s">
        <v>123</v>
      </c>
      <c r="E238" s="1" t="s">
        <v>22</v>
      </c>
      <c r="F238" s="1" t="s">
        <v>23</v>
      </c>
      <c r="G238" s="1" t="s">
        <v>29</v>
      </c>
      <c r="H238" s="12" t="s">
        <v>444</v>
      </c>
      <c r="I238" s="1" t="s">
        <v>445</v>
      </c>
      <c r="J238" s="1" t="s">
        <v>25</v>
      </c>
      <c r="K238" s="1" t="s">
        <v>45</v>
      </c>
      <c r="L238" s="1" t="s">
        <v>25</v>
      </c>
      <c r="M238" s="1" t="s">
        <v>26</v>
      </c>
      <c r="N238" s="1" t="s">
        <v>25</v>
      </c>
      <c r="O238" s="1" t="s">
        <v>46</v>
      </c>
      <c r="P238" s="1" t="s">
        <v>25</v>
      </c>
      <c r="Q238" s="1" t="s">
        <v>25</v>
      </c>
      <c r="R238" s="70" t="str">
        <f t="shared" si="20"/>
        <v>2445926</v>
      </c>
      <c r="S238" t="str">
        <f>VLOOKUP(A238,Data_NV!$A:$C,3,0)</f>
        <v xml:space="preserve"> Nguyễn Thiên Trang    </v>
      </c>
      <c r="T238" t="str">
        <f>VLOOKUP(A238,Data_NV!$A:$E,4,0)</f>
        <v>Vận Hành</v>
      </c>
      <c r="U238" s="67">
        <f>DATEVALUE(Table2[[#This Row],[Ngày]])</f>
        <v>45926</v>
      </c>
      <c r="V238" t="str">
        <f>VLOOKUP(A238,Data_NV!$A:$E,5,0)</f>
        <v>Đang làm việc</v>
      </c>
      <c r="W238" s="11">
        <f>VLOOKUP(A238,Data_NV!$A:$I,8,0)</f>
        <v>0.33333333333333331</v>
      </c>
      <c r="X238" s="11">
        <f>VLOOKUP(A238,Data_NV!$A:$I,9,0)</f>
        <v>0.70833333333333337</v>
      </c>
      <c r="Y238" s="11">
        <f>IFERROR(TIMEVALUE(Table2[[#This Row],[Vào]]),0)</f>
        <v>0.31552083333333331</v>
      </c>
      <c r="Z238" s="11">
        <f>IFERROR(TIMEVALUE(Table2[[#This Row],[Ra]]),0)</f>
        <v>0.7429513888888889</v>
      </c>
      <c r="AA238" t="str">
        <f t="shared" si="21"/>
        <v>x</v>
      </c>
      <c r="AB238" s="14">
        <f t="shared" si="17"/>
        <v>0</v>
      </c>
      <c r="AC238" s="14" t="str">
        <f>IF(VLOOKUP(A238,Data_NV!$A:$I,7,0)="Không","",IF(OR(AND(Y238=0,Z238=0),AND(Y238&lt;&gt;0,Z238&lt;&gt;0)),"","Quên chấm công"))</f>
        <v/>
      </c>
      <c r="AD238" s="14">
        <f>IF(VLOOKUP(A238,Data_NV!$A:$I,7,0)="Không",0,IF(AND(Y238=0,Z238=0),0,IF(X238&lt;=Z238,0,ROUNDDOWN((X238-Z238)*24*60,0))))</f>
        <v>0</v>
      </c>
      <c r="AE238" s="14">
        <f>IF(VLOOKUP(A238,Data_NV!$A:$I,6,0)="Không",0,IF(Z238&lt;=X238,0,ROUNDDOWN((Z238-X238)*24*60,0)))</f>
        <v>49</v>
      </c>
      <c r="AF238" s="29">
        <f t="shared" si="22"/>
        <v>0</v>
      </c>
      <c r="AG238" s="30" t="str">
        <f>IF(AC238="","",IF(COUNTIFS($AC$3:AC238,"Quên chấm công",$S$3:S238,S238)&gt;3,"Không chấm công do vi phạm quá 3 lần",IF(COUNTIFS($AC$3:AC238,"Quên chấm công",$S$3:S238,S238)&gt;2,"Trừ toàn bộ chuyên cần tháng do vi phạm lần 3",IF(COUNTIFS($AC$3:AC238,"Quên chấm công",$S$3:S238,S238)&gt;1,"Trừ 1/2 ngày lương",50000))))</f>
        <v/>
      </c>
      <c r="AH238" s="14" t="str">
        <f>IF(COUNTIFS($AF$3:AF238,"&gt;0",$S$3:S238,S238)&gt;3,"Trừ toàn bộ chuyên cần tháng","")</f>
        <v/>
      </c>
      <c r="AI238" s="14"/>
      <c r="AJ238" s="14"/>
    </row>
    <row r="239" spans="1:36" x14ac:dyDescent="0.25">
      <c r="A239" s="4" t="s">
        <v>390</v>
      </c>
      <c r="B239" s="1" t="s">
        <v>391</v>
      </c>
      <c r="C239" s="1" t="s">
        <v>20</v>
      </c>
      <c r="D239" s="1" t="s">
        <v>125</v>
      </c>
      <c r="E239" s="1" t="s">
        <v>22</v>
      </c>
      <c r="F239" s="1" t="s">
        <v>23</v>
      </c>
      <c r="G239" s="1" t="s">
        <v>29</v>
      </c>
      <c r="H239" s="12" t="s">
        <v>446</v>
      </c>
      <c r="I239" s="1" t="s">
        <v>447</v>
      </c>
      <c r="J239" s="1" t="s">
        <v>25</v>
      </c>
      <c r="K239" s="1" t="s">
        <v>448</v>
      </c>
      <c r="L239" s="1" t="s">
        <v>25</v>
      </c>
      <c r="M239" s="1" t="s">
        <v>26</v>
      </c>
      <c r="N239" s="1" t="s">
        <v>25</v>
      </c>
      <c r="O239" s="1" t="s">
        <v>449</v>
      </c>
      <c r="P239" s="1" t="s">
        <v>25</v>
      </c>
      <c r="Q239" s="1" t="s">
        <v>25</v>
      </c>
      <c r="R239" s="70" t="str">
        <f t="shared" si="20"/>
        <v>2445927</v>
      </c>
      <c r="S239" t="str">
        <f>VLOOKUP(A239,Data_NV!$A:$C,3,0)</f>
        <v xml:space="preserve"> Nguyễn Thiên Trang    </v>
      </c>
      <c r="T239" t="str">
        <f>VLOOKUP(A239,Data_NV!$A:$E,4,0)</f>
        <v>Vận Hành</v>
      </c>
      <c r="U239" s="67">
        <f>DATEVALUE(Table2[[#This Row],[Ngày]])</f>
        <v>45927</v>
      </c>
      <c r="V239" t="str">
        <f>VLOOKUP(A239,Data_NV!$A:$E,5,0)</f>
        <v>Đang làm việc</v>
      </c>
      <c r="W239" s="11">
        <f>VLOOKUP(A239,Data_NV!$A:$I,8,0)</f>
        <v>0.33333333333333331</v>
      </c>
      <c r="X239" s="11">
        <f>VLOOKUP(A239,Data_NV!$A:$I,9,0)</f>
        <v>0.70833333333333337</v>
      </c>
      <c r="Y239" s="11">
        <f>IFERROR(TIMEVALUE(Table2[[#This Row],[Vào]]),0)</f>
        <v>0.31236111111111109</v>
      </c>
      <c r="Z239" s="11">
        <f>IFERROR(TIMEVALUE(Table2[[#This Row],[Ra]]),0)</f>
        <v>0.73519675925925931</v>
      </c>
      <c r="AA239" t="str">
        <f t="shared" si="21"/>
        <v>x</v>
      </c>
      <c r="AB239" s="14">
        <f t="shared" si="17"/>
        <v>0</v>
      </c>
      <c r="AC239" s="14" t="str">
        <f>IF(VLOOKUP(A239,Data_NV!$A:$I,7,0)="Không","",IF(OR(AND(Y239=0,Z239=0),AND(Y239&lt;&gt;0,Z239&lt;&gt;0)),"","Quên chấm công"))</f>
        <v/>
      </c>
      <c r="AD239" s="14">
        <f>IF(VLOOKUP(A239,Data_NV!$A:$I,7,0)="Không",0,IF(AND(Y239=0,Z239=0),0,IF(X239&lt;=Z239,0,ROUNDDOWN((X239-Z239)*24*60,0))))</f>
        <v>0</v>
      </c>
      <c r="AE239" s="14">
        <f>IF(VLOOKUP(A239,Data_NV!$A:$I,6,0)="Không",0,IF(Z239&lt;=X239,0,ROUNDDOWN((Z239-X239)*24*60,0)))</f>
        <v>38</v>
      </c>
      <c r="AF239" s="29">
        <f t="shared" si="22"/>
        <v>0</v>
      </c>
      <c r="AG239" s="30" t="str">
        <f>IF(AC239="","",IF(COUNTIFS($AC$3:AC239,"Quên chấm công",$S$3:S239,S239)&gt;3,"Không chấm công do vi phạm quá 3 lần",IF(COUNTIFS($AC$3:AC239,"Quên chấm công",$S$3:S239,S239)&gt;2,"Trừ toàn bộ chuyên cần tháng do vi phạm lần 3",IF(COUNTIFS($AC$3:AC239,"Quên chấm công",$S$3:S239,S239)&gt;1,"Trừ 1/2 ngày lương",50000))))</f>
        <v/>
      </c>
      <c r="AH239" s="14" t="str">
        <f>IF(COUNTIFS($AF$3:AF239,"&gt;0",$S$3:S239,S239)&gt;3,"Trừ toàn bộ chuyên cần tháng","")</f>
        <v/>
      </c>
      <c r="AI239" s="14"/>
      <c r="AJ239" s="14"/>
    </row>
    <row r="240" spans="1:36" x14ac:dyDescent="0.25">
      <c r="A240" s="4" t="s">
        <v>390</v>
      </c>
      <c r="B240" s="1" t="s">
        <v>391</v>
      </c>
      <c r="C240" s="1" t="s">
        <v>20</v>
      </c>
      <c r="D240" s="1" t="s">
        <v>130</v>
      </c>
      <c r="E240" s="1" t="s">
        <v>22</v>
      </c>
      <c r="F240" s="1" t="s">
        <v>23</v>
      </c>
      <c r="G240" s="1" t="s">
        <v>12</v>
      </c>
      <c r="H240" s="12" t="s">
        <v>24</v>
      </c>
      <c r="I240" s="1" t="s">
        <v>24</v>
      </c>
      <c r="J240" s="1" t="s">
        <v>25</v>
      </c>
      <c r="K240" s="1" t="s">
        <v>25</v>
      </c>
      <c r="L240" s="1" t="s">
        <v>26</v>
      </c>
      <c r="M240" s="1" t="s">
        <v>25</v>
      </c>
      <c r="N240" s="1" t="s">
        <v>25</v>
      </c>
      <c r="O240" s="1" t="s">
        <v>25</v>
      </c>
      <c r="P240" s="1" t="s">
        <v>25</v>
      </c>
      <c r="Q240" s="1" t="s">
        <v>25</v>
      </c>
      <c r="R240" s="70" t="str">
        <f t="shared" si="20"/>
        <v>2445928</v>
      </c>
      <c r="S240" t="str">
        <f>VLOOKUP(A240,Data_NV!$A:$C,3,0)</f>
        <v xml:space="preserve"> Nguyễn Thiên Trang    </v>
      </c>
      <c r="T240" t="str">
        <f>VLOOKUP(A240,Data_NV!$A:$E,4,0)</f>
        <v>Vận Hành</v>
      </c>
      <c r="U240" s="67">
        <f>DATEVALUE(Table2[[#This Row],[Ngày]])</f>
        <v>45928</v>
      </c>
      <c r="V240" t="str">
        <f>VLOOKUP(A240,Data_NV!$A:$E,5,0)</f>
        <v>Đang làm việc</v>
      </c>
      <c r="W240" s="11">
        <f>VLOOKUP(A240,Data_NV!$A:$I,8,0)</f>
        <v>0.33333333333333331</v>
      </c>
      <c r="X240" s="11">
        <f>VLOOKUP(A240,Data_NV!$A:$I,9,0)</f>
        <v>0.70833333333333337</v>
      </c>
      <c r="Y240" s="11">
        <f>IFERROR(TIMEVALUE(Table2[[#This Row],[Vào]]),0)</f>
        <v>0</v>
      </c>
      <c r="Z240" s="11">
        <f>IFERROR(TIMEVALUE(Table2[[#This Row],[Ra]]),0)</f>
        <v>0</v>
      </c>
      <c r="AA240" t="str">
        <f t="shared" si="21"/>
        <v/>
      </c>
      <c r="AB240" s="14">
        <f t="shared" si="17"/>
        <v>0</v>
      </c>
      <c r="AC240" s="14" t="str">
        <f>IF(VLOOKUP(A240,Data_NV!$A:$I,7,0)="Không","",IF(OR(AND(Y240=0,Z240=0),AND(Y240&lt;&gt;0,Z240&lt;&gt;0)),"","Quên chấm công"))</f>
        <v/>
      </c>
      <c r="AD240" s="14">
        <f>IF(VLOOKUP(A240,Data_NV!$A:$I,7,0)="Không",0,IF(AND(Y240=0,Z240=0),0,IF(X240&lt;=Z240,0,ROUNDDOWN((X240-Z240)*24*60,0))))</f>
        <v>0</v>
      </c>
      <c r="AE240" s="14">
        <f>IF(VLOOKUP(A240,Data_NV!$A:$I,6,0)="Không",0,IF(Z240&lt;=X240,0,ROUNDDOWN((Z240-X240)*24*60,0)))</f>
        <v>0</v>
      </c>
      <c r="AF240" s="29">
        <f t="shared" si="22"/>
        <v>0</v>
      </c>
      <c r="AG240" s="30" t="str">
        <f>IF(AC240="","",IF(COUNTIFS($AC$3:AC240,"Quên chấm công",$S$3:S240,S240)&gt;3,"Không chấm công do vi phạm quá 3 lần",IF(COUNTIFS($AC$3:AC240,"Quên chấm công",$S$3:S240,S240)&gt;2,"Trừ toàn bộ chuyên cần tháng do vi phạm lần 3",IF(COUNTIFS($AC$3:AC240,"Quên chấm công",$S$3:S240,S240)&gt;1,"Trừ 1/2 ngày lương",50000))))</f>
        <v/>
      </c>
      <c r="AH240" s="14" t="str">
        <f>IF(COUNTIFS($AF$3:AF240,"&gt;0",$S$3:S240,S240)&gt;3,"Trừ toàn bộ chuyên cần tháng","")</f>
        <v/>
      </c>
      <c r="AI240" s="14"/>
      <c r="AJ240" s="14"/>
    </row>
    <row r="241" spans="1:36" x14ac:dyDescent="0.25">
      <c r="A241" s="4" t="s">
        <v>390</v>
      </c>
      <c r="B241" s="1" t="s">
        <v>391</v>
      </c>
      <c r="C241" s="1" t="s">
        <v>20</v>
      </c>
      <c r="D241" s="1" t="s">
        <v>131</v>
      </c>
      <c r="E241" s="1" t="s">
        <v>22</v>
      </c>
      <c r="F241" s="1" t="s">
        <v>23</v>
      </c>
      <c r="G241" s="1" t="s">
        <v>29</v>
      </c>
      <c r="H241" s="12" t="s">
        <v>450</v>
      </c>
      <c r="I241" s="1" t="s">
        <v>451</v>
      </c>
      <c r="J241" s="1" t="s">
        <v>25</v>
      </c>
      <c r="K241" s="1" t="s">
        <v>452</v>
      </c>
      <c r="L241" s="1" t="s">
        <v>25</v>
      </c>
      <c r="M241" s="1" t="s">
        <v>26</v>
      </c>
      <c r="N241" s="1" t="s">
        <v>25</v>
      </c>
      <c r="O241" s="1" t="s">
        <v>33</v>
      </c>
      <c r="P241" s="1" t="s">
        <v>299</v>
      </c>
      <c r="Q241" s="1" t="s">
        <v>25</v>
      </c>
      <c r="R241" s="70" t="str">
        <f t="shared" si="20"/>
        <v>2445929</v>
      </c>
      <c r="S241" t="str">
        <f>VLOOKUP(A241,Data_NV!$A:$C,3,0)</f>
        <v xml:space="preserve"> Nguyễn Thiên Trang    </v>
      </c>
      <c r="T241" t="str">
        <f>VLOOKUP(A241,Data_NV!$A:$E,4,0)</f>
        <v>Vận Hành</v>
      </c>
      <c r="U241" s="67">
        <f>DATEVALUE(Table2[[#This Row],[Ngày]])</f>
        <v>45929</v>
      </c>
      <c r="V241" t="str">
        <f>VLOOKUP(A241,Data_NV!$A:$E,5,0)</f>
        <v>Đang làm việc</v>
      </c>
      <c r="W241" s="11">
        <f>VLOOKUP(A241,Data_NV!$A:$I,8,0)</f>
        <v>0.33333333333333331</v>
      </c>
      <c r="X241" s="11">
        <f>VLOOKUP(A241,Data_NV!$A:$I,9,0)</f>
        <v>0.70833333333333337</v>
      </c>
      <c r="Y241" s="11">
        <f>IFERROR(TIMEVALUE(Table2[[#This Row],[Vào]]),0)</f>
        <v>0.31472222222222224</v>
      </c>
      <c r="Z241" s="11">
        <f>IFERROR(TIMEVALUE(Table2[[#This Row],[Ra]]),0)</f>
        <v>0.80104166666666665</v>
      </c>
      <c r="AA241" t="str">
        <f t="shared" si="21"/>
        <v>x</v>
      </c>
      <c r="AB241" s="14">
        <f t="shared" si="17"/>
        <v>0</v>
      </c>
      <c r="AC241" s="14" t="str">
        <f>IF(VLOOKUP(A241,Data_NV!$A:$I,7,0)="Không","",IF(OR(AND(Y241=0,Z241=0),AND(Y241&lt;&gt;0,Z241&lt;&gt;0)),"","Quên chấm công"))</f>
        <v/>
      </c>
      <c r="AD241" s="14">
        <f>IF(VLOOKUP(A241,Data_NV!$A:$I,7,0)="Không",0,IF(AND(Y241=0,Z241=0),0,IF(X241&lt;=Z241,0,ROUNDDOWN((X241-Z241)*24*60,0))))</f>
        <v>0</v>
      </c>
      <c r="AE241" s="14">
        <f>IF(VLOOKUP(A241,Data_NV!$A:$I,6,0)="Không",0,IF(Z241&lt;=X241,0,ROUNDDOWN((Z241-X241)*24*60,0)))</f>
        <v>133</v>
      </c>
      <c r="AF241" s="29">
        <f t="shared" si="22"/>
        <v>0</v>
      </c>
      <c r="AG241" s="30" t="str">
        <f>IF(AC241="","",IF(COUNTIFS($AC$3:AC241,"Quên chấm công",$S$3:S241,S241)&gt;3,"Không chấm công do vi phạm quá 3 lần",IF(COUNTIFS($AC$3:AC241,"Quên chấm công",$S$3:S241,S241)&gt;2,"Trừ toàn bộ chuyên cần tháng do vi phạm lần 3",IF(COUNTIFS($AC$3:AC241,"Quên chấm công",$S$3:S241,S241)&gt;1,"Trừ 1/2 ngày lương",50000))))</f>
        <v/>
      </c>
      <c r="AH241" s="14" t="str">
        <f>IF(COUNTIFS($AF$3:AF241,"&gt;0",$S$3:S241,S241)&gt;3,"Trừ toàn bộ chuyên cần tháng","")</f>
        <v/>
      </c>
      <c r="AI241" s="14"/>
      <c r="AJ241" s="14"/>
    </row>
    <row r="242" spans="1:36" x14ac:dyDescent="0.25">
      <c r="A242" s="4" t="s">
        <v>390</v>
      </c>
      <c r="B242" s="1" t="s">
        <v>391</v>
      </c>
      <c r="C242" s="1" t="s">
        <v>20</v>
      </c>
      <c r="D242" s="1" t="s">
        <v>136</v>
      </c>
      <c r="E242" s="1" t="s">
        <v>22</v>
      </c>
      <c r="F242" s="1" t="s">
        <v>23</v>
      </c>
      <c r="G242" s="1" t="s">
        <v>29</v>
      </c>
      <c r="H242" s="12" t="s">
        <v>439</v>
      </c>
      <c r="I242" s="1" t="s">
        <v>453</v>
      </c>
      <c r="J242" s="1" t="s">
        <v>25</v>
      </c>
      <c r="K242" s="1" t="s">
        <v>454</v>
      </c>
      <c r="L242" s="1" t="s">
        <v>25</v>
      </c>
      <c r="M242" s="1" t="s">
        <v>26</v>
      </c>
      <c r="N242" s="1" t="s">
        <v>25</v>
      </c>
      <c r="O242" s="1" t="s">
        <v>394</v>
      </c>
      <c r="P242" s="1" t="s">
        <v>25</v>
      </c>
      <c r="Q242" s="1" t="s">
        <v>25</v>
      </c>
      <c r="R242" s="70" t="str">
        <f t="shared" si="20"/>
        <v>2445930</v>
      </c>
      <c r="S242" t="str">
        <f>VLOOKUP(A242,Data_NV!$A:$C,3,0)</f>
        <v xml:space="preserve"> Nguyễn Thiên Trang    </v>
      </c>
      <c r="T242" t="str">
        <f>VLOOKUP(A242,Data_NV!$A:$E,4,0)</f>
        <v>Vận Hành</v>
      </c>
      <c r="U242" s="67">
        <f>DATEVALUE(Table2[[#This Row],[Ngày]])</f>
        <v>45930</v>
      </c>
      <c r="V242" t="str">
        <f>VLOOKUP(A242,Data_NV!$A:$E,5,0)</f>
        <v>Đang làm việc</v>
      </c>
      <c r="W242" s="11">
        <f>VLOOKUP(A242,Data_NV!$A:$I,8,0)</f>
        <v>0.33333333333333331</v>
      </c>
      <c r="X242" s="11">
        <f>VLOOKUP(A242,Data_NV!$A:$I,9,0)</f>
        <v>0.70833333333333337</v>
      </c>
      <c r="Y242" s="11">
        <f>IFERROR(TIMEVALUE(Table2[[#This Row],[Vào]]),0)</f>
        <v>0.31395833333333334</v>
      </c>
      <c r="Z242" s="11">
        <f>IFERROR(TIMEVALUE(Table2[[#This Row],[Ra]]),0)</f>
        <v>0.7702430555555555</v>
      </c>
      <c r="AA242" t="str">
        <f t="shared" si="21"/>
        <v>x</v>
      </c>
      <c r="AB242" s="14">
        <f t="shared" si="17"/>
        <v>0</v>
      </c>
      <c r="AC242" s="14" t="str">
        <f>IF(VLOOKUP(A242,Data_NV!$A:$I,7,0)="Không","",IF(OR(AND(Y242=0,Z242=0),AND(Y242&lt;&gt;0,Z242&lt;&gt;0)),"","Quên chấm công"))</f>
        <v/>
      </c>
      <c r="AD242" s="14">
        <f>IF(VLOOKUP(A242,Data_NV!$A:$I,7,0)="Không",0,IF(AND(Y242=0,Z242=0),0,IF(X242&lt;=Z242,0,ROUNDDOWN((X242-Z242)*24*60,0))))</f>
        <v>0</v>
      </c>
      <c r="AE242" s="14">
        <f>IF(VLOOKUP(A242,Data_NV!$A:$I,6,0)="Không",0,IF(Z242&lt;=X242,0,ROUNDDOWN((Z242-X242)*24*60,0)))</f>
        <v>89</v>
      </c>
      <c r="AF242" s="29">
        <f t="shared" si="22"/>
        <v>0</v>
      </c>
      <c r="AG242" s="30" t="str">
        <f>IF(AC242="","",IF(COUNTIFS($AC$3:AC242,"Quên chấm công",$S$3:S242,S242)&gt;3,"Không chấm công do vi phạm quá 3 lần",IF(COUNTIFS($AC$3:AC242,"Quên chấm công",$S$3:S242,S242)&gt;2,"Trừ toàn bộ chuyên cần tháng do vi phạm lần 3",IF(COUNTIFS($AC$3:AC242,"Quên chấm công",$S$3:S242,S242)&gt;1,"Trừ 1/2 ngày lương",50000))))</f>
        <v/>
      </c>
      <c r="AH242" s="14" t="str">
        <f>IF(COUNTIFS($AF$3:AF242,"&gt;0",$S$3:S242,S242)&gt;3,"Trừ toàn bộ chuyên cần tháng","")</f>
        <v/>
      </c>
      <c r="AI242" s="14"/>
      <c r="AJ242" s="14"/>
    </row>
    <row r="243" spans="1:36" x14ac:dyDescent="0.25">
      <c r="A243" s="4" t="s">
        <v>455</v>
      </c>
      <c r="B243" s="1" t="s">
        <v>456</v>
      </c>
      <c r="C243" s="1" t="s">
        <v>20</v>
      </c>
      <c r="D243" s="1" t="s">
        <v>21</v>
      </c>
      <c r="E243" s="1" t="s">
        <v>22</v>
      </c>
      <c r="F243" s="1" t="s">
        <v>23</v>
      </c>
      <c r="G243" s="1" t="s">
        <v>12</v>
      </c>
      <c r="H243" s="12" t="s">
        <v>24</v>
      </c>
      <c r="I243" s="1" t="s">
        <v>24</v>
      </c>
      <c r="J243" s="1" t="s">
        <v>25</v>
      </c>
      <c r="K243" s="1" t="s">
        <v>25</v>
      </c>
      <c r="L243" s="1" t="s">
        <v>26</v>
      </c>
      <c r="M243" s="1" t="s">
        <v>25</v>
      </c>
      <c r="N243" s="1" t="s">
        <v>25</v>
      </c>
      <c r="O243" s="1" t="s">
        <v>25</v>
      </c>
      <c r="P243" s="1" t="s">
        <v>25</v>
      </c>
      <c r="Q243" s="1" t="s">
        <v>25</v>
      </c>
      <c r="R243" s="70" t="str">
        <f t="shared" si="20"/>
        <v>2545901</v>
      </c>
      <c r="S243" t="str">
        <f>VLOOKUP(A243,Data_NV!$A:$C,3,0)</f>
        <v xml:space="preserve"> Nguyễn Hoàng Thực    </v>
      </c>
      <c r="T243" t="str">
        <f>VLOOKUP(A243,Data_NV!$A:$E,4,0)</f>
        <v>Vận Hành</v>
      </c>
      <c r="U243" s="67">
        <f>DATEVALUE(Table2[[#This Row],[Ngày]])</f>
        <v>45901</v>
      </c>
      <c r="V243" t="str">
        <f>VLOOKUP(A243,Data_NV!$A:$E,5,0)</f>
        <v>Đang làm việc</v>
      </c>
      <c r="W243" s="11">
        <f>VLOOKUP(A243,Data_NV!$A:$I,8,0)</f>
        <v>0.3125</v>
      </c>
      <c r="X243" s="11">
        <f>VLOOKUP(A243,Data_NV!$A:$I,9,0)</f>
        <v>0.6875</v>
      </c>
      <c r="Y243" s="11">
        <f>IFERROR(TIMEVALUE(Table2[[#This Row],[Vào]]),0)</f>
        <v>0</v>
      </c>
      <c r="Z243" s="11">
        <f>IFERROR(TIMEVALUE(Table2[[#This Row],[Ra]]),0)</f>
        <v>0</v>
      </c>
      <c r="AA243" s="10" t="s">
        <v>771</v>
      </c>
      <c r="AB243" s="14">
        <f t="shared" si="17"/>
        <v>0</v>
      </c>
      <c r="AC243" s="14" t="str">
        <f>IF(VLOOKUP(A243,Data_NV!$A:$I,7,0)="Không","",IF(OR(AND(Y243=0,Z243=0),AND(Y243&lt;&gt;0,Z243&lt;&gt;0)),"","Quên chấm công"))</f>
        <v/>
      </c>
      <c r="AD243" s="14">
        <f>IF(VLOOKUP(A243,Data_NV!$A:$I,7,0)="Không",0,IF(AND(Y243=0,Z243=0),0,IF(X243&lt;=Z243,0,ROUNDDOWN((X243-Z243)*24*60,0))))</f>
        <v>0</v>
      </c>
      <c r="AE243" s="14">
        <f>IF(VLOOKUP(A243,Data_NV!$A:$I,6,0)="Không",0,IF(Z243&lt;=X243,0,ROUNDDOWN((Z243-X243)*24*60,0)))</f>
        <v>0</v>
      </c>
      <c r="AF243" s="29">
        <f t="shared" si="22"/>
        <v>0</v>
      </c>
      <c r="AG243" s="30" t="str">
        <f>IF(AC243="","",IF(COUNTIFS($AC$3:AC243,"Quên chấm công",$S$3:S243,S243)&gt;3,"Không chấm công do vi phạm quá 3 lần",IF(COUNTIFS($AC$3:AC243,"Quên chấm công",$S$3:S243,S243)&gt;2,"Trừ toàn bộ chuyên cần tháng do vi phạm lần 3",IF(COUNTIFS($AC$3:AC243,"Quên chấm công",$S$3:S243,S243)&gt;1,"Trừ 1/2 ngày lương",50000))))</f>
        <v/>
      </c>
      <c r="AH243" s="14" t="str">
        <f>IF(COUNTIFS($AF$3:AF243,"&gt;0",$S$3:S243,S243)&gt;3,"Trừ toàn bộ chuyên cần tháng","")</f>
        <v/>
      </c>
      <c r="AI243" s="14"/>
      <c r="AJ243" s="14"/>
    </row>
    <row r="244" spans="1:36" x14ac:dyDescent="0.25">
      <c r="A244" s="4" t="s">
        <v>455</v>
      </c>
      <c r="B244" s="1" t="s">
        <v>456</v>
      </c>
      <c r="C244" s="1" t="s">
        <v>20</v>
      </c>
      <c r="D244" s="1" t="s">
        <v>27</v>
      </c>
      <c r="E244" s="1" t="s">
        <v>22</v>
      </c>
      <c r="F244" s="1" t="s">
        <v>23</v>
      </c>
      <c r="G244" s="1" t="s">
        <v>12</v>
      </c>
      <c r="H244" s="12" t="s">
        <v>24</v>
      </c>
      <c r="I244" s="1" t="s">
        <v>24</v>
      </c>
      <c r="J244" s="1" t="s">
        <v>25</v>
      </c>
      <c r="K244" s="1" t="s">
        <v>25</v>
      </c>
      <c r="L244" s="1" t="s">
        <v>26</v>
      </c>
      <c r="M244" s="1" t="s">
        <v>25</v>
      </c>
      <c r="N244" s="1" t="s">
        <v>25</v>
      </c>
      <c r="O244" s="1" t="s">
        <v>25</v>
      </c>
      <c r="P244" s="1" t="s">
        <v>25</v>
      </c>
      <c r="Q244" s="1" t="s">
        <v>25</v>
      </c>
      <c r="R244" s="70" t="str">
        <f t="shared" si="20"/>
        <v>2545902</v>
      </c>
      <c r="S244" t="str">
        <f>VLOOKUP(A244,Data_NV!$A:$C,3,0)</f>
        <v xml:space="preserve"> Nguyễn Hoàng Thực    </v>
      </c>
      <c r="T244" t="str">
        <f>VLOOKUP(A244,Data_NV!$A:$E,4,0)</f>
        <v>Vận Hành</v>
      </c>
      <c r="U244" s="67">
        <f>DATEVALUE(Table2[[#This Row],[Ngày]])</f>
        <v>45902</v>
      </c>
      <c r="V244" t="str">
        <f>VLOOKUP(A244,Data_NV!$A:$E,5,0)</f>
        <v>Đang làm việc</v>
      </c>
      <c r="W244" s="11">
        <f>VLOOKUP(A244,Data_NV!$A:$I,8,0)</f>
        <v>0.3125</v>
      </c>
      <c r="X244" s="11">
        <f>VLOOKUP(A244,Data_NV!$A:$I,9,0)</f>
        <v>0.6875</v>
      </c>
      <c r="Y244" s="11">
        <f>IFERROR(TIMEVALUE(Table2[[#This Row],[Vào]]),0)</f>
        <v>0</v>
      </c>
      <c r="Z244" s="11">
        <f>IFERROR(TIMEVALUE(Table2[[#This Row],[Ra]]),0)</f>
        <v>0</v>
      </c>
      <c r="AA244" s="10" t="s">
        <v>771</v>
      </c>
      <c r="AB244" s="14">
        <f t="shared" si="17"/>
        <v>0</v>
      </c>
      <c r="AC244" s="14" t="str">
        <f>IF(VLOOKUP(A244,Data_NV!$A:$I,7,0)="Không","",IF(OR(AND(Y244=0,Z244=0),AND(Y244&lt;&gt;0,Z244&lt;&gt;0)),"","Quên chấm công"))</f>
        <v/>
      </c>
      <c r="AD244" s="14">
        <f>IF(VLOOKUP(A244,Data_NV!$A:$I,7,0)="Không",0,IF(AND(Y244=0,Z244=0),0,IF(X244&lt;=Z244,0,ROUNDDOWN((X244-Z244)*24*60,0))))</f>
        <v>0</v>
      </c>
      <c r="AE244" s="14">
        <f>IF(VLOOKUP(A244,Data_NV!$A:$I,6,0)="Không",0,IF(Z244&lt;=X244,0,ROUNDDOWN((Z244-X244)*24*60,0)))</f>
        <v>0</v>
      </c>
      <c r="AF244" s="29">
        <f t="shared" si="22"/>
        <v>0</v>
      </c>
      <c r="AG244" s="30" t="str">
        <f>IF(AC244="","",IF(COUNTIFS($AC$3:AC244,"Quên chấm công",$S$3:S244,S244)&gt;3,"Không chấm công do vi phạm quá 3 lần",IF(COUNTIFS($AC$3:AC244,"Quên chấm công",$S$3:S244,S244)&gt;2,"Trừ toàn bộ chuyên cần tháng do vi phạm lần 3",IF(COUNTIFS($AC$3:AC244,"Quên chấm công",$S$3:S244,S244)&gt;1,"Trừ 1/2 ngày lương",50000))))</f>
        <v/>
      </c>
      <c r="AH244" s="14" t="str">
        <f>IF(COUNTIFS($AF$3:AF244,"&gt;0",$S$3:S244,S244)&gt;3,"Trừ toàn bộ chuyên cần tháng","")</f>
        <v/>
      </c>
      <c r="AI244" s="14"/>
      <c r="AJ244" s="14"/>
    </row>
    <row r="245" spans="1:36" x14ac:dyDescent="0.25">
      <c r="A245" s="4" t="s">
        <v>455</v>
      </c>
      <c r="B245" s="1" t="s">
        <v>456</v>
      </c>
      <c r="C245" s="1" t="s">
        <v>20</v>
      </c>
      <c r="D245" s="1" t="s">
        <v>28</v>
      </c>
      <c r="E245" s="1" t="s">
        <v>22</v>
      </c>
      <c r="F245" s="1" t="s">
        <v>23</v>
      </c>
      <c r="G245" s="1" t="s">
        <v>12</v>
      </c>
      <c r="H245" s="12" t="s">
        <v>457</v>
      </c>
      <c r="I245" s="1" t="s">
        <v>24</v>
      </c>
      <c r="J245" s="1" t="s">
        <v>25</v>
      </c>
      <c r="K245" s="1" t="s">
        <v>25</v>
      </c>
      <c r="L245" s="1" t="s">
        <v>26</v>
      </c>
      <c r="M245" s="1" t="s">
        <v>25</v>
      </c>
      <c r="N245" s="1" t="s">
        <v>25</v>
      </c>
      <c r="O245" s="1" t="s">
        <v>25</v>
      </c>
      <c r="P245" s="1" t="s">
        <v>25</v>
      </c>
      <c r="Q245" s="1" t="s">
        <v>25</v>
      </c>
      <c r="R245" s="70" t="str">
        <f t="shared" si="20"/>
        <v>2545903</v>
      </c>
      <c r="S245" t="str">
        <f>VLOOKUP(A245,Data_NV!$A:$C,3,0)</f>
        <v xml:space="preserve"> Nguyễn Hoàng Thực    </v>
      </c>
      <c r="T245" t="str">
        <f>VLOOKUP(A245,Data_NV!$A:$E,4,0)</f>
        <v>Vận Hành</v>
      </c>
      <c r="U245" s="67">
        <f>DATEVALUE(Table2[[#This Row],[Ngày]])</f>
        <v>45903</v>
      </c>
      <c r="V245" t="str">
        <f>VLOOKUP(A245,Data_NV!$A:$E,5,0)</f>
        <v>Đang làm việc</v>
      </c>
      <c r="W245" s="11">
        <f>VLOOKUP(A245,Data_NV!$A:$I,8,0)</f>
        <v>0.3125</v>
      </c>
      <c r="X245" s="11">
        <f>VLOOKUP(A245,Data_NV!$A:$I,9,0)</f>
        <v>0.6875</v>
      </c>
      <c r="Y245" s="11">
        <f>IFERROR(TIMEVALUE(Table2[[#This Row],[Vào]]),0)</f>
        <v>0.3142361111111111</v>
      </c>
      <c r="Z245" s="11">
        <f>IFERROR(TIMEVALUE(Table2[[#This Row],[Ra]]),0)</f>
        <v>0</v>
      </c>
      <c r="AA245" t="str">
        <f t="shared" si="21"/>
        <v>x</v>
      </c>
      <c r="AB245" s="14">
        <f t="shared" ref="AB245:AB272" si="23">IF(Y245&lt;=W245,0,ROUNDDOWN((Y245-W245)*24*60,0))</f>
        <v>2</v>
      </c>
      <c r="AC245" s="14" t="str">
        <f>IF(VLOOKUP(A245,Data_NV!$A:$I,7,0)="Không","",IF(OR(AND(Y245=0,Z245=0),AND(Y245&lt;&gt;0,Z245&lt;&gt;0)),"","Quên chấm công"))</f>
        <v/>
      </c>
      <c r="AD245" s="14">
        <f>IF(VLOOKUP(A245,Data_NV!$A:$I,7,0)="Không",0,IF(AND(Y245=0,Z245=0),0,IF(X245&lt;=Z245,0,ROUNDDOWN((X245-Z245)*24*60,0))))</f>
        <v>0</v>
      </c>
      <c r="AE245" s="14">
        <f>IF(VLOOKUP(A245,Data_NV!$A:$I,6,0)="Không",0,IF(Z245&lt;=X245,0,ROUNDDOWN((Z245-X245)*24*60,0)))</f>
        <v>0</v>
      </c>
      <c r="AF245" s="29">
        <f t="shared" si="22"/>
        <v>0</v>
      </c>
      <c r="AG245" s="30" t="str">
        <f>IF(AC245="","",IF(COUNTIFS($AC$3:AC245,"Quên chấm công",$S$3:S245,S245)&gt;3,"Không chấm công do vi phạm quá 3 lần",IF(COUNTIFS($AC$3:AC245,"Quên chấm công",$S$3:S245,S245)&gt;2,"Trừ toàn bộ chuyên cần tháng do vi phạm lần 3",IF(COUNTIFS($AC$3:AC245,"Quên chấm công",$S$3:S245,S245)&gt;1,"Trừ 1/2 ngày lương",50000))))</f>
        <v/>
      </c>
      <c r="AH245" s="14" t="str">
        <f>IF(COUNTIFS($AF$3:AF245,"&gt;0",$S$3:S245,S245)&gt;3,"Trừ toàn bộ chuyên cần tháng","")</f>
        <v/>
      </c>
      <c r="AI245" s="14"/>
      <c r="AJ245" s="14"/>
    </row>
    <row r="246" spans="1:36" x14ac:dyDescent="0.25">
      <c r="A246" s="4" t="s">
        <v>455</v>
      </c>
      <c r="B246" s="1" t="s">
        <v>456</v>
      </c>
      <c r="C246" s="1" t="s">
        <v>20</v>
      </c>
      <c r="D246" s="1" t="s">
        <v>35</v>
      </c>
      <c r="E246" s="1" t="s">
        <v>22</v>
      </c>
      <c r="F246" s="1" t="s">
        <v>23</v>
      </c>
      <c r="G246" s="1" t="s">
        <v>12</v>
      </c>
      <c r="H246" s="12" t="s">
        <v>458</v>
      </c>
      <c r="I246" s="1" t="s">
        <v>24</v>
      </c>
      <c r="J246" s="1" t="s">
        <v>25</v>
      </c>
      <c r="K246" s="1" t="s">
        <v>25</v>
      </c>
      <c r="L246" s="1" t="s">
        <v>26</v>
      </c>
      <c r="M246" s="1" t="s">
        <v>25</v>
      </c>
      <c r="N246" s="1" t="s">
        <v>25</v>
      </c>
      <c r="O246" s="1" t="s">
        <v>25</v>
      </c>
      <c r="P246" s="1" t="s">
        <v>25</v>
      </c>
      <c r="Q246" s="1" t="s">
        <v>25</v>
      </c>
      <c r="R246" s="70" t="str">
        <f t="shared" si="20"/>
        <v>2545904</v>
      </c>
      <c r="S246" t="str">
        <f>VLOOKUP(A246,Data_NV!$A:$C,3,0)</f>
        <v xml:space="preserve"> Nguyễn Hoàng Thực    </v>
      </c>
      <c r="T246" t="str">
        <f>VLOOKUP(A246,Data_NV!$A:$E,4,0)</f>
        <v>Vận Hành</v>
      </c>
      <c r="U246" s="67">
        <f>DATEVALUE(Table2[[#This Row],[Ngày]])</f>
        <v>45904</v>
      </c>
      <c r="V246" t="str">
        <f>VLOOKUP(A246,Data_NV!$A:$E,5,0)</f>
        <v>Đang làm việc</v>
      </c>
      <c r="W246" s="11">
        <f>VLOOKUP(A246,Data_NV!$A:$I,8,0)</f>
        <v>0.3125</v>
      </c>
      <c r="X246" s="11">
        <f>VLOOKUP(A246,Data_NV!$A:$I,9,0)</f>
        <v>0.6875</v>
      </c>
      <c r="Y246" s="11">
        <f>IFERROR(TIMEVALUE(Table2[[#This Row],[Vào]]),0)</f>
        <v>0.31253472222222223</v>
      </c>
      <c r="Z246" s="11">
        <f>IFERROR(TIMEVALUE(Table2[[#This Row],[Ra]]),0)</f>
        <v>0</v>
      </c>
      <c r="AA246" t="str">
        <f t="shared" si="21"/>
        <v>x</v>
      </c>
      <c r="AB246" s="14">
        <f t="shared" si="23"/>
        <v>0</v>
      </c>
      <c r="AC246" s="14" t="str">
        <f>IF(VLOOKUP(A246,Data_NV!$A:$I,7,0)="Không","",IF(OR(AND(Y246=0,Z246=0),AND(Y246&lt;&gt;0,Z246&lt;&gt;0)),"","Quên chấm công"))</f>
        <v/>
      </c>
      <c r="AD246" s="14">
        <f>IF(VLOOKUP(A246,Data_NV!$A:$I,7,0)="Không",0,IF(AND(Y246=0,Z246=0),0,IF(X246&lt;=Z246,0,ROUNDDOWN((X246-Z246)*24*60,0))))</f>
        <v>0</v>
      </c>
      <c r="AE246" s="14">
        <f>IF(VLOOKUP(A246,Data_NV!$A:$I,6,0)="Không",0,IF(Z246&lt;=X246,0,ROUNDDOWN((Z246-X246)*24*60,0)))</f>
        <v>0</v>
      </c>
      <c r="AF246" s="29">
        <f t="shared" si="22"/>
        <v>0</v>
      </c>
      <c r="AG246" s="30" t="str">
        <f>IF(AC246="","",IF(COUNTIFS($AC$3:AC246,"Quên chấm công",$S$3:S246,S246)&gt;3,"Không chấm công do vi phạm quá 3 lần",IF(COUNTIFS($AC$3:AC246,"Quên chấm công",$S$3:S246,S246)&gt;2,"Trừ toàn bộ chuyên cần tháng do vi phạm lần 3",IF(COUNTIFS($AC$3:AC246,"Quên chấm công",$S$3:S246,S246)&gt;1,"Trừ 1/2 ngày lương",50000))))</f>
        <v/>
      </c>
      <c r="AH246" s="14" t="str">
        <f>IF(COUNTIFS($AF$3:AF246,"&gt;0",$S$3:S246,S246)&gt;3,"Trừ toàn bộ chuyên cần tháng","")</f>
        <v/>
      </c>
      <c r="AI246" s="14"/>
      <c r="AJ246" s="14"/>
    </row>
    <row r="247" spans="1:36" x14ac:dyDescent="0.25">
      <c r="A247" s="4" t="s">
        <v>455</v>
      </c>
      <c r="B247" s="1" t="s">
        <v>456</v>
      </c>
      <c r="C247" s="1" t="s">
        <v>20</v>
      </c>
      <c r="D247" s="1" t="s">
        <v>37</v>
      </c>
      <c r="E247" s="1" t="s">
        <v>22</v>
      </c>
      <c r="F247" s="1" t="s">
        <v>23</v>
      </c>
      <c r="G247" s="1" t="s">
        <v>12</v>
      </c>
      <c r="H247" s="12" t="s">
        <v>459</v>
      </c>
      <c r="I247" s="1" t="s">
        <v>24</v>
      </c>
      <c r="J247" s="1" t="s">
        <v>25</v>
      </c>
      <c r="K247" s="1" t="s">
        <v>25</v>
      </c>
      <c r="L247" s="1" t="s">
        <v>26</v>
      </c>
      <c r="M247" s="1" t="s">
        <v>25</v>
      </c>
      <c r="N247" s="1" t="s">
        <v>25</v>
      </c>
      <c r="O247" s="1" t="s">
        <v>25</v>
      </c>
      <c r="P247" s="1" t="s">
        <v>25</v>
      </c>
      <c r="Q247" s="1" t="s">
        <v>25</v>
      </c>
      <c r="R247" s="70" t="str">
        <f t="shared" si="20"/>
        <v>2545905</v>
      </c>
      <c r="S247" t="str">
        <f>VLOOKUP(A247,Data_NV!$A:$C,3,0)</f>
        <v xml:space="preserve"> Nguyễn Hoàng Thực    </v>
      </c>
      <c r="T247" t="str">
        <f>VLOOKUP(A247,Data_NV!$A:$E,4,0)</f>
        <v>Vận Hành</v>
      </c>
      <c r="U247" s="67">
        <f>DATEVALUE(Table2[[#This Row],[Ngày]])</f>
        <v>45905</v>
      </c>
      <c r="V247" t="str">
        <f>VLOOKUP(A247,Data_NV!$A:$E,5,0)</f>
        <v>Đang làm việc</v>
      </c>
      <c r="W247" s="11">
        <f>VLOOKUP(A247,Data_NV!$A:$I,8,0)</f>
        <v>0.3125</v>
      </c>
      <c r="X247" s="11">
        <f>VLOOKUP(A247,Data_NV!$A:$I,9,0)</f>
        <v>0.6875</v>
      </c>
      <c r="Y247" s="11">
        <f>IFERROR(TIMEVALUE(Table2[[#This Row],[Vào]]),0)</f>
        <v>0.31339120370370371</v>
      </c>
      <c r="Z247" s="11">
        <f>IFERROR(TIMEVALUE(Table2[[#This Row],[Ra]]),0)</f>
        <v>0</v>
      </c>
      <c r="AA247" t="str">
        <f t="shared" si="21"/>
        <v>x</v>
      </c>
      <c r="AB247" s="14">
        <f t="shared" si="23"/>
        <v>1</v>
      </c>
      <c r="AC247" s="14" t="str">
        <f>IF(VLOOKUP(A247,Data_NV!$A:$I,7,0)="Không","",IF(OR(AND(Y247=0,Z247=0),AND(Y247&lt;&gt;0,Z247&lt;&gt;0)),"","Quên chấm công"))</f>
        <v/>
      </c>
      <c r="AD247" s="14">
        <f>IF(VLOOKUP(A247,Data_NV!$A:$I,7,0)="Không",0,IF(AND(Y247=0,Z247=0),0,IF(X247&lt;=Z247,0,ROUNDDOWN((X247-Z247)*24*60,0))))</f>
        <v>0</v>
      </c>
      <c r="AE247" s="14">
        <f>IF(VLOOKUP(A247,Data_NV!$A:$I,6,0)="Không",0,IF(Z247&lt;=X247,0,ROUNDDOWN((Z247-X247)*24*60,0)))</f>
        <v>0</v>
      </c>
      <c r="AF247" s="29">
        <f t="shared" si="22"/>
        <v>0</v>
      </c>
      <c r="AG247" s="30" t="str">
        <f>IF(AC247="","",IF(COUNTIFS($AC$3:AC247,"Quên chấm công",$S$3:S247,S247)&gt;3,"Không chấm công do vi phạm quá 3 lần",IF(COUNTIFS($AC$3:AC247,"Quên chấm công",$S$3:S247,S247)&gt;2,"Trừ toàn bộ chuyên cần tháng do vi phạm lần 3",IF(COUNTIFS($AC$3:AC247,"Quên chấm công",$S$3:S247,S247)&gt;1,"Trừ 1/2 ngày lương",50000))))</f>
        <v/>
      </c>
      <c r="AH247" s="14" t="str">
        <f>IF(COUNTIFS($AF$3:AF247,"&gt;0",$S$3:S247,S247)&gt;3,"Trừ toàn bộ chuyên cần tháng","")</f>
        <v/>
      </c>
      <c r="AI247" s="14"/>
      <c r="AJ247" s="14"/>
    </row>
    <row r="248" spans="1:36" x14ac:dyDescent="0.25">
      <c r="A248" s="4" t="s">
        <v>455</v>
      </c>
      <c r="B248" s="1" t="s">
        <v>456</v>
      </c>
      <c r="C248" s="1" t="s">
        <v>20</v>
      </c>
      <c r="D248" s="1" t="s">
        <v>42</v>
      </c>
      <c r="E248" s="1" t="s">
        <v>22</v>
      </c>
      <c r="F248" s="1" t="s">
        <v>23</v>
      </c>
      <c r="G248" s="1" t="s">
        <v>12</v>
      </c>
      <c r="H248" s="12" t="s">
        <v>460</v>
      </c>
      <c r="I248" s="1" t="s">
        <v>24</v>
      </c>
      <c r="J248" s="1" t="s">
        <v>25</v>
      </c>
      <c r="K248" s="1" t="s">
        <v>25</v>
      </c>
      <c r="L248" s="1" t="s">
        <v>26</v>
      </c>
      <c r="M248" s="1" t="s">
        <v>25</v>
      </c>
      <c r="N248" s="1" t="s">
        <v>25</v>
      </c>
      <c r="O248" s="1" t="s">
        <v>25</v>
      </c>
      <c r="P248" s="1" t="s">
        <v>25</v>
      </c>
      <c r="Q248" s="1" t="s">
        <v>25</v>
      </c>
      <c r="R248" s="70" t="str">
        <f t="shared" si="20"/>
        <v>2545906</v>
      </c>
      <c r="S248" t="str">
        <f>VLOOKUP(A248,Data_NV!$A:$C,3,0)</f>
        <v xml:space="preserve"> Nguyễn Hoàng Thực    </v>
      </c>
      <c r="T248" t="str">
        <f>VLOOKUP(A248,Data_NV!$A:$E,4,0)</f>
        <v>Vận Hành</v>
      </c>
      <c r="U248" s="67">
        <f>DATEVALUE(Table2[[#This Row],[Ngày]])</f>
        <v>45906</v>
      </c>
      <c r="V248" t="str">
        <f>VLOOKUP(A248,Data_NV!$A:$E,5,0)</f>
        <v>Đang làm việc</v>
      </c>
      <c r="W248" s="11">
        <f>VLOOKUP(A248,Data_NV!$A:$I,8,0)</f>
        <v>0.3125</v>
      </c>
      <c r="X248" s="11">
        <f>VLOOKUP(A248,Data_NV!$A:$I,9,0)</f>
        <v>0.6875</v>
      </c>
      <c r="Y248" s="11">
        <f>IFERROR(TIMEVALUE(Table2[[#This Row],[Vào]]),0)</f>
        <v>0.31221064814814814</v>
      </c>
      <c r="Z248" s="11">
        <f>IFERROR(TIMEVALUE(Table2[[#This Row],[Ra]]),0)</f>
        <v>0</v>
      </c>
      <c r="AA248" t="str">
        <f t="shared" si="21"/>
        <v>x</v>
      </c>
      <c r="AB248" s="14">
        <f t="shared" si="23"/>
        <v>0</v>
      </c>
      <c r="AC248" s="14" t="str">
        <f>IF(VLOOKUP(A248,Data_NV!$A:$I,7,0)="Không","",IF(OR(AND(Y248=0,Z248=0),AND(Y248&lt;&gt;0,Z248&lt;&gt;0)),"","Quên chấm công"))</f>
        <v/>
      </c>
      <c r="AD248" s="14">
        <f>IF(VLOOKUP(A248,Data_NV!$A:$I,7,0)="Không",0,IF(AND(Y248=0,Z248=0),0,IF(X248&lt;=Z248,0,ROUNDDOWN((X248-Z248)*24*60,0))))</f>
        <v>0</v>
      </c>
      <c r="AE248" s="14">
        <f>IF(VLOOKUP(A248,Data_NV!$A:$I,6,0)="Không",0,IF(Z248&lt;=X248,0,ROUNDDOWN((Z248-X248)*24*60,0)))</f>
        <v>0</v>
      </c>
      <c r="AF248" s="29">
        <f t="shared" si="22"/>
        <v>0</v>
      </c>
      <c r="AG248" s="30" t="str">
        <f>IF(AC248="","",IF(COUNTIFS($AC$3:AC248,"Quên chấm công",$S$3:S248,S248)&gt;3,"Không chấm công do vi phạm quá 3 lần",IF(COUNTIFS($AC$3:AC248,"Quên chấm công",$S$3:S248,S248)&gt;2,"Trừ toàn bộ chuyên cần tháng do vi phạm lần 3",IF(COUNTIFS($AC$3:AC248,"Quên chấm công",$S$3:S248,S248)&gt;1,"Trừ 1/2 ngày lương",50000))))</f>
        <v/>
      </c>
      <c r="AH248" s="14" t="str">
        <f>IF(COUNTIFS($AF$3:AF248,"&gt;0",$S$3:S248,S248)&gt;3,"Trừ toàn bộ chuyên cần tháng","")</f>
        <v/>
      </c>
      <c r="AI248" s="14"/>
      <c r="AJ248" s="14"/>
    </row>
    <row r="249" spans="1:36" x14ac:dyDescent="0.25">
      <c r="A249" s="4" t="s">
        <v>455</v>
      </c>
      <c r="B249" s="1" t="s">
        <v>456</v>
      </c>
      <c r="C249" s="1" t="s">
        <v>20</v>
      </c>
      <c r="D249" s="1" t="s">
        <v>47</v>
      </c>
      <c r="E249" s="1" t="s">
        <v>22</v>
      </c>
      <c r="F249" s="1" t="s">
        <v>23</v>
      </c>
      <c r="G249" s="1" t="s">
        <v>12</v>
      </c>
      <c r="H249" s="12" t="s">
        <v>24</v>
      </c>
      <c r="I249" s="1" t="s">
        <v>24</v>
      </c>
      <c r="J249" s="1" t="s">
        <v>25</v>
      </c>
      <c r="K249" s="1" t="s">
        <v>25</v>
      </c>
      <c r="L249" s="1" t="s">
        <v>26</v>
      </c>
      <c r="M249" s="1" t="s">
        <v>25</v>
      </c>
      <c r="N249" s="1" t="s">
        <v>25</v>
      </c>
      <c r="O249" s="1" t="s">
        <v>25</v>
      </c>
      <c r="P249" s="1" t="s">
        <v>25</v>
      </c>
      <c r="Q249" s="1" t="s">
        <v>25</v>
      </c>
      <c r="R249" s="70" t="str">
        <f t="shared" si="20"/>
        <v>2545907</v>
      </c>
      <c r="S249" t="str">
        <f>VLOOKUP(A249,Data_NV!$A:$C,3,0)</f>
        <v xml:space="preserve"> Nguyễn Hoàng Thực    </v>
      </c>
      <c r="T249" t="str">
        <f>VLOOKUP(A249,Data_NV!$A:$E,4,0)</f>
        <v>Vận Hành</v>
      </c>
      <c r="U249" s="67">
        <f>DATEVALUE(Table2[[#This Row],[Ngày]])</f>
        <v>45907</v>
      </c>
      <c r="V249" t="str">
        <f>VLOOKUP(A249,Data_NV!$A:$E,5,0)</f>
        <v>Đang làm việc</v>
      </c>
      <c r="W249" s="11">
        <f>VLOOKUP(A249,Data_NV!$A:$I,8,0)</f>
        <v>0.3125</v>
      </c>
      <c r="X249" s="11">
        <f>VLOOKUP(A249,Data_NV!$A:$I,9,0)</f>
        <v>0.6875</v>
      </c>
      <c r="Y249" s="11">
        <f>IFERROR(TIMEVALUE(Table2[[#This Row],[Vào]]),0)</f>
        <v>0</v>
      </c>
      <c r="Z249" s="11">
        <f>IFERROR(TIMEVALUE(Table2[[#This Row],[Ra]]),0)</f>
        <v>0</v>
      </c>
      <c r="AA249" t="str">
        <f t="shared" si="21"/>
        <v/>
      </c>
      <c r="AB249" s="14">
        <f t="shared" si="23"/>
        <v>0</v>
      </c>
      <c r="AC249" s="14" t="str">
        <f>IF(VLOOKUP(A249,Data_NV!$A:$I,7,0)="Không","",IF(OR(AND(Y249=0,Z249=0),AND(Y249&lt;&gt;0,Z249&lt;&gt;0)),"","Quên chấm công"))</f>
        <v/>
      </c>
      <c r="AD249" s="14">
        <f>IF(VLOOKUP(A249,Data_NV!$A:$I,7,0)="Không",0,IF(AND(Y249=0,Z249=0),0,IF(X249&lt;=Z249,0,ROUNDDOWN((X249-Z249)*24*60,0))))</f>
        <v>0</v>
      </c>
      <c r="AE249" s="14">
        <f>IF(VLOOKUP(A249,Data_NV!$A:$I,6,0)="Không",0,IF(Z249&lt;=X249,0,ROUNDDOWN((Z249-X249)*24*60,0)))</f>
        <v>0</v>
      </c>
      <c r="AF249" s="29">
        <f t="shared" si="22"/>
        <v>0</v>
      </c>
      <c r="AG249" s="30" t="str">
        <f>IF(AC249="","",IF(COUNTIFS($AC$3:AC249,"Quên chấm công",$S$3:S249,S249)&gt;3,"Không chấm công do vi phạm quá 3 lần",IF(COUNTIFS($AC$3:AC249,"Quên chấm công",$S$3:S249,S249)&gt;2,"Trừ toàn bộ chuyên cần tháng do vi phạm lần 3",IF(COUNTIFS($AC$3:AC249,"Quên chấm công",$S$3:S249,S249)&gt;1,"Trừ 1/2 ngày lương",50000))))</f>
        <v/>
      </c>
      <c r="AH249" s="14" t="str">
        <f>IF(COUNTIFS($AF$3:AF249,"&gt;0",$S$3:S249,S249)&gt;3,"Trừ toàn bộ chuyên cần tháng","")</f>
        <v/>
      </c>
      <c r="AI249" s="14"/>
      <c r="AJ249" s="14"/>
    </row>
    <row r="250" spans="1:36" x14ac:dyDescent="0.25">
      <c r="A250" s="4" t="s">
        <v>455</v>
      </c>
      <c r="B250" s="1" t="s">
        <v>456</v>
      </c>
      <c r="C250" s="1" t="s">
        <v>20</v>
      </c>
      <c r="D250" s="1" t="s">
        <v>48</v>
      </c>
      <c r="E250" s="1" t="s">
        <v>22</v>
      </c>
      <c r="F250" s="1" t="s">
        <v>23</v>
      </c>
      <c r="G250" s="1" t="s">
        <v>12</v>
      </c>
      <c r="H250" s="12" t="s">
        <v>461</v>
      </c>
      <c r="I250" s="1" t="s">
        <v>24</v>
      </c>
      <c r="J250" s="1" t="s">
        <v>25</v>
      </c>
      <c r="K250" s="1" t="s">
        <v>25</v>
      </c>
      <c r="L250" s="1" t="s">
        <v>26</v>
      </c>
      <c r="M250" s="1" t="s">
        <v>25</v>
      </c>
      <c r="N250" s="1" t="s">
        <v>25</v>
      </c>
      <c r="O250" s="1" t="s">
        <v>25</v>
      </c>
      <c r="P250" s="1" t="s">
        <v>25</v>
      </c>
      <c r="Q250" s="1" t="s">
        <v>25</v>
      </c>
      <c r="R250" s="70" t="str">
        <f t="shared" si="20"/>
        <v>2545908</v>
      </c>
      <c r="S250" t="str">
        <f>VLOOKUP(A250,Data_NV!$A:$C,3,0)</f>
        <v xml:space="preserve"> Nguyễn Hoàng Thực    </v>
      </c>
      <c r="T250" t="str">
        <f>VLOOKUP(A250,Data_NV!$A:$E,4,0)</f>
        <v>Vận Hành</v>
      </c>
      <c r="U250" s="67">
        <f>DATEVALUE(Table2[[#This Row],[Ngày]])</f>
        <v>45908</v>
      </c>
      <c r="V250" t="str">
        <f>VLOOKUP(A250,Data_NV!$A:$E,5,0)</f>
        <v>Đang làm việc</v>
      </c>
      <c r="W250" s="11">
        <f>VLOOKUP(A250,Data_NV!$A:$I,8,0)</f>
        <v>0.3125</v>
      </c>
      <c r="X250" s="11">
        <f>VLOOKUP(A250,Data_NV!$A:$I,9,0)</f>
        <v>0.6875</v>
      </c>
      <c r="Y250" s="11">
        <f>IFERROR(TIMEVALUE(Table2[[#This Row],[Vào]]),0)</f>
        <v>0.31320601851851854</v>
      </c>
      <c r="Z250" s="11">
        <f>IFERROR(TIMEVALUE(Table2[[#This Row],[Ra]]),0)</f>
        <v>0</v>
      </c>
      <c r="AA250" t="str">
        <f t="shared" si="21"/>
        <v>x</v>
      </c>
      <c r="AB250" s="14">
        <f t="shared" si="23"/>
        <v>1</v>
      </c>
      <c r="AC250" s="14" t="str">
        <f>IF(VLOOKUP(A250,Data_NV!$A:$I,7,0)="Không","",IF(OR(AND(Y250=0,Z250=0),AND(Y250&lt;&gt;0,Z250&lt;&gt;0)),"","Quên chấm công"))</f>
        <v/>
      </c>
      <c r="AD250" s="14">
        <f>IF(VLOOKUP(A250,Data_NV!$A:$I,7,0)="Không",0,IF(AND(Y250=0,Z250=0),0,IF(X250&lt;=Z250,0,ROUNDDOWN((X250-Z250)*24*60,0))))</f>
        <v>0</v>
      </c>
      <c r="AE250" s="14">
        <f>IF(VLOOKUP(A250,Data_NV!$A:$I,6,0)="Không",0,IF(Z250&lt;=X250,0,ROUNDDOWN((Z250-X250)*24*60,0)))</f>
        <v>0</v>
      </c>
      <c r="AF250" s="29">
        <f t="shared" si="22"/>
        <v>0</v>
      </c>
      <c r="AG250" s="30" t="str">
        <f>IF(AC250="","",IF(COUNTIFS($AC$3:AC250,"Quên chấm công",$S$3:S250,S250)&gt;3,"Không chấm công do vi phạm quá 3 lần",IF(COUNTIFS($AC$3:AC250,"Quên chấm công",$S$3:S250,S250)&gt;2,"Trừ toàn bộ chuyên cần tháng do vi phạm lần 3",IF(COUNTIFS($AC$3:AC250,"Quên chấm công",$S$3:S250,S250)&gt;1,"Trừ 1/2 ngày lương",50000))))</f>
        <v/>
      </c>
      <c r="AH250" s="14" t="str">
        <f>IF(COUNTIFS($AF$3:AF250,"&gt;0",$S$3:S250,S250)&gt;3,"Trừ toàn bộ chuyên cần tháng","")</f>
        <v/>
      </c>
      <c r="AI250" s="14"/>
      <c r="AJ250" s="14"/>
    </row>
    <row r="251" spans="1:36" x14ac:dyDescent="0.25">
      <c r="A251" s="4" t="s">
        <v>455</v>
      </c>
      <c r="B251" s="1" t="s">
        <v>456</v>
      </c>
      <c r="C251" s="1" t="s">
        <v>20</v>
      </c>
      <c r="D251" s="1" t="s">
        <v>53</v>
      </c>
      <c r="E251" s="1" t="s">
        <v>22</v>
      </c>
      <c r="F251" s="1" t="s">
        <v>23</v>
      </c>
      <c r="G251" s="1" t="s">
        <v>12</v>
      </c>
      <c r="H251" s="12" t="s">
        <v>462</v>
      </c>
      <c r="I251" s="1" t="s">
        <v>24</v>
      </c>
      <c r="J251" s="1" t="s">
        <v>25</v>
      </c>
      <c r="K251" s="1" t="s">
        <v>25</v>
      </c>
      <c r="L251" s="1" t="s">
        <v>26</v>
      </c>
      <c r="M251" s="1" t="s">
        <v>25</v>
      </c>
      <c r="N251" s="1" t="s">
        <v>25</v>
      </c>
      <c r="O251" s="1" t="s">
        <v>25</v>
      </c>
      <c r="P251" s="1" t="s">
        <v>25</v>
      </c>
      <c r="Q251" s="1" t="s">
        <v>25</v>
      </c>
      <c r="R251" s="70" t="str">
        <f t="shared" si="20"/>
        <v>2545909</v>
      </c>
      <c r="S251" t="str">
        <f>VLOOKUP(A251,Data_NV!$A:$C,3,0)</f>
        <v xml:space="preserve"> Nguyễn Hoàng Thực    </v>
      </c>
      <c r="T251" t="str">
        <f>VLOOKUP(A251,Data_NV!$A:$E,4,0)</f>
        <v>Vận Hành</v>
      </c>
      <c r="U251" s="67">
        <f>DATEVALUE(Table2[[#This Row],[Ngày]])</f>
        <v>45909</v>
      </c>
      <c r="V251" t="str">
        <f>VLOOKUP(A251,Data_NV!$A:$E,5,0)</f>
        <v>Đang làm việc</v>
      </c>
      <c r="W251" s="11">
        <f>VLOOKUP(A251,Data_NV!$A:$I,8,0)</f>
        <v>0.3125</v>
      </c>
      <c r="X251" s="11">
        <f>VLOOKUP(A251,Data_NV!$A:$I,9,0)</f>
        <v>0.6875</v>
      </c>
      <c r="Y251" s="11">
        <f>IFERROR(TIMEVALUE(Table2[[#This Row],[Vào]]),0)</f>
        <v>0.31491898148148151</v>
      </c>
      <c r="Z251" s="11">
        <f>IFERROR(TIMEVALUE(Table2[[#This Row],[Ra]]),0)</f>
        <v>0</v>
      </c>
      <c r="AA251" t="str">
        <f t="shared" si="21"/>
        <v>x</v>
      </c>
      <c r="AB251" s="14">
        <f t="shared" si="23"/>
        <v>3</v>
      </c>
      <c r="AC251" s="14" t="str">
        <f>IF(VLOOKUP(A251,Data_NV!$A:$I,7,0)="Không","",IF(OR(AND(Y251=0,Z251=0),AND(Y251&lt;&gt;0,Z251&lt;&gt;0)),"","Quên chấm công"))</f>
        <v/>
      </c>
      <c r="AD251" s="14">
        <f>IF(VLOOKUP(A251,Data_NV!$A:$I,7,0)="Không",0,IF(AND(Y251=0,Z251=0),0,IF(X251&lt;=Z251,0,ROUNDDOWN((X251-Z251)*24*60,0))))</f>
        <v>0</v>
      </c>
      <c r="AE251" s="14">
        <f>IF(VLOOKUP(A251,Data_NV!$A:$I,6,0)="Không",0,IF(Z251&lt;=X251,0,ROUNDDOWN((Z251-X251)*24*60,0)))</f>
        <v>0</v>
      </c>
      <c r="AF251" s="29">
        <f t="shared" si="22"/>
        <v>0</v>
      </c>
      <c r="AG251" s="30" t="str">
        <f>IF(AC251="","",IF(COUNTIFS($AC$3:AC251,"Quên chấm công",$S$3:S251,S251)&gt;3,"Không chấm công do vi phạm quá 3 lần",IF(COUNTIFS($AC$3:AC251,"Quên chấm công",$S$3:S251,S251)&gt;2,"Trừ toàn bộ chuyên cần tháng do vi phạm lần 3",IF(COUNTIFS($AC$3:AC251,"Quên chấm công",$S$3:S251,S251)&gt;1,"Trừ 1/2 ngày lương",50000))))</f>
        <v/>
      </c>
      <c r="AH251" s="14" t="str">
        <f>IF(COUNTIFS($AF$3:AF251,"&gt;0",$S$3:S251,S251)&gt;3,"Trừ toàn bộ chuyên cần tháng","")</f>
        <v/>
      </c>
      <c r="AI251" s="14"/>
      <c r="AJ251" s="14"/>
    </row>
    <row r="252" spans="1:36" x14ac:dyDescent="0.25">
      <c r="A252" s="4" t="s">
        <v>455</v>
      </c>
      <c r="B252" s="1" t="s">
        <v>456</v>
      </c>
      <c r="C252" s="1" t="s">
        <v>20</v>
      </c>
      <c r="D252" s="1" t="s">
        <v>58</v>
      </c>
      <c r="E252" s="1" t="s">
        <v>22</v>
      </c>
      <c r="F252" s="1" t="s">
        <v>23</v>
      </c>
      <c r="G252" s="1" t="s">
        <v>12</v>
      </c>
      <c r="H252" s="12" t="s">
        <v>463</v>
      </c>
      <c r="I252" s="1" t="s">
        <v>24</v>
      </c>
      <c r="J252" s="1" t="s">
        <v>25</v>
      </c>
      <c r="K252" s="1" t="s">
        <v>25</v>
      </c>
      <c r="L252" s="1" t="s">
        <v>26</v>
      </c>
      <c r="M252" s="1" t="s">
        <v>25</v>
      </c>
      <c r="N252" s="1" t="s">
        <v>25</v>
      </c>
      <c r="O252" s="1" t="s">
        <v>25</v>
      </c>
      <c r="P252" s="1" t="s">
        <v>25</v>
      </c>
      <c r="Q252" s="1" t="s">
        <v>25</v>
      </c>
      <c r="R252" s="70" t="str">
        <f t="shared" si="20"/>
        <v>2545910</v>
      </c>
      <c r="S252" t="str">
        <f>VLOOKUP(A252,Data_NV!$A:$C,3,0)</f>
        <v xml:space="preserve"> Nguyễn Hoàng Thực    </v>
      </c>
      <c r="T252" t="str">
        <f>VLOOKUP(A252,Data_NV!$A:$E,4,0)</f>
        <v>Vận Hành</v>
      </c>
      <c r="U252" s="67">
        <f>DATEVALUE(Table2[[#This Row],[Ngày]])</f>
        <v>45910</v>
      </c>
      <c r="V252" t="str">
        <f>VLOOKUP(A252,Data_NV!$A:$E,5,0)</f>
        <v>Đang làm việc</v>
      </c>
      <c r="W252" s="11">
        <f>VLOOKUP(A252,Data_NV!$A:$I,8,0)</f>
        <v>0.3125</v>
      </c>
      <c r="X252" s="11">
        <f>VLOOKUP(A252,Data_NV!$A:$I,9,0)</f>
        <v>0.6875</v>
      </c>
      <c r="Y252" s="11">
        <f>IFERROR(TIMEVALUE(Table2[[#This Row],[Vào]]),0)</f>
        <v>0.31701388888888887</v>
      </c>
      <c r="Z252" s="11">
        <f>IFERROR(TIMEVALUE(Table2[[#This Row],[Ra]]),0)</f>
        <v>0</v>
      </c>
      <c r="AA252" t="str">
        <f t="shared" si="21"/>
        <v>x</v>
      </c>
      <c r="AB252" s="14">
        <f t="shared" si="23"/>
        <v>6</v>
      </c>
      <c r="AC252" s="14" t="str">
        <f>IF(VLOOKUP(A252,Data_NV!$A:$I,7,0)="Không","",IF(OR(AND(Y252=0,Z252=0),AND(Y252&lt;&gt;0,Z252&lt;&gt;0)),"","Quên chấm công"))</f>
        <v/>
      </c>
      <c r="AD252" s="14">
        <f>IF(VLOOKUP(A252,Data_NV!$A:$I,7,0)="Không",0,IF(AND(Y252=0,Z252=0),0,IF(X252&lt;=Z252,0,ROUNDDOWN((X252-Z252)*24*60,0))))</f>
        <v>0</v>
      </c>
      <c r="AE252" s="14">
        <f>IF(VLOOKUP(A252,Data_NV!$A:$I,6,0)="Không",0,IF(Z252&lt;=X252,0,ROUNDDOWN((Z252-X252)*24*60,0)))</f>
        <v>0</v>
      </c>
      <c r="AF252" s="29">
        <f t="shared" si="22"/>
        <v>0</v>
      </c>
      <c r="AG252" s="30" t="str">
        <f>IF(AC252="","",IF(COUNTIFS($AC$3:AC252,"Quên chấm công",$S$3:S252,S252)&gt;3,"Không chấm công do vi phạm quá 3 lần",IF(COUNTIFS($AC$3:AC252,"Quên chấm công",$S$3:S252,S252)&gt;2,"Trừ toàn bộ chuyên cần tháng do vi phạm lần 3",IF(COUNTIFS($AC$3:AC252,"Quên chấm công",$S$3:S252,S252)&gt;1,"Trừ 1/2 ngày lương",50000))))</f>
        <v/>
      </c>
      <c r="AH252" s="14" t="str">
        <f>IF(COUNTIFS($AF$3:AF252,"&gt;0",$S$3:S252,S252)&gt;3,"Trừ toàn bộ chuyên cần tháng","")</f>
        <v/>
      </c>
      <c r="AI252" s="14"/>
      <c r="AJ252" s="14"/>
    </row>
    <row r="253" spans="1:36" x14ac:dyDescent="0.25">
      <c r="A253" s="4" t="s">
        <v>455</v>
      </c>
      <c r="B253" s="1" t="s">
        <v>456</v>
      </c>
      <c r="C253" s="1" t="s">
        <v>20</v>
      </c>
      <c r="D253" s="1" t="s">
        <v>63</v>
      </c>
      <c r="E253" s="1" t="s">
        <v>22</v>
      </c>
      <c r="F253" s="1" t="s">
        <v>23</v>
      </c>
      <c r="G253" s="1" t="s">
        <v>12</v>
      </c>
      <c r="H253" s="12" t="s">
        <v>464</v>
      </c>
      <c r="I253" s="1" t="s">
        <v>24</v>
      </c>
      <c r="J253" s="1" t="s">
        <v>25</v>
      </c>
      <c r="K253" s="1" t="s">
        <v>25</v>
      </c>
      <c r="L253" s="1" t="s">
        <v>26</v>
      </c>
      <c r="M253" s="1" t="s">
        <v>25</v>
      </c>
      <c r="N253" s="1" t="s">
        <v>25</v>
      </c>
      <c r="O253" s="1" t="s">
        <v>25</v>
      </c>
      <c r="P253" s="1" t="s">
        <v>25</v>
      </c>
      <c r="Q253" s="1" t="s">
        <v>25</v>
      </c>
      <c r="R253" s="70" t="str">
        <f t="shared" si="20"/>
        <v>2545911</v>
      </c>
      <c r="S253" t="str">
        <f>VLOOKUP(A253,Data_NV!$A:$C,3,0)</f>
        <v xml:space="preserve"> Nguyễn Hoàng Thực    </v>
      </c>
      <c r="T253" t="str">
        <f>VLOOKUP(A253,Data_NV!$A:$E,4,0)</f>
        <v>Vận Hành</v>
      </c>
      <c r="U253" s="67">
        <f>DATEVALUE(Table2[[#This Row],[Ngày]])</f>
        <v>45911</v>
      </c>
      <c r="V253" t="str">
        <f>VLOOKUP(A253,Data_NV!$A:$E,5,0)</f>
        <v>Đang làm việc</v>
      </c>
      <c r="W253" s="11">
        <f>VLOOKUP(A253,Data_NV!$A:$I,8,0)</f>
        <v>0.3125</v>
      </c>
      <c r="X253" s="11">
        <f>VLOOKUP(A253,Data_NV!$A:$I,9,0)</f>
        <v>0.6875</v>
      </c>
      <c r="Y253" s="11">
        <f>IFERROR(TIMEVALUE(Table2[[#This Row],[Vào]]),0)</f>
        <v>0.30780092592592595</v>
      </c>
      <c r="Z253" s="11">
        <f>IFERROR(TIMEVALUE(Table2[[#This Row],[Ra]]),0)</f>
        <v>0</v>
      </c>
      <c r="AA253" t="str">
        <f t="shared" si="21"/>
        <v>x</v>
      </c>
      <c r="AB253" s="14">
        <f t="shared" si="23"/>
        <v>0</v>
      </c>
      <c r="AC253" s="14" t="str">
        <f>IF(VLOOKUP(A253,Data_NV!$A:$I,7,0)="Không","",IF(OR(AND(Y253=0,Z253=0),AND(Y253&lt;&gt;0,Z253&lt;&gt;0)),"","Quên chấm công"))</f>
        <v/>
      </c>
      <c r="AD253" s="14">
        <f>IF(VLOOKUP(A253,Data_NV!$A:$I,7,0)="Không",0,IF(AND(Y253=0,Z253=0),0,IF(X253&lt;=Z253,0,ROUNDDOWN((X253-Z253)*24*60,0))))</f>
        <v>0</v>
      </c>
      <c r="AE253" s="14">
        <f>IF(VLOOKUP(A253,Data_NV!$A:$I,6,0)="Không",0,IF(Z253&lt;=X253,0,ROUNDDOWN((Z253-X253)*24*60,0)))</f>
        <v>0</v>
      </c>
      <c r="AF253" s="29">
        <f t="shared" si="22"/>
        <v>0</v>
      </c>
      <c r="AG253" s="30" t="str">
        <f>IF(AC253="","",IF(COUNTIFS($AC$3:AC253,"Quên chấm công",$S$3:S253,S253)&gt;3,"Không chấm công do vi phạm quá 3 lần",IF(COUNTIFS($AC$3:AC253,"Quên chấm công",$S$3:S253,S253)&gt;2,"Trừ toàn bộ chuyên cần tháng do vi phạm lần 3",IF(COUNTIFS($AC$3:AC253,"Quên chấm công",$S$3:S253,S253)&gt;1,"Trừ 1/2 ngày lương",50000))))</f>
        <v/>
      </c>
      <c r="AH253" s="14" t="str">
        <f>IF(COUNTIFS($AF$3:AF253,"&gt;0",$S$3:S253,S253)&gt;3,"Trừ toàn bộ chuyên cần tháng","")</f>
        <v/>
      </c>
      <c r="AI253" s="14"/>
      <c r="AJ253" s="14"/>
    </row>
    <row r="254" spans="1:36" x14ac:dyDescent="0.25">
      <c r="A254" s="4" t="s">
        <v>455</v>
      </c>
      <c r="B254" s="1" t="s">
        <v>456</v>
      </c>
      <c r="C254" s="1" t="s">
        <v>20</v>
      </c>
      <c r="D254" s="1" t="s">
        <v>67</v>
      </c>
      <c r="E254" s="1" t="s">
        <v>22</v>
      </c>
      <c r="F254" s="1" t="s">
        <v>23</v>
      </c>
      <c r="G254" s="1" t="s">
        <v>12</v>
      </c>
      <c r="H254" s="12" t="s">
        <v>465</v>
      </c>
      <c r="I254" s="1" t="s">
        <v>24</v>
      </c>
      <c r="J254" s="1" t="s">
        <v>25</v>
      </c>
      <c r="K254" s="1" t="s">
        <v>25</v>
      </c>
      <c r="L254" s="1" t="s">
        <v>26</v>
      </c>
      <c r="M254" s="1" t="s">
        <v>25</v>
      </c>
      <c r="N254" s="1" t="s">
        <v>25</v>
      </c>
      <c r="O254" s="1" t="s">
        <v>25</v>
      </c>
      <c r="P254" s="1" t="s">
        <v>25</v>
      </c>
      <c r="Q254" s="1" t="s">
        <v>25</v>
      </c>
      <c r="R254" s="70" t="str">
        <f t="shared" si="20"/>
        <v>2545912</v>
      </c>
      <c r="S254" t="str">
        <f>VLOOKUP(A254,Data_NV!$A:$C,3,0)</f>
        <v xml:space="preserve"> Nguyễn Hoàng Thực    </v>
      </c>
      <c r="T254" t="str">
        <f>VLOOKUP(A254,Data_NV!$A:$E,4,0)</f>
        <v>Vận Hành</v>
      </c>
      <c r="U254" s="67">
        <f>DATEVALUE(Table2[[#This Row],[Ngày]])</f>
        <v>45912</v>
      </c>
      <c r="V254" t="str">
        <f>VLOOKUP(A254,Data_NV!$A:$E,5,0)</f>
        <v>Đang làm việc</v>
      </c>
      <c r="W254" s="11">
        <f>VLOOKUP(A254,Data_NV!$A:$I,8,0)</f>
        <v>0.3125</v>
      </c>
      <c r="X254" s="11">
        <f>VLOOKUP(A254,Data_NV!$A:$I,9,0)</f>
        <v>0.6875</v>
      </c>
      <c r="Y254" s="11">
        <f>IFERROR(TIMEVALUE(Table2[[#This Row],[Vào]]),0)</f>
        <v>0.3185648148148148</v>
      </c>
      <c r="Z254" s="11">
        <f>IFERROR(TIMEVALUE(Table2[[#This Row],[Ra]]),0)</f>
        <v>0</v>
      </c>
      <c r="AA254" t="str">
        <f t="shared" si="21"/>
        <v>x</v>
      </c>
      <c r="AB254" s="14">
        <f t="shared" si="23"/>
        <v>8</v>
      </c>
      <c r="AC254" s="14" t="str">
        <f>IF(VLOOKUP(A254,Data_NV!$A:$I,7,0)="Không","",IF(OR(AND(Y254=0,Z254=0),AND(Y254&lt;&gt;0,Z254&lt;&gt;0)),"","Quên chấm công"))</f>
        <v/>
      </c>
      <c r="AD254" s="14">
        <f>IF(VLOOKUP(A254,Data_NV!$A:$I,7,0)="Không",0,IF(AND(Y254=0,Z254=0),0,IF(X254&lt;=Z254,0,ROUNDDOWN((X254-Z254)*24*60,0))))</f>
        <v>0</v>
      </c>
      <c r="AE254" s="14">
        <f>IF(VLOOKUP(A254,Data_NV!$A:$I,6,0)="Không",0,IF(Z254&lt;=X254,0,ROUNDDOWN((Z254-X254)*24*60,0)))</f>
        <v>0</v>
      </c>
      <c r="AF254" s="29">
        <f t="shared" si="22"/>
        <v>30000</v>
      </c>
      <c r="AG254" s="30" t="str">
        <f>IF(AC254="","",IF(COUNTIFS($AC$3:AC254,"Quên chấm công",$S$3:S254,S254)&gt;3,"Không chấm công do vi phạm quá 3 lần",IF(COUNTIFS($AC$3:AC254,"Quên chấm công",$S$3:S254,S254)&gt;2,"Trừ toàn bộ chuyên cần tháng do vi phạm lần 3",IF(COUNTIFS($AC$3:AC254,"Quên chấm công",$S$3:S254,S254)&gt;1,"Trừ 1/2 ngày lương",50000))))</f>
        <v/>
      </c>
      <c r="AH254" s="14" t="str">
        <f>IF(COUNTIFS($AF$3:AF254,"&gt;0",$S$3:S254,S254)&gt;3,"Trừ toàn bộ chuyên cần tháng","")</f>
        <v/>
      </c>
      <c r="AI254" s="14"/>
      <c r="AJ254" s="14"/>
    </row>
    <row r="255" spans="1:36" x14ac:dyDescent="0.25">
      <c r="A255" s="4" t="s">
        <v>455</v>
      </c>
      <c r="B255" s="1" t="s">
        <v>456</v>
      </c>
      <c r="C255" s="1" t="s">
        <v>20</v>
      </c>
      <c r="D255" s="1" t="s">
        <v>69</v>
      </c>
      <c r="E255" s="1" t="s">
        <v>22</v>
      </c>
      <c r="F255" s="1" t="s">
        <v>23</v>
      </c>
      <c r="G255" s="1" t="s">
        <v>12</v>
      </c>
      <c r="H255" s="12" t="s">
        <v>466</v>
      </c>
      <c r="I255" s="1" t="s">
        <v>24</v>
      </c>
      <c r="J255" s="1" t="s">
        <v>25</v>
      </c>
      <c r="K255" s="1" t="s">
        <v>25</v>
      </c>
      <c r="L255" s="1" t="s">
        <v>26</v>
      </c>
      <c r="M255" s="1" t="s">
        <v>25</v>
      </c>
      <c r="N255" s="1" t="s">
        <v>25</v>
      </c>
      <c r="O255" s="1" t="s">
        <v>25</v>
      </c>
      <c r="P255" s="1" t="s">
        <v>25</v>
      </c>
      <c r="Q255" s="1" t="s">
        <v>25</v>
      </c>
      <c r="R255" s="70" t="str">
        <f t="shared" si="20"/>
        <v>2545913</v>
      </c>
      <c r="S255" t="str">
        <f>VLOOKUP(A255,Data_NV!$A:$C,3,0)</f>
        <v xml:space="preserve"> Nguyễn Hoàng Thực    </v>
      </c>
      <c r="T255" t="str">
        <f>VLOOKUP(A255,Data_NV!$A:$E,4,0)</f>
        <v>Vận Hành</v>
      </c>
      <c r="U255" s="67">
        <f>DATEVALUE(Table2[[#This Row],[Ngày]])</f>
        <v>45913</v>
      </c>
      <c r="V255" t="str">
        <f>VLOOKUP(A255,Data_NV!$A:$E,5,0)</f>
        <v>Đang làm việc</v>
      </c>
      <c r="W255" s="11">
        <f>VLOOKUP(A255,Data_NV!$A:$I,8,0)</f>
        <v>0.3125</v>
      </c>
      <c r="X255" s="11">
        <f>VLOOKUP(A255,Data_NV!$A:$I,9,0)</f>
        <v>0.6875</v>
      </c>
      <c r="Y255" s="11">
        <f>IFERROR(TIMEVALUE(Table2[[#This Row],[Vào]]),0)</f>
        <v>0.31030092592592595</v>
      </c>
      <c r="Z255" s="11">
        <f>IFERROR(TIMEVALUE(Table2[[#This Row],[Ra]]),0)</f>
        <v>0</v>
      </c>
      <c r="AA255" t="str">
        <f t="shared" si="21"/>
        <v>x</v>
      </c>
      <c r="AB255" s="14">
        <f t="shared" si="23"/>
        <v>0</v>
      </c>
      <c r="AC255" s="14" t="str">
        <f>IF(VLOOKUP(A255,Data_NV!$A:$I,7,0)="Không","",IF(OR(AND(Y255=0,Z255=0),AND(Y255&lt;&gt;0,Z255&lt;&gt;0)),"","Quên chấm công"))</f>
        <v/>
      </c>
      <c r="AD255" s="14">
        <f>IF(VLOOKUP(A255,Data_NV!$A:$I,7,0)="Không",0,IF(AND(Y255=0,Z255=0),0,IF(X255&lt;=Z255,0,ROUNDDOWN((X255-Z255)*24*60,0))))</f>
        <v>0</v>
      </c>
      <c r="AE255" s="14">
        <f>IF(VLOOKUP(A255,Data_NV!$A:$I,6,0)="Không",0,IF(Z255&lt;=X255,0,ROUNDDOWN((Z255-X255)*24*60,0)))</f>
        <v>0</v>
      </c>
      <c r="AF255" s="29">
        <f t="shared" si="22"/>
        <v>0</v>
      </c>
      <c r="AG255" s="30" t="str">
        <f>IF(AC255="","",IF(COUNTIFS($AC$3:AC255,"Quên chấm công",$S$3:S255,S255)&gt;3,"Không chấm công do vi phạm quá 3 lần",IF(COUNTIFS($AC$3:AC255,"Quên chấm công",$S$3:S255,S255)&gt;2,"Trừ toàn bộ chuyên cần tháng do vi phạm lần 3",IF(COUNTIFS($AC$3:AC255,"Quên chấm công",$S$3:S255,S255)&gt;1,"Trừ 1/2 ngày lương",50000))))</f>
        <v/>
      </c>
      <c r="AH255" s="14" t="str">
        <f>IF(COUNTIFS($AF$3:AF255,"&gt;0",$S$3:S255,S255)&gt;3,"Trừ toàn bộ chuyên cần tháng","")</f>
        <v/>
      </c>
      <c r="AI255" s="14"/>
      <c r="AJ255" s="14"/>
    </row>
    <row r="256" spans="1:36" x14ac:dyDescent="0.25">
      <c r="A256" s="4" t="s">
        <v>455</v>
      </c>
      <c r="B256" s="1" t="s">
        <v>456</v>
      </c>
      <c r="C256" s="1" t="s">
        <v>20</v>
      </c>
      <c r="D256" s="1" t="s">
        <v>74</v>
      </c>
      <c r="E256" s="1" t="s">
        <v>22</v>
      </c>
      <c r="F256" s="1" t="s">
        <v>23</v>
      </c>
      <c r="G256" s="1" t="s">
        <v>12</v>
      </c>
      <c r="H256" s="12" t="s">
        <v>24</v>
      </c>
      <c r="I256" s="1" t="s">
        <v>24</v>
      </c>
      <c r="J256" s="1" t="s">
        <v>25</v>
      </c>
      <c r="K256" s="1" t="s">
        <v>25</v>
      </c>
      <c r="L256" s="1" t="s">
        <v>26</v>
      </c>
      <c r="M256" s="1" t="s">
        <v>25</v>
      </c>
      <c r="N256" s="1" t="s">
        <v>25</v>
      </c>
      <c r="O256" s="1" t="s">
        <v>25</v>
      </c>
      <c r="P256" s="1" t="s">
        <v>25</v>
      </c>
      <c r="Q256" s="1" t="s">
        <v>25</v>
      </c>
      <c r="R256" s="70" t="str">
        <f t="shared" si="20"/>
        <v>2545914</v>
      </c>
      <c r="S256" t="str">
        <f>VLOOKUP(A256,Data_NV!$A:$C,3,0)</f>
        <v xml:space="preserve"> Nguyễn Hoàng Thực    </v>
      </c>
      <c r="T256" t="str">
        <f>VLOOKUP(A256,Data_NV!$A:$E,4,0)</f>
        <v>Vận Hành</v>
      </c>
      <c r="U256" s="67">
        <f>DATEVALUE(Table2[[#This Row],[Ngày]])</f>
        <v>45914</v>
      </c>
      <c r="V256" t="str">
        <f>VLOOKUP(A256,Data_NV!$A:$E,5,0)</f>
        <v>Đang làm việc</v>
      </c>
      <c r="W256" s="11">
        <f>VLOOKUP(A256,Data_NV!$A:$I,8,0)</f>
        <v>0.3125</v>
      </c>
      <c r="X256" s="11">
        <f>VLOOKUP(A256,Data_NV!$A:$I,9,0)</f>
        <v>0.6875</v>
      </c>
      <c r="Y256" s="11">
        <f>IFERROR(TIMEVALUE(Table2[[#This Row],[Vào]]),0)</f>
        <v>0</v>
      </c>
      <c r="Z256" s="11">
        <f>IFERROR(TIMEVALUE(Table2[[#This Row],[Ra]]),0)</f>
        <v>0</v>
      </c>
      <c r="AA256" t="str">
        <f t="shared" si="21"/>
        <v/>
      </c>
      <c r="AB256" s="14">
        <f t="shared" si="23"/>
        <v>0</v>
      </c>
      <c r="AC256" s="14" t="str">
        <f>IF(VLOOKUP(A256,Data_NV!$A:$I,7,0)="Không","",IF(OR(AND(Y256=0,Z256=0),AND(Y256&lt;&gt;0,Z256&lt;&gt;0)),"","Quên chấm công"))</f>
        <v/>
      </c>
      <c r="AD256" s="14">
        <f>IF(VLOOKUP(A256,Data_NV!$A:$I,7,0)="Không",0,IF(AND(Y256=0,Z256=0),0,IF(X256&lt;=Z256,0,ROUNDDOWN((X256-Z256)*24*60,0))))</f>
        <v>0</v>
      </c>
      <c r="AE256" s="14">
        <f>IF(VLOOKUP(A256,Data_NV!$A:$I,6,0)="Không",0,IF(Z256&lt;=X256,0,ROUNDDOWN((Z256-X256)*24*60,0)))</f>
        <v>0</v>
      </c>
      <c r="AF256" s="29">
        <f t="shared" si="22"/>
        <v>0</v>
      </c>
      <c r="AG256" s="30" t="str">
        <f>IF(AC256="","",IF(COUNTIFS($AC$3:AC256,"Quên chấm công",$S$3:S256,S256)&gt;3,"Không chấm công do vi phạm quá 3 lần",IF(COUNTIFS($AC$3:AC256,"Quên chấm công",$S$3:S256,S256)&gt;2,"Trừ toàn bộ chuyên cần tháng do vi phạm lần 3",IF(COUNTIFS($AC$3:AC256,"Quên chấm công",$S$3:S256,S256)&gt;1,"Trừ 1/2 ngày lương",50000))))</f>
        <v/>
      </c>
      <c r="AH256" s="14" t="str">
        <f>IF(COUNTIFS($AF$3:AF256,"&gt;0",$S$3:S256,S256)&gt;3,"Trừ toàn bộ chuyên cần tháng","")</f>
        <v/>
      </c>
      <c r="AI256" s="14"/>
      <c r="AJ256" s="14"/>
    </row>
    <row r="257" spans="1:36" x14ac:dyDescent="0.25">
      <c r="A257" s="4" t="s">
        <v>455</v>
      </c>
      <c r="B257" s="1" t="s">
        <v>456</v>
      </c>
      <c r="C257" s="1" t="s">
        <v>20</v>
      </c>
      <c r="D257" s="1" t="s">
        <v>75</v>
      </c>
      <c r="E257" s="1" t="s">
        <v>22</v>
      </c>
      <c r="F257" s="1" t="s">
        <v>23</v>
      </c>
      <c r="G257" s="1" t="s">
        <v>12</v>
      </c>
      <c r="H257" s="12" t="s">
        <v>467</v>
      </c>
      <c r="I257" s="1" t="s">
        <v>24</v>
      </c>
      <c r="J257" s="1" t="s">
        <v>25</v>
      </c>
      <c r="K257" s="1" t="s">
        <v>25</v>
      </c>
      <c r="L257" s="1" t="s">
        <v>26</v>
      </c>
      <c r="M257" s="1" t="s">
        <v>25</v>
      </c>
      <c r="N257" s="1" t="s">
        <v>25</v>
      </c>
      <c r="O257" s="1" t="s">
        <v>25</v>
      </c>
      <c r="P257" s="1" t="s">
        <v>25</v>
      </c>
      <c r="Q257" s="1" t="s">
        <v>25</v>
      </c>
      <c r="R257" s="70" t="str">
        <f t="shared" si="20"/>
        <v>2545915</v>
      </c>
      <c r="S257" t="str">
        <f>VLOOKUP(A257,Data_NV!$A:$C,3,0)</f>
        <v xml:space="preserve"> Nguyễn Hoàng Thực    </v>
      </c>
      <c r="T257" t="str">
        <f>VLOOKUP(A257,Data_NV!$A:$E,4,0)</f>
        <v>Vận Hành</v>
      </c>
      <c r="U257" s="67">
        <f>DATEVALUE(Table2[[#This Row],[Ngày]])</f>
        <v>45915</v>
      </c>
      <c r="V257" t="str">
        <f>VLOOKUP(A257,Data_NV!$A:$E,5,0)</f>
        <v>Đang làm việc</v>
      </c>
      <c r="W257" s="11">
        <f>VLOOKUP(A257,Data_NV!$A:$I,8,0)</f>
        <v>0.3125</v>
      </c>
      <c r="X257" s="11">
        <f>VLOOKUP(A257,Data_NV!$A:$I,9,0)</f>
        <v>0.6875</v>
      </c>
      <c r="Y257" s="11">
        <f>IFERROR(TIMEVALUE(Table2[[#This Row],[Vào]]),0)</f>
        <v>0.30853009259259262</v>
      </c>
      <c r="Z257" s="11">
        <f>IFERROR(TIMEVALUE(Table2[[#This Row],[Ra]]),0)</f>
        <v>0</v>
      </c>
      <c r="AA257" t="str">
        <f t="shared" si="21"/>
        <v>x</v>
      </c>
      <c r="AB257" s="14">
        <f t="shared" si="23"/>
        <v>0</v>
      </c>
      <c r="AC257" s="14" t="str">
        <f>IF(VLOOKUP(A257,Data_NV!$A:$I,7,0)="Không","",IF(OR(AND(Y257=0,Z257=0),AND(Y257&lt;&gt;0,Z257&lt;&gt;0)),"","Quên chấm công"))</f>
        <v/>
      </c>
      <c r="AD257" s="14">
        <f>IF(VLOOKUP(A257,Data_NV!$A:$I,7,0)="Không",0,IF(AND(Y257=0,Z257=0),0,IF(X257&lt;=Z257,0,ROUNDDOWN((X257-Z257)*24*60,0))))</f>
        <v>0</v>
      </c>
      <c r="AE257" s="14">
        <f>IF(VLOOKUP(A257,Data_NV!$A:$I,6,0)="Không",0,IF(Z257&lt;=X257,0,ROUNDDOWN((Z257-X257)*24*60,0)))</f>
        <v>0</v>
      </c>
      <c r="AF257" s="29">
        <f t="shared" si="22"/>
        <v>0</v>
      </c>
      <c r="AG257" s="30" t="str">
        <f>IF(AC257="","",IF(COUNTIFS($AC$3:AC257,"Quên chấm công",$S$3:S257,S257)&gt;3,"Không chấm công do vi phạm quá 3 lần",IF(COUNTIFS($AC$3:AC257,"Quên chấm công",$S$3:S257,S257)&gt;2,"Trừ toàn bộ chuyên cần tháng do vi phạm lần 3",IF(COUNTIFS($AC$3:AC257,"Quên chấm công",$S$3:S257,S257)&gt;1,"Trừ 1/2 ngày lương",50000))))</f>
        <v/>
      </c>
      <c r="AH257" s="14" t="str">
        <f>IF(COUNTIFS($AF$3:AF257,"&gt;0",$S$3:S257,S257)&gt;3,"Trừ toàn bộ chuyên cần tháng","")</f>
        <v/>
      </c>
      <c r="AI257" s="14"/>
      <c r="AJ257" s="14"/>
    </row>
    <row r="258" spans="1:36" x14ac:dyDescent="0.25">
      <c r="A258" s="4" t="s">
        <v>455</v>
      </c>
      <c r="B258" s="1" t="s">
        <v>456</v>
      </c>
      <c r="C258" s="1" t="s">
        <v>20</v>
      </c>
      <c r="D258" s="1" t="s">
        <v>80</v>
      </c>
      <c r="E258" s="1" t="s">
        <v>22</v>
      </c>
      <c r="F258" s="1" t="s">
        <v>23</v>
      </c>
      <c r="G258" s="1" t="s">
        <v>12</v>
      </c>
      <c r="H258" s="12" t="s">
        <v>468</v>
      </c>
      <c r="I258" s="1" t="s">
        <v>24</v>
      </c>
      <c r="J258" s="1" t="s">
        <v>25</v>
      </c>
      <c r="K258" s="1" t="s">
        <v>25</v>
      </c>
      <c r="L258" s="1" t="s">
        <v>26</v>
      </c>
      <c r="M258" s="1" t="s">
        <v>25</v>
      </c>
      <c r="N258" s="1" t="s">
        <v>25</v>
      </c>
      <c r="O258" s="1" t="s">
        <v>25</v>
      </c>
      <c r="P258" s="1" t="s">
        <v>25</v>
      </c>
      <c r="Q258" s="1" t="s">
        <v>25</v>
      </c>
      <c r="R258" s="70" t="str">
        <f t="shared" si="20"/>
        <v>2545916</v>
      </c>
      <c r="S258" t="str">
        <f>VLOOKUP(A258,Data_NV!$A:$C,3,0)</f>
        <v xml:space="preserve"> Nguyễn Hoàng Thực    </v>
      </c>
      <c r="T258" t="str">
        <f>VLOOKUP(A258,Data_NV!$A:$E,4,0)</f>
        <v>Vận Hành</v>
      </c>
      <c r="U258" s="67">
        <f>DATEVALUE(Table2[[#This Row],[Ngày]])</f>
        <v>45916</v>
      </c>
      <c r="V258" t="str">
        <f>VLOOKUP(A258,Data_NV!$A:$E,5,0)</f>
        <v>Đang làm việc</v>
      </c>
      <c r="W258" s="11">
        <f>VLOOKUP(A258,Data_NV!$A:$I,8,0)</f>
        <v>0.3125</v>
      </c>
      <c r="X258" s="11">
        <f>VLOOKUP(A258,Data_NV!$A:$I,9,0)</f>
        <v>0.6875</v>
      </c>
      <c r="Y258" s="11">
        <f>IFERROR(TIMEVALUE(Table2[[#This Row],[Vào]]),0)</f>
        <v>0.31116898148148148</v>
      </c>
      <c r="Z258" s="11">
        <f>IFERROR(TIMEVALUE(Table2[[#This Row],[Ra]]),0)</f>
        <v>0</v>
      </c>
      <c r="AA258" t="str">
        <f t="shared" si="21"/>
        <v>x</v>
      </c>
      <c r="AB258" s="14">
        <f t="shared" si="23"/>
        <v>0</v>
      </c>
      <c r="AC258" s="14" t="str">
        <f>IF(VLOOKUP(A258,Data_NV!$A:$I,7,0)="Không","",IF(OR(AND(Y258=0,Z258=0),AND(Y258&lt;&gt;0,Z258&lt;&gt;0)),"","Quên chấm công"))</f>
        <v/>
      </c>
      <c r="AD258" s="14">
        <f>IF(VLOOKUP(A258,Data_NV!$A:$I,7,0)="Không",0,IF(AND(Y258=0,Z258=0),0,IF(X258&lt;=Z258,0,ROUNDDOWN((X258-Z258)*24*60,0))))</f>
        <v>0</v>
      </c>
      <c r="AE258" s="14">
        <f>IF(VLOOKUP(A258,Data_NV!$A:$I,6,0)="Không",0,IF(Z258&lt;=X258,0,ROUNDDOWN((Z258-X258)*24*60,0)))</f>
        <v>0</v>
      </c>
      <c r="AF258" s="29">
        <f t="shared" si="22"/>
        <v>0</v>
      </c>
      <c r="AG258" s="30" t="str">
        <f>IF(AC258="","",IF(COUNTIFS($AC$3:AC258,"Quên chấm công",$S$3:S258,S258)&gt;3,"Không chấm công do vi phạm quá 3 lần",IF(COUNTIFS($AC$3:AC258,"Quên chấm công",$S$3:S258,S258)&gt;2,"Trừ toàn bộ chuyên cần tháng do vi phạm lần 3",IF(COUNTIFS($AC$3:AC258,"Quên chấm công",$S$3:S258,S258)&gt;1,"Trừ 1/2 ngày lương",50000))))</f>
        <v/>
      </c>
      <c r="AH258" s="14" t="str">
        <f>IF(COUNTIFS($AF$3:AF258,"&gt;0",$S$3:S258,S258)&gt;3,"Trừ toàn bộ chuyên cần tháng","")</f>
        <v/>
      </c>
      <c r="AI258" s="14"/>
      <c r="AJ258" s="14"/>
    </row>
    <row r="259" spans="1:36" x14ac:dyDescent="0.25">
      <c r="A259" s="4" t="s">
        <v>455</v>
      </c>
      <c r="B259" s="1" t="s">
        <v>456</v>
      </c>
      <c r="C259" s="1" t="s">
        <v>20</v>
      </c>
      <c r="D259" s="1" t="s">
        <v>85</v>
      </c>
      <c r="E259" s="1" t="s">
        <v>22</v>
      </c>
      <c r="F259" s="1" t="s">
        <v>23</v>
      </c>
      <c r="G259" s="1" t="s">
        <v>12</v>
      </c>
      <c r="H259" s="12" t="s">
        <v>469</v>
      </c>
      <c r="I259" s="1" t="s">
        <v>24</v>
      </c>
      <c r="J259" s="1" t="s">
        <v>25</v>
      </c>
      <c r="K259" s="1" t="s">
        <v>25</v>
      </c>
      <c r="L259" s="1" t="s">
        <v>26</v>
      </c>
      <c r="M259" s="1" t="s">
        <v>25</v>
      </c>
      <c r="N259" s="1" t="s">
        <v>25</v>
      </c>
      <c r="O259" s="1" t="s">
        <v>25</v>
      </c>
      <c r="P259" s="1" t="s">
        <v>25</v>
      </c>
      <c r="Q259" s="1" t="s">
        <v>25</v>
      </c>
      <c r="R259" s="70" t="str">
        <f t="shared" si="20"/>
        <v>2545917</v>
      </c>
      <c r="S259" t="str">
        <f>VLOOKUP(A259,Data_NV!$A:$C,3,0)</f>
        <v xml:space="preserve"> Nguyễn Hoàng Thực    </v>
      </c>
      <c r="T259" t="str">
        <f>VLOOKUP(A259,Data_NV!$A:$E,4,0)</f>
        <v>Vận Hành</v>
      </c>
      <c r="U259" s="67">
        <f>DATEVALUE(Table2[[#This Row],[Ngày]])</f>
        <v>45917</v>
      </c>
      <c r="V259" t="str">
        <f>VLOOKUP(A259,Data_NV!$A:$E,5,0)</f>
        <v>Đang làm việc</v>
      </c>
      <c r="W259" s="11">
        <f>VLOOKUP(A259,Data_NV!$A:$I,8,0)</f>
        <v>0.3125</v>
      </c>
      <c r="X259" s="11">
        <f>VLOOKUP(A259,Data_NV!$A:$I,9,0)</f>
        <v>0.6875</v>
      </c>
      <c r="Y259" s="11">
        <f>IFERROR(TIMEVALUE(Table2[[#This Row],[Vào]]),0)</f>
        <v>0.30723379629629627</v>
      </c>
      <c r="Z259" s="11">
        <f>IFERROR(TIMEVALUE(Table2[[#This Row],[Ra]]),0)</f>
        <v>0</v>
      </c>
      <c r="AA259" t="str">
        <f t="shared" si="21"/>
        <v>x</v>
      </c>
      <c r="AB259" s="14">
        <f t="shared" si="23"/>
        <v>0</v>
      </c>
      <c r="AC259" s="14" t="str">
        <f>IF(VLOOKUP(A259,Data_NV!$A:$I,7,0)="Không","",IF(OR(AND(Y259=0,Z259=0),AND(Y259&lt;&gt;0,Z259&lt;&gt;0)),"","Quên chấm công"))</f>
        <v/>
      </c>
      <c r="AD259" s="14">
        <f>IF(VLOOKUP(A259,Data_NV!$A:$I,7,0)="Không",0,IF(AND(Y259=0,Z259=0),0,IF(X259&lt;=Z259,0,ROUNDDOWN((X259-Z259)*24*60,0))))</f>
        <v>0</v>
      </c>
      <c r="AE259" s="14">
        <f>IF(VLOOKUP(A259,Data_NV!$A:$I,6,0)="Không",0,IF(Z259&lt;=X259,0,ROUNDDOWN((Z259-X259)*24*60,0)))</f>
        <v>0</v>
      </c>
      <c r="AF259" s="29">
        <f t="shared" si="22"/>
        <v>0</v>
      </c>
      <c r="AG259" s="30" t="str">
        <f>IF(AC259="","",IF(COUNTIFS($AC$3:AC259,"Quên chấm công",$S$3:S259,S259)&gt;3,"Không chấm công do vi phạm quá 3 lần",IF(COUNTIFS($AC$3:AC259,"Quên chấm công",$S$3:S259,S259)&gt;2,"Trừ toàn bộ chuyên cần tháng do vi phạm lần 3",IF(COUNTIFS($AC$3:AC259,"Quên chấm công",$S$3:S259,S259)&gt;1,"Trừ 1/2 ngày lương",50000))))</f>
        <v/>
      </c>
      <c r="AH259" s="14" t="str">
        <f>IF(COUNTIFS($AF$3:AF259,"&gt;0",$S$3:S259,S259)&gt;3,"Trừ toàn bộ chuyên cần tháng","")</f>
        <v/>
      </c>
      <c r="AI259" s="14"/>
      <c r="AJ259" s="14"/>
    </row>
    <row r="260" spans="1:36" x14ac:dyDescent="0.25">
      <c r="A260" s="4" t="s">
        <v>455</v>
      </c>
      <c r="B260" s="1" t="s">
        <v>456</v>
      </c>
      <c r="C260" s="1" t="s">
        <v>20</v>
      </c>
      <c r="D260" s="1" t="s">
        <v>90</v>
      </c>
      <c r="E260" s="1" t="s">
        <v>22</v>
      </c>
      <c r="F260" s="1" t="s">
        <v>23</v>
      </c>
      <c r="G260" s="1" t="s">
        <v>12</v>
      </c>
      <c r="H260" s="12" t="s">
        <v>470</v>
      </c>
      <c r="I260" s="1" t="s">
        <v>24</v>
      </c>
      <c r="J260" s="1" t="s">
        <v>25</v>
      </c>
      <c r="K260" s="1" t="s">
        <v>25</v>
      </c>
      <c r="L260" s="1" t="s">
        <v>26</v>
      </c>
      <c r="M260" s="1" t="s">
        <v>25</v>
      </c>
      <c r="N260" s="1" t="s">
        <v>25</v>
      </c>
      <c r="O260" s="1" t="s">
        <v>25</v>
      </c>
      <c r="P260" s="1" t="s">
        <v>25</v>
      </c>
      <c r="Q260" s="1" t="s">
        <v>25</v>
      </c>
      <c r="R260" s="70" t="str">
        <f t="shared" si="20"/>
        <v>2545918</v>
      </c>
      <c r="S260" t="str">
        <f>VLOOKUP(A260,Data_NV!$A:$C,3,0)</f>
        <v xml:space="preserve"> Nguyễn Hoàng Thực    </v>
      </c>
      <c r="T260" t="str">
        <f>VLOOKUP(A260,Data_NV!$A:$E,4,0)</f>
        <v>Vận Hành</v>
      </c>
      <c r="U260" s="67">
        <f>DATEVALUE(Table2[[#This Row],[Ngày]])</f>
        <v>45918</v>
      </c>
      <c r="V260" t="str">
        <f>VLOOKUP(A260,Data_NV!$A:$E,5,0)</f>
        <v>Đang làm việc</v>
      </c>
      <c r="W260" s="11">
        <f>VLOOKUP(A260,Data_NV!$A:$I,8,0)</f>
        <v>0.3125</v>
      </c>
      <c r="X260" s="11">
        <f>VLOOKUP(A260,Data_NV!$A:$I,9,0)</f>
        <v>0.6875</v>
      </c>
      <c r="Y260" s="11">
        <f>IFERROR(TIMEVALUE(Table2[[#This Row],[Vào]]),0)</f>
        <v>0.31391203703703702</v>
      </c>
      <c r="Z260" s="11">
        <f>IFERROR(TIMEVALUE(Table2[[#This Row],[Ra]]),0)</f>
        <v>0</v>
      </c>
      <c r="AA260" t="str">
        <f t="shared" si="21"/>
        <v>x</v>
      </c>
      <c r="AB260" s="14">
        <f t="shared" si="23"/>
        <v>2</v>
      </c>
      <c r="AC260" s="14" t="str">
        <f>IF(VLOOKUP(A260,Data_NV!$A:$I,7,0)="Không","",IF(OR(AND(Y260=0,Z260=0),AND(Y260&lt;&gt;0,Z260&lt;&gt;0)),"","Quên chấm công"))</f>
        <v/>
      </c>
      <c r="AD260" s="14">
        <f>IF(VLOOKUP(A260,Data_NV!$A:$I,7,0)="Không",0,IF(AND(Y260=0,Z260=0),0,IF(X260&lt;=Z260,0,ROUNDDOWN((X260-Z260)*24*60,0))))</f>
        <v>0</v>
      </c>
      <c r="AE260" s="14">
        <f>IF(VLOOKUP(A260,Data_NV!$A:$I,6,0)="Không",0,IF(Z260&lt;=X260,0,ROUNDDOWN((Z260-X260)*24*60,0)))</f>
        <v>0</v>
      </c>
      <c r="AF260" s="29">
        <f t="shared" si="22"/>
        <v>0</v>
      </c>
      <c r="AG260" s="30" t="str">
        <f>IF(AC260="","",IF(COUNTIFS($AC$3:AC260,"Quên chấm công",$S$3:S260,S260)&gt;3,"Không chấm công do vi phạm quá 3 lần",IF(COUNTIFS($AC$3:AC260,"Quên chấm công",$S$3:S260,S260)&gt;2,"Trừ toàn bộ chuyên cần tháng do vi phạm lần 3",IF(COUNTIFS($AC$3:AC260,"Quên chấm công",$S$3:S260,S260)&gt;1,"Trừ 1/2 ngày lương",50000))))</f>
        <v/>
      </c>
      <c r="AH260" s="14" t="str">
        <f>IF(COUNTIFS($AF$3:AF260,"&gt;0",$S$3:S260,S260)&gt;3,"Trừ toàn bộ chuyên cần tháng","")</f>
        <v/>
      </c>
      <c r="AI260" s="14"/>
      <c r="AJ260" s="14"/>
    </row>
    <row r="261" spans="1:36" x14ac:dyDescent="0.25">
      <c r="A261" s="4" t="s">
        <v>455</v>
      </c>
      <c r="B261" s="1" t="s">
        <v>456</v>
      </c>
      <c r="C261" s="1" t="s">
        <v>20</v>
      </c>
      <c r="D261" s="1" t="s">
        <v>95</v>
      </c>
      <c r="E261" s="1" t="s">
        <v>22</v>
      </c>
      <c r="F261" s="1" t="s">
        <v>23</v>
      </c>
      <c r="G261" s="1" t="s">
        <v>12</v>
      </c>
      <c r="H261" s="12" t="s">
        <v>471</v>
      </c>
      <c r="I261" s="1" t="s">
        <v>24</v>
      </c>
      <c r="J261" s="1" t="s">
        <v>25</v>
      </c>
      <c r="K261" s="1" t="s">
        <v>25</v>
      </c>
      <c r="L261" s="1" t="s">
        <v>26</v>
      </c>
      <c r="M261" s="1" t="s">
        <v>25</v>
      </c>
      <c r="N261" s="1" t="s">
        <v>25</v>
      </c>
      <c r="O261" s="1" t="s">
        <v>25</v>
      </c>
      <c r="P261" s="1" t="s">
        <v>25</v>
      </c>
      <c r="Q261" s="1" t="s">
        <v>25</v>
      </c>
      <c r="R261" s="70" t="str">
        <f t="shared" si="20"/>
        <v>2545919</v>
      </c>
      <c r="S261" t="str">
        <f>VLOOKUP(A261,Data_NV!$A:$C,3,0)</f>
        <v xml:space="preserve"> Nguyễn Hoàng Thực    </v>
      </c>
      <c r="T261" t="str">
        <f>VLOOKUP(A261,Data_NV!$A:$E,4,0)</f>
        <v>Vận Hành</v>
      </c>
      <c r="U261" s="67">
        <f>DATEVALUE(Table2[[#This Row],[Ngày]])</f>
        <v>45919</v>
      </c>
      <c r="V261" t="str">
        <f>VLOOKUP(A261,Data_NV!$A:$E,5,0)</f>
        <v>Đang làm việc</v>
      </c>
      <c r="W261" s="11">
        <f>VLOOKUP(A261,Data_NV!$A:$I,8,0)</f>
        <v>0.3125</v>
      </c>
      <c r="X261" s="11">
        <f>VLOOKUP(A261,Data_NV!$A:$I,9,0)</f>
        <v>0.6875</v>
      </c>
      <c r="Y261" s="11">
        <f>IFERROR(TIMEVALUE(Table2[[#This Row],[Vào]]),0)</f>
        <v>0.31199074074074074</v>
      </c>
      <c r="Z261" s="11">
        <f>IFERROR(TIMEVALUE(Table2[[#This Row],[Ra]]),0)</f>
        <v>0</v>
      </c>
      <c r="AA261" t="str">
        <f t="shared" si="21"/>
        <v>x</v>
      </c>
      <c r="AB261" s="14">
        <f t="shared" si="23"/>
        <v>0</v>
      </c>
      <c r="AC261" s="14" t="str">
        <f>IF(VLOOKUP(A261,Data_NV!$A:$I,7,0)="Không","",IF(OR(AND(Y261=0,Z261=0),AND(Y261&lt;&gt;0,Z261&lt;&gt;0)),"","Quên chấm công"))</f>
        <v/>
      </c>
      <c r="AD261" s="14">
        <f>IF(VLOOKUP(A261,Data_NV!$A:$I,7,0)="Không",0,IF(AND(Y261=0,Z261=0),0,IF(X261&lt;=Z261,0,ROUNDDOWN((X261-Z261)*24*60,0))))</f>
        <v>0</v>
      </c>
      <c r="AE261" s="14">
        <f>IF(VLOOKUP(A261,Data_NV!$A:$I,6,0)="Không",0,IF(Z261&lt;=X261,0,ROUNDDOWN((Z261-X261)*24*60,0)))</f>
        <v>0</v>
      </c>
      <c r="AF261" s="29">
        <f t="shared" si="22"/>
        <v>0</v>
      </c>
      <c r="AG261" s="30" t="str">
        <f>IF(AC261="","",IF(COUNTIFS($AC$3:AC261,"Quên chấm công",$S$3:S261,S261)&gt;3,"Không chấm công do vi phạm quá 3 lần",IF(COUNTIFS($AC$3:AC261,"Quên chấm công",$S$3:S261,S261)&gt;2,"Trừ toàn bộ chuyên cần tháng do vi phạm lần 3",IF(COUNTIFS($AC$3:AC261,"Quên chấm công",$S$3:S261,S261)&gt;1,"Trừ 1/2 ngày lương",50000))))</f>
        <v/>
      </c>
      <c r="AH261" s="14" t="str">
        <f>IF(COUNTIFS($AF$3:AF261,"&gt;0",$S$3:S261,S261)&gt;3,"Trừ toàn bộ chuyên cần tháng","")</f>
        <v/>
      </c>
      <c r="AI261" s="14"/>
      <c r="AJ261" s="14"/>
    </row>
    <row r="262" spans="1:36" x14ac:dyDescent="0.25">
      <c r="A262" s="4" t="s">
        <v>455</v>
      </c>
      <c r="B262" s="1" t="s">
        <v>456</v>
      </c>
      <c r="C262" s="1" t="s">
        <v>20</v>
      </c>
      <c r="D262" s="1" t="s">
        <v>100</v>
      </c>
      <c r="E262" s="1" t="s">
        <v>22</v>
      </c>
      <c r="F262" s="1" t="s">
        <v>23</v>
      </c>
      <c r="G262" s="1" t="s">
        <v>12</v>
      </c>
      <c r="H262" s="12" t="s">
        <v>472</v>
      </c>
      <c r="I262" s="1" t="s">
        <v>24</v>
      </c>
      <c r="J262" s="1" t="s">
        <v>25</v>
      </c>
      <c r="K262" s="1" t="s">
        <v>25</v>
      </c>
      <c r="L262" s="1" t="s">
        <v>26</v>
      </c>
      <c r="M262" s="1" t="s">
        <v>25</v>
      </c>
      <c r="N262" s="1" t="s">
        <v>25</v>
      </c>
      <c r="O262" s="1" t="s">
        <v>25</v>
      </c>
      <c r="P262" s="1" t="s">
        <v>25</v>
      </c>
      <c r="Q262" s="1" t="s">
        <v>25</v>
      </c>
      <c r="R262" s="70" t="str">
        <f t="shared" si="20"/>
        <v>2545920</v>
      </c>
      <c r="S262" t="str">
        <f>VLOOKUP(A262,Data_NV!$A:$C,3,0)</f>
        <v xml:space="preserve"> Nguyễn Hoàng Thực    </v>
      </c>
      <c r="T262" t="str">
        <f>VLOOKUP(A262,Data_NV!$A:$E,4,0)</f>
        <v>Vận Hành</v>
      </c>
      <c r="U262" s="67">
        <f>DATEVALUE(Table2[[#This Row],[Ngày]])</f>
        <v>45920</v>
      </c>
      <c r="V262" t="str">
        <f>VLOOKUP(A262,Data_NV!$A:$E,5,0)</f>
        <v>Đang làm việc</v>
      </c>
      <c r="W262" s="11">
        <f>VLOOKUP(A262,Data_NV!$A:$I,8,0)</f>
        <v>0.3125</v>
      </c>
      <c r="X262" s="11">
        <f>VLOOKUP(A262,Data_NV!$A:$I,9,0)</f>
        <v>0.6875</v>
      </c>
      <c r="Y262" s="11">
        <f>IFERROR(TIMEVALUE(Table2[[#This Row],[Vào]]),0)</f>
        <v>0.31082175925925926</v>
      </c>
      <c r="Z262" s="11">
        <f>IFERROR(TIMEVALUE(Table2[[#This Row],[Ra]]),0)</f>
        <v>0</v>
      </c>
      <c r="AA262" t="str">
        <f t="shared" si="21"/>
        <v>x</v>
      </c>
      <c r="AB262" s="14">
        <f t="shared" si="23"/>
        <v>0</v>
      </c>
      <c r="AC262" s="14" t="str">
        <f>IF(VLOOKUP(A262,Data_NV!$A:$I,7,0)="Không","",IF(OR(AND(Y262=0,Z262=0),AND(Y262&lt;&gt;0,Z262&lt;&gt;0)),"","Quên chấm công"))</f>
        <v/>
      </c>
      <c r="AD262" s="14">
        <f>IF(VLOOKUP(A262,Data_NV!$A:$I,7,0)="Không",0,IF(AND(Y262=0,Z262=0),0,IF(X262&lt;=Z262,0,ROUNDDOWN((X262-Z262)*24*60,0))))</f>
        <v>0</v>
      </c>
      <c r="AE262" s="14">
        <f>IF(VLOOKUP(A262,Data_NV!$A:$I,6,0)="Không",0,IF(Z262&lt;=X262,0,ROUNDDOWN((Z262-X262)*24*60,0)))</f>
        <v>0</v>
      </c>
      <c r="AF262" s="29">
        <f t="shared" si="22"/>
        <v>0</v>
      </c>
      <c r="AG262" s="30" t="str">
        <f>IF(AC262="","",IF(COUNTIFS($AC$3:AC262,"Quên chấm công",$S$3:S262,S262)&gt;3,"Không chấm công do vi phạm quá 3 lần",IF(COUNTIFS($AC$3:AC262,"Quên chấm công",$S$3:S262,S262)&gt;2,"Trừ toàn bộ chuyên cần tháng do vi phạm lần 3",IF(COUNTIFS($AC$3:AC262,"Quên chấm công",$S$3:S262,S262)&gt;1,"Trừ 1/2 ngày lương",50000))))</f>
        <v/>
      </c>
      <c r="AH262" s="14" t="str">
        <f>IF(COUNTIFS($AF$3:AF262,"&gt;0",$S$3:S262,S262)&gt;3,"Trừ toàn bộ chuyên cần tháng","")</f>
        <v/>
      </c>
      <c r="AI262" s="14"/>
      <c r="AJ262" s="14"/>
    </row>
    <row r="263" spans="1:36" x14ac:dyDescent="0.25">
      <c r="A263" s="4" t="s">
        <v>455</v>
      </c>
      <c r="B263" s="1" t="s">
        <v>456</v>
      </c>
      <c r="C263" s="1" t="s">
        <v>20</v>
      </c>
      <c r="D263" s="1" t="s">
        <v>105</v>
      </c>
      <c r="E263" s="1" t="s">
        <v>22</v>
      </c>
      <c r="F263" s="1" t="s">
        <v>23</v>
      </c>
      <c r="G263" s="1" t="s">
        <v>12</v>
      </c>
      <c r="H263" s="12" t="s">
        <v>24</v>
      </c>
      <c r="I263" s="1" t="s">
        <v>24</v>
      </c>
      <c r="J263" s="1" t="s">
        <v>25</v>
      </c>
      <c r="K263" s="1" t="s">
        <v>25</v>
      </c>
      <c r="L263" s="1" t="s">
        <v>26</v>
      </c>
      <c r="M263" s="1" t="s">
        <v>25</v>
      </c>
      <c r="N263" s="1" t="s">
        <v>25</v>
      </c>
      <c r="O263" s="1" t="s">
        <v>25</v>
      </c>
      <c r="P263" s="1" t="s">
        <v>25</v>
      </c>
      <c r="Q263" s="1" t="s">
        <v>25</v>
      </c>
      <c r="R263" s="70" t="str">
        <f t="shared" si="20"/>
        <v>2545921</v>
      </c>
      <c r="S263" t="str">
        <f>VLOOKUP(A263,Data_NV!$A:$C,3,0)</f>
        <v xml:space="preserve"> Nguyễn Hoàng Thực    </v>
      </c>
      <c r="T263" t="str">
        <f>VLOOKUP(A263,Data_NV!$A:$E,4,0)</f>
        <v>Vận Hành</v>
      </c>
      <c r="U263" s="67">
        <f>DATEVALUE(Table2[[#This Row],[Ngày]])</f>
        <v>45921</v>
      </c>
      <c r="V263" t="str">
        <f>VLOOKUP(A263,Data_NV!$A:$E,5,0)</f>
        <v>Đang làm việc</v>
      </c>
      <c r="W263" s="11">
        <f>VLOOKUP(A263,Data_NV!$A:$I,8,0)</f>
        <v>0.3125</v>
      </c>
      <c r="X263" s="11">
        <f>VLOOKUP(A263,Data_NV!$A:$I,9,0)</f>
        <v>0.6875</v>
      </c>
      <c r="Y263" s="11">
        <f>IFERROR(TIMEVALUE(Table2[[#This Row],[Vào]]),0)</f>
        <v>0</v>
      </c>
      <c r="Z263" s="11">
        <f>IFERROR(TIMEVALUE(Table2[[#This Row],[Ra]]),0)</f>
        <v>0</v>
      </c>
      <c r="AA263" t="str">
        <f t="shared" si="21"/>
        <v/>
      </c>
      <c r="AB263" s="14">
        <f t="shared" si="23"/>
        <v>0</v>
      </c>
      <c r="AC263" s="14" t="str">
        <f>IF(VLOOKUP(A263,Data_NV!$A:$I,7,0)="Không","",IF(OR(AND(Y263=0,Z263=0),AND(Y263&lt;&gt;0,Z263&lt;&gt;0)),"","Quên chấm công"))</f>
        <v/>
      </c>
      <c r="AD263" s="14">
        <f>IF(VLOOKUP(A263,Data_NV!$A:$I,7,0)="Không",0,IF(AND(Y263=0,Z263=0),0,IF(X263&lt;=Z263,0,ROUNDDOWN((X263-Z263)*24*60,0))))</f>
        <v>0</v>
      </c>
      <c r="AE263" s="14">
        <f>IF(VLOOKUP(A263,Data_NV!$A:$I,6,0)="Không",0,IF(Z263&lt;=X263,0,ROUNDDOWN((Z263-X263)*24*60,0)))</f>
        <v>0</v>
      </c>
      <c r="AF263" s="29">
        <f t="shared" si="22"/>
        <v>0</v>
      </c>
      <c r="AG263" s="30" t="str">
        <f>IF(AC263="","",IF(COUNTIFS($AC$3:AC263,"Quên chấm công",$S$3:S263,S263)&gt;3,"Không chấm công do vi phạm quá 3 lần",IF(COUNTIFS($AC$3:AC263,"Quên chấm công",$S$3:S263,S263)&gt;2,"Trừ toàn bộ chuyên cần tháng do vi phạm lần 3",IF(COUNTIFS($AC$3:AC263,"Quên chấm công",$S$3:S263,S263)&gt;1,"Trừ 1/2 ngày lương",50000))))</f>
        <v/>
      </c>
      <c r="AH263" s="14" t="str">
        <f>IF(COUNTIFS($AF$3:AF263,"&gt;0",$S$3:S263,S263)&gt;3,"Trừ toàn bộ chuyên cần tháng","")</f>
        <v/>
      </c>
      <c r="AI263" s="14"/>
      <c r="AJ263" s="14"/>
    </row>
    <row r="264" spans="1:36" x14ac:dyDescent="0.25">
      <c r="A264" s="4" t="s">
        <v>455</v>
      </c>
      <c r="B264" s="1" t="s">
        <v>456</v>
      </c>
      <c r="C264" s="1" t="s">
        <v>20</v>
      </c>
      <c r="D264" s="1" t="s">
        <v>106</v>
      </c>
      <c r="E264" s="1" t="s">
        <v>22</v>
      </c>
      <c r="F264" s="1" t="s">
        <v>23</v>
      </c>
      <c r="G264" s="1" t="s">
        <v>12</v>
      </c>
      <c r="H264" s="12" t="s">
        <v>473</v>
      </c>
      <c r="I264" s="1" t="s">
        <v>24</v>
      </c>
      <c r="J264" s="1" t="s">
        <v>25</v>
      </c>
      <c r="K264" s="1" t="s">
        <v>25</v>
      </c>
      <c r="L264" s="1" t="s">
        <v>26</v>
      </c>
      <c r="M264" s="1" t="s">
        <v>25</v>
      </c>
      <c r="N264" s="1" t="s">
        <v>25</v>
      </c>
      <c r="O264" s="1" t="s">
        <v>25</v>
      </c>
      <c r="P264" s="1" t="s">
        <v>25</v>
      </c>
      <c r="Q264" s="1" t="s">
        <v>25</v>
      </c>
      <c r="R264" s="70" t="str">
        <f t="shared" si="20"/>
        <v>2545922</v>
      </c>
      <c r="S264" t="str">
        <f>VLOOKUP(A264,Data_NV!$A:$C,3,0)</f>
        <v xml:space="preserve"> Nguyễn Hoàng Thực    </v>
      </c>
      <c r="T264" t="str">
        <f>VLOOKUP(A264,Data_NV!$A:$E,4,0)</f>
        <v>Vận Hành</v>
      </c>
      <c r="U264" s="67">
        <f>DATEVALUE(Table2[[#This Row],[Ngày]])</f>
        <v>45922</v>
      </c>
      <c r="V264" t="str">
        <f>VLOOKUP(A264,Data_NV!$A:$E,5,0)</f>
        <v>Đang làm việc</v>
      </c>
      <c r="W264" s="11">
        <f>VLOOKUP(A264,Data_NV!$A:$I,8,0)</f>
        <v>0.3125</v>
      </c>
      <c r="X264" s="11">
        <f>VLOOKUP(A264,Data_NV!$A:$I,9,0)</f>
        <v>0.6875</v>
      </c>
      <c r="Y264" s="11">
        <f>IFERROR(TIMEVALUE(Table2[[#This Row],[Vào]]),0)</f>
        <v>0.31006944444444445</v>
      </c>
      <c r="Z264" s="11">
        <f>IFERROR(TIMEVALUE(Table2[[#This Row],[Ra]]),0)</f>
        <v>0</v>
      </c>
      <c r="AA264" t="str">
        <f t="shared" si="21"/>
        <v>x</v>
      </c>
      <c r="AB264" s="14">
        <f t="shared" si="23"/>
        <v>0</v>
      </c>
      <c r="AC264" s="14" t="str">
        <f>IF(VLOOKUP(A264,Data_NV!$A:$I,7,0)="Không","",IF(OR(AND(Y264=0,Z264=0),AND(Y264&lt;&gt;0,Z264&lt;&gt;0)),"","Quên chấm công"))</f>
        <v/>
      </c>
      <c r="AD264" s="14">
        <f>IF(VLOOKUP(A264,Data_NV!$A:$I,7,0)="Không",0,IF(AND(Y264=0,Z264=0),0,IF(X264&lt;=Z264,0,ROUNDDOWN((X264-Z264)*24*60,0))))</f>
        <v>0</v>
      </c>
      <c r="AE264" s="14">
        <f>IF(VLOOKUP(A264,Data_NV!$A:$I,6,0)="Không",0,IF(Z264&lt;=X264,0,ROUNDDOWN((Z264-X264)*24*60,0)))</f>
        <v>0</v>
      </c>
      <c r="AF264" s="29">
        <f t="shared" si="22"/>
        <v>0</v>
      </c>
      <c r="AG264" s="30" t="str">
        <f>IF(AC264="","",IF(COUNTIFS($AC$3:AC264,"Quên chấm công",$S$3:S264,S264)&gt;3,"Không chấm công do vi phạm quá 3 lần",IF(COUNTIFS($AC$3:AC264,"Quên chấm công",$S$3:S264,S264)&gt;2,"Trừ toàn bộ chuyên cần tháng do vi phạm lần 3",IF(COUNTIFS($AC$3:AC264,"Quên chấm công",$S$3:S264,S264)&gt;1,"Trừ 1/2 ngày lương",50000))))</f>
        <v/>
      </c>
      <c r="AH264" s="14" t="str">
        <f>IF(COUNTIFS($AF$3:AF264,"&gt;0",$S$3:S264,S264)&gt;3,"Trừ toàn bộ chuyên cần tháng","")</f>
        <v/>
      </c>
      <c r="AI264" s="14"/>
      <c r="AJ264" s="14"/>
    </row>
    <row r="265" spans="1:36" x14ac:dyDescent="0.25">
      <c r="A265" s="4" t="s">
        <v>455</v>
      </c>
      <c r="B265" s="1" t="s">
        <v>456</v>
      </c>
      <c r="C265" s="1" t="s">
        <v>20</v>
      </c>
      <c r="D265" s="1" t="s">
        <v>111</v>
      </c>
      <c r="E265" s="1" t="s">
        <v>22</v>
      </c>
      <c r="F265" s="1" t="s">
        <v>23</v>
      </c>
      <c r="G265" s="1" t="s">
        <v>12</v>
      </c>
      <c r="H265" s="12" t="s">
        <v>86</v>
      </c>
      <c r="I265" s="1" t="s">
        <v>24</v>
      </c>
      <c r="J265" s="1" t="s">
        <v>25</v>
      </c>
      <c r="K265" s="1" t="s">
        <v>25</v>
      </c>
      <c r="L265" s="1" t="s">
        <v>26</v>
      </c>
      <c r="M265" s="1" t="s">
        <v>25</v>
      </c>
      <c r="N265" s="1" t="s">
        <v>25</v>
      </c>
      <c r="O265" s="1" t="s">
        <v>25</v>
      </c>
      <c r="P265" s="1" t="s">
        <v>25</v>
      </c>
      <c r="Q265" s="1" t="s">
        <v>25</v>
      </c>
      <c r="R265" s="70" t="str">
        <f t="shared" si="20"/>
        <v>2545923</v>
      </c>
      <c r="S265" t="str">
        <f>VLOOKUP(A265,Data_NV!$A:$C,3,0)</f>
        <v xml:space="preserve"> Nguyễn Hoàng Thực    </v>
      </c>
      <c r="T265" t="str">
        <f>VLOOKUP(A265,Data_NV!$A:$E,4,0)</f>
        <v>Vận Hành</v>
      </c>
      <c r="U265" s="67">
        <f>DATEVALUE(Table2[[#This Row],[Ngày]])</f>
        <v>45923</v>
      </c>
      <c r="V265" t="str">
        <f>VLOOKUP(A265,Data_NV!$A:$E,5,0)</f>
        <v>Đang làm việc</v>
      </c>
      <c r="W265" s="11">
        <f>VLOOKUP(A265,Data_NV!$A:$I,8,0)</f>
        <v>0.3125</v>
      </c>
      <c r="X265" s="11">
        <f>VLOOKUP(A265,Data_NV!$A:$I,9,0)</f>
        <v>0.6875</v>
      </c>
      <c r="Y265" s="11">
        <f>IFERROR(TIMEVALUE(Table2[[#This Row],[Vào]]),0)</f>
        <v>0.30554398148148149</v>
      </c>
      <c r="Z265" s="11">
        <f>IFERROR(TIMEVALUE(Table2[[#This Row],[Ra]]),0)</f>
        <v>0</v>
      </c>
      <c r="AA265" t="str">
        <f t="shared" si="21"/>
        <v>x</v>
      </c>
      <c r="AB265" s="14">
        <f t="shared" si="23"/>
        <v>0</v>
      </c>
      <c r="AC265" s="14" t="str">
        <f>IF(VLOOKUP(A265,Data_NV!$A:$I,7,0)="Không","",IF(OR(AND(Y265=0,Z265=0),AND(Y265&lt;&gt;0,Z265&lt;&gt;0)),"","Quên chấm công"))</f>
        <v/>
      </c>
      <c r="AD265" s="14">
        <f>IF(VLOOKUP(A265,Data_NV!$A:$I,7,0)="Không",0,IF(AND(Y265=0,Z265=0),0,IF(X265&lt;=Z265,0,ROUNDDOWN((X265-Z265)*24*60,0))))</f>
        <v>0</v>
      </c>
      <c r="AE265" s="14">
        <f>IF(VLOOKUP(A265,Data_NV!$A:$I,6,0)="Không",0,IF(Z265&lt;=X265,0,ROUNDDOWN((Z265-X265)*24*60,0)))</f>
        <v>0</v>
      </c>
      <c r="AF265" s="29">
        <f t="shared" si="22"/>
        <v>0</v>
      </c>
      <c r="AG265" s="30" t="str">
        <f>IF(AC265="","",IF(COUNTIFS($AC$3:AC265,"Quên chấm công",$S$3:S265,S265)&gt;3,"Không chấm công do vi phạm quá 3 lần",IF(COUNTIFS($AC$3:AC265,"Quên chấm công",$S$3:S265,S265)&gt;2,"Trừ toàn bộ chuyên cần tháng do vi phạm lần 3",IF(COUNTIFS($AC$3:AC265,"Quên chấm công",$S$3:S265,S265)&gt;1,"Trừ 1/2 ngày lương",50000))))</f>
        <v/>
      </c>
      <c r="AH265" s="14" t="str">
        <f>IF(COUNTIFS($AF$3:AF265,"&gt;0",$S$3:S265,S265)&gt;3,"Trừ toàn bộ chuyên cần tháng","")</f>
        <v/>
      </c>
      <c r="AI265" s="14"/>
      <c r="AJ265" s="14"/>
    </row>
    <row r="266" spans="1:36" x14ac:dyDescent="0.25">
      <c r="A266" s="4" t="s">
        <v>455</v>
      </c>
      <c r="B266" s="1" t="s">
        <v>456</v>
      </c>
      <c r="C266" s="1" t="s">
        <v>20</v>
      </c>
      <c r="D266" s="1" t="s">
        <v>116</v>
      </c>
      <c r="E266" s="1" t="s">
        <v>22</v>
      </c>
      <c r="F266" s="1" t="s">
        <v>23</v>
      </c>
      <c r="G266" s="1" t="s">
        <v>12</v>
      </c>
      <c r="H266" s="12" t="s">
        <v>474</v>
      </c>
      <c r="I266" s="1" t="s">
        <v>24</v>
      </c>
      <c r="J266" s="1" t="s">
        <v>25</v>
      </c>
      <c r="K266" s="1" t="s">
        <v>25</v>
      </c>
      <c r="L266" s="1" t="s">
        <v>26</v>
      </c>
      <c r="M266" s="1" t="s">
        <v>25</v>
      </c>
      <c r="N266" s="1" t="s">
        <v>25</v>
      </c>
      <c r="O266" s="1" t="s">
        <v>25</v>
      </c>
      <c r="P266" s="1" t="s">
        <v>25</v>
      </c>
      <c r="Q266" s="1" t="s">
        <v>25</v>
      </c>
      <c r="R266" s="70" t="str">
        <f t="shared" si="20"/>
        <v>2545924</v>
      </c>
      <c r="S266" t="str">
        <f>VLOOKUP(A266,Data_NV!$A:$C,3,0)</f>
        <v xml:space="preserve"> Nguyễn Hoàng Thực    </v>
      </c>
      <c r="T266" t="str">
        <f>VLOOKUP(A266,Data_NV!$A:$E,4,0)</f>
        <v>Vận Hành</v>
      </c>
      <c r="U266" s="67">
        <f>DATEVALUE(Table2[[#This Row],[Ngày]])</f>
        <v>45924</v>
      </c>
      <c r="V266" t="str">
        <f>VLOOKUP(A266,Data_NV!$A:$E,5,0)</f>
        <v>Đang làm việc</v>
      </c>
      <c r="W266" s="11">
        <f>VLOOKUP(A266,Data_NV!$A:$I,8,0)</f>
        <v>0.3125</v>
      </c>
      <c r="X266" s="11">
        <f>VLOOKUP(A266,Data_NV!$A:$I,9,0)</f>
        <v>0.6875</v>
      </c>
      <c r="Y266" s="11">
        <f>IFERROR(TIMEVALUE(Table2[[#This Row],[Vào]]),0)</f>
        <v>0.30917824074074074</v>
      </c>
      <c r="Z266" s="11">
        <f>IFERROR(TIMEVALUE(Table2[[#This Row],[Ra]]),0)</f>
        <v>0</v>
      </c>
      <c r="AA266" t="str">
        <f t="shared" si="21"/>
        <v>x</v>
      </c>
      <c r="AB266" s="14">
        <f t="shared" si="23"/>
        <v>0</v>
      </c>
      <c r="AC266" s="14" t="str">
        <f>IF(VLOOKUP(A266,Data_NV!$A:$I,7,0)="Không","",IF(OR(AND(Y266=0,Z266=0),AND(Y266&lt;&gt;0,Z266&lt;&gt;0)),"","Quên chấm công"))</f>
        <v/>
      </c>
      <c r="AD266" s="14">
        <f>IF(VLOOKUP(A266,Data_NV!$A:$I,7,0)="Không",0,IF(AND(Y266=0,Z266=0),0,IF(X266&lt;=Z266,0,ROUNDDOWN((X266-Z266)*24*60,0))))</f>
        <v>0</v>
      </c>
      <c r="AE266" s="14">
        <f>IF(VLOOKUP(A266,Data_NV!$A:$I,6,0)="Không",0,IF(Z266&lt;=X266,0,ROUNDDOWN((Z266-X266)*24*60,0)))</f>
        <v>0</v>
      </c>
      <c r="AF266" s="29">
        <f t="shared" si="22"/>
        <v>0</v>
      </c>
      <c r="AG266" s="30" t="str">
        <f>IF(AC266="","",IF(COUNTIFS($AC$3:AC266,"Quên chấm công",$S$3:S266,S266)&gt;3,"Không chấm công do vi phạm quá 3 lần",IF(COUNTIFS($AC$3:AC266,"Quên chấm công",$S$3:S266,S266)&gt;2,"Trừ toàn bộ chuyên cần tháng do vi phạm lần 3",IF(COUNTIFS($AC$3:AC266,"Quên chấm công",$S$3:S266,S266)&gt;1,"Trừ 1/2 ngày lương",50000))))</f>
        <v/>
      </c>
      <c r="AH266" s="14" t="str">
        <f>IF(COUNTIFS($AF$3:AF266,"&gt;0",$S$3:S266,S266)&gt;3,"Trừ toàn bộ chuyên cần tháng","")</f>
        <v/>
      </c>
      <c r="AI266" s="14"/>
      <c r="AJ266" s="14"/>
    </row>
    <row r="267" spans="1:36" x14ac:dyDescent="0.25">
      <c r="A267" s="4" t="s">
        <v>455</v>
      </c>
      <c r="B267" s="1" t="s">
        <v>456</v>
      </c>
      <c r="C267" s="1" t="s">
        <v>20</v>
      </c>
      <c r="D267" s="1" t="s">
        <v>121</v>
      </c>
      <c r="E267" s="1" t="s">
        <v>22</v>
      </c>
      <c r="F267" s="1" t="s">
        <v>23</v>
      </c>
      <c r="G267" s="1" t="s">
        <v>12</v>
      </c>
      <c r="H267" s="12" t="s">
        <v>475</v>
      </c>
      <c r="I267" s="1" t="s">
        <v>24</v>
      </c>
      <c r="J267" s="1" t="s">
        <v>25</v>
      </c>
      <c r="K267" s="1" t="s">
        <v>25</v>
      </c>
      <c r="L267" s="1" t="s">
        <v>26</v>
      </c>
      <c r="M267" s="1" t="s">
        <v>25</v>
      </c>
      <c r="N267" s="1" t="s">
        <v>25</v>
      </c>
      <c r="O267" s="1" t="s">
        <v>25</v>
      </c>
      <c r="P267" s="1" t="s">
        <v>25</v>
      </c>
      <c r="Q267" s="1" t="s">
        <v>25</v>
      </c>
      <c r="R267" s="70" t="str">
        <f t="shared" si="20"/>
        <v>2545925</v>
      </c>
      <c r="S267" t="str">
        <f>VLOOKUP(A267,Data_NV!$A:$C,3,0)</f>
        <v xml:space="preserve"> Nguyễn Hoàng Thực    </v>
      </c>
      <c r="T267" t="str">
        <f>VLOOKUP(A267,Data_NV!$A:$E,4,0)</f>
        <v>Vận Hành</v>
      </c>
      <c r="U267" s="67">
        <f>DATEVALUE(Table2[[#This Row],[Ngày]])</f>
        <v>45925</v>
      </c>
      <c r="V267" t="str">
        <f>VLOOKUP(A267,Data_NV!$A:$E,5,0)</f>
        <v>Đang làm việc</v>
      </c>
      <c r="W267" s="11">
        <f>VLOOKUP(A267,Data_NV!$A:$I,8,0)</f>
        <v>0.3125</v>
      </c>
      <c r="X267" s="11">
        <f>VLOOKUP(A267,Data_NV!$A:$I,9,0)</f>
        <v>0.6875</v>
      </c>
      <c r="Y267" s="11">
        <f>IFERROR(TIMEVALUE(Table2[[#This Row],[Vào]]),0)</f>
        <v>0.30547453703703703</v>
      </c>
      <c r="Z267" s="11">
        <f>IFERROR(TIMEVALUE(Table2[[#This Row],[Ra]]),0)</f>
        <v>0</v>
      </c>
      <c r="AA267" t="str">
        <f t="shared" si="21"/>
        <v>x</v>
      </c>
      <c r="AB267" s="14">
        <f t="shared" si="23"/>
        <v>0</v>
      </c>
      <c r="AC267" s="14" t="str">
        <f>IF(VLOOKUP(A267,Data_NV!$A:$I,7,0)="Không","",IF(OR(AND(Y267=0,Z267=0),AND(Y267&lt;&gt;0,Z267&lt;&gt;0)),"","Quên chấm công"))</f>
        <v/>
      </c>
      <c r="AD267" s="14">
        <f>IF(VLOOKUP(A267,Data_NV!$A:$I,7,0)="Không",0,IF(AND(Y267=0,Z267=0),0,IF(X267&lt;=Z267,0,ROUNDDOWN((X267-Z267)*24*60,0))))</f>
        <v>0</v>
      </c>
      <c r="AE267" s="14">
        <f>IF(VLOOKUP(A267,Data_NV!$A:$I,6,0)="Không",0,IF(Z267&lt;=X267,0,ROUNDDOWN((Z267-X267)*24*60,0)))</f>
        <v>0</v>
      </c>
      <c r="AF267" s="29">
        <f t="shared" si="22"/>
        <v>0</v>
      </c>
      <c r="AG267" s="30" t="str">
        <f>IF(AC267="","",IF(COUNTIFS($AC$3:AC267,"Quên chấm công",$S$3:S267,S267)&gt;3,"Không chấm công do vi phạm quá 3 lần",IF(COUNTIFS($AC$3:AC267,"Quên chấm công",$S$3:S267,S267)&gt;2,"Trừ toàn bộ chuyên cần tháng do vi phạm lần 3",IF(COUNTIFS($AC$3:AC267,"Quên chấm công",$S$3:S267,S267)&gt;1,"Trừ 1/2 ngày lương",50000))))</f>
        <v/>
      </c>
      <c r="AH267" s="14" t="str">
        <f>IF(COUNTIFS($AF$3:AF267,"&gt;0",$S$3:S267,S267)&gt;3,"Trừ toàn bộ chuyên cần tháng","")</f>
        <v/>
      </c>
      <c r="AI267" s="14"/>
      <c r="AJ267" s="14"/>
    </row>
    <row r="268" spans="1:36" x14ac:dyDescent="0.25">
      <c r="A268" s="4" t="s">
        <v>455</v>
      </c>
      <c r="B268" s="1" t="s">
        <v>456</v>
      </c>
      <c r="C268" s="1" t="s">
        <v>20</v>
      </c>
      <c r="D268" s="1" t="s">
        <v>123</v>
      </c>
      <c r="E268" s="1" t="s">
        <v>22</v>
      </c>
      <c r="F268" s="1" t="s">
        <v>23</v>
      </c>
      <c r="G268" s="1" t="s">
        <v>12</v>
      </c>
      <c r="H268" s="12" t="s">
        <v>476</v>
      </c>
      <c r="I268" s="1" t="s">
        <v>24</v>
      </c>
      <c r="J268" s="1" t="s">
        <v>25</v>
      </c>
      <c r="K268" s="1" t="s">
        <v>25</v>
      </c>
      <c r="L268" s="1" t="s">
        <v>26</v>
      </c>
      <c r="M268" s="1" t="s">
        <v>25</v>
      </c>
      <c r="N268" s="1" t="s">
        <v>25</v>
      </c>
      <c r="O268" s="1" t="s">
        <v>25</v>
      </c>
      <c r="P268" s="1" t="s">
        <v>25</v>
      </c>
      <c r="Q268" s="1" t="s">
        <v>25</v>
      </c>
      <c r="R268" s="70" t="str">
        <f t="shared" si="20"/>
        <v>2545926</v>
      </c>
      <c r="S268" t="str">
        <f>VLOOKUP(A268,Data_NV!$A:$C,3,0)</f>
        <v xml:space="preserve"> Nguyễn Hoàng Thực    </v>
      </c>
      <c r="T268" t="str">
        <f>VLOOKUP(A268,Data_NV!$A:$E,4,0)</f>
        <v>Vận Hành</v>
      </c>
      <c r="U268" s="67">
        <f>DATEVALUE(Table2[[#This Row],[Ngày]])</f>
        <v>45926</v>
      </c>
      <c r="V268" t="str">
        <f>VLOOKUP(A268,Data_NV!$A:$E,5,0)</f>
        <v>Đang làm việc</v>
      </c>
      <c r="W268" s="11">
        <f>VLOOKUP(A268,Data_NV!$A:$I,8,0)</f>
        <v>0.3125</v>
      </c>
      <c r="X268" s="11">
        <f>VLOOKUP(A268,Data_NV!$A:$I,9,0)</f>
        <v>0.6875</v>
      </c>
      <c r="Y268" s="11">
        <f>IFERROR(TIMEVALUE(Table2[[#This Row],[Vào]]),0)</f>
        <v>0.30989583333333331</v>
      </c>
      <c r="Z268" s="11">
        <f>IFERROR(TIMEVALUE(Table2[[#This Row],[Ra]]),0)</f>
        <v>0</v>
      </c>
      <c r="AA268" t="str">
        <f t="shared" si="21"/>
        <v>x</v>
      </c>
      <c r="AB268" s="14">
        <f t="shared" si="23"/>
        <v>0</v>
      </c>
      <c r="AC268" s="14" t="str">
        <f>IF(VLOOKUP(A268,Data_NV!$A:$I,7,0)="Không","",IF(OR(AND(Y268=0,Z268=0),AND(Y268&lt;&gt;0,Z268&lt;&gt;0)),"","Quên chấm công"))</f>
        <v/>
      </c>
      <c r="AD268" s="14">
        <f>IF(VLOOKUP(A268,Data_NV!$A:$I,7,0)="Không",0,IF(AND(Y268=0,Z268=0),0,IF(X268&lt;=Z268,0,ROUNDDOWN((X268-Z268)*24*60,0))))</f>
        <v>0</v>
      </c>
      <c r="AE268" s="14">
        <f>IF(VLOOKUP(A268,Data_NV!$A:$I,6,0)="Không",0,IF(Z268&lt;=X268,0,ROUNDDOWN((Z268-X268)*24*60,0)))</f>
        <v>0</v>
      </c>
      <c r="AF268" s="29">
        <f t="shared" si="22"/>
        <v>0</v>
      </c>
      <c r="AG268" s="30" t="str">
        <f>IF(AC268="","",IF(COUNTIFS($AC$3:AC268,"Quên chấm công",$S$3:S268,S268)&gt;3,"Không chấm công do vi phạm quá 3 lần",IF(COUNTIFS($AC$3:AC268,"Quên chấm công",$S$3:S268,S268)&gt;2,"Trừ toàn bộ chuyên cần tháng do vi phạm lần 3",IF(COUNTIFS($AC$3:AC268,"Quên chấm công",$S$3:S268,S268)&gt;1,"Trừ 1/2 ngày lương",50000))))</f>
        <v/>
      </c>
      <c r="AH268" s="14" t="str">
        <f>IF(COUNTIFS($AF$3:AF268,"&gt;0",$S$3:S268,S268)&gt;3,"Trừ toàn bộ chuyên cần tháng","")</f>
        <v/>
      </c>
      <c r="AI268" s="14"/>
      <c r="AJ268" s="14"/>
    </row>
    <row r="269" spans="1:36" x14ac:dyDescent="0.25">
      <c r="A269" s="4" t="s">
        <v>455</v>
      </c>
      <c r="B269" s="1" t="s">
        <v>456</v>
      </c>
      <c r="C269" s="1" t="s">
        <v>20</v>
      </c>
      <c r="D269" s="1" t="s">
        <v>125</v>
      </c>
      <c r="E269" s="1" t="s">
        <v>22</v>
      </c>
      <c r="F269" s="1" t="s">
        <v>23</v>
      </c>
      <c r="G269" s="1" t="s">
        <v>12</v>
      </c>
      <c r="H269" s="12" t="s">
        <v>477</v>
      </c>
      <c r="I269" s="1" t="s">
        <v>24</v>
      </c>
      <c r="J269" s="1" t="s">
        <v>25</v>
      </c>
      <c r="K269" s="1" t="s">
        <v>25</v>
      </c>
      <c r="L269" s="1" t="s">
        <v>26</v>
      </c>
      <c r="M269" s="1" t="s">
        <v>25</v>
      </c>
      <c r="N269" s="1" t="s">
        <v>25</v>
      </c>
      <c r="O269" s="1" t="s">
        <v>25</v>
      </c>
      <c r="P269" s="1" t="s">
        <v>25</v>
      </c>
      <c r="Q269" s="1" t="s">
        <v>25</v>
      </c>
      <c r="R269" s="70" t="str">
        <f t="shared" si="20"/>
        <v>2545927</v>
      </c>
      <c r="S269" t="str">
        <f>VLOOKUP(A269,Data_NV!$A:$C,3,0)</f>
        <v xml:space="preserve"> Nguyễn Hoàng Thực    </v>
      </c>
      <c r="T269" t="str">
        <f>VLOOKUP(A269,Data_NV!$A:$E,4,0)</f>
        <v>Vận Hành</v>
      </c>
      <c r="U269" s="67">
        <f>DATEVALUE(Table2[[#This Row],[Ngày]])</f>
        <v>45927</v>
      </c>
      <c r="V269" t="str">
        <f>VLOOKUP(A269,Data_NV!$A:$E,5,0)</f>
        <v>Đang làm việc</v>
      </c>
      <c r="W269" s="11">
        <f>VLOOKUP(A269,Data_NV!$A:$I,8,0)</f>
        <v>0.3125</v>
      </c>
      <c r="X269" s="11">
        <f>VLOOKUP(A269,Data_NV!$A:$I,9,0)</f>
        <v>0.6875</v>
      </c>
      <c r="Y269" s="11">
        <f>IFERROR(TIMEVALUE(Table2[[#This Row],[Vào]]),0)</f>
        <v>0.31266203703703704</v>
      </c>
      <c r="Z269" s="11">
        <f>IFERROR(TIMEVALUE(Table2[[#This Row],[Ra]]),0)</f>
        <v>0</v>
      </c>
      <c r="AA269" t="str">
        <f t="shared" si="21"/>
        <v>x</v>
      </c>
      <c r="AB269" s="14">
        <f t="shared" si="23"/>
        <v>0</v>
      </c>
      <c r="AC269" s="14" t="str">
        <f>IF(VLOOKUP(A269,Data_NV!$A:$I,7,0)="Không","",IF(OR(AND(Y269=0,Z269=0),AND(Y269&lt;&gt;0,Z269&lt;&gt;0)),"","Quên chấm công"))</f>
        <v/>
      </c>
      <c r="AD269" s="14">
        <f>IF(VLOOKUP(A269,Data_NV!$A:$I,7,0)="Không",0,IF(AND(Y269=0,Z269=0),0,IF(X269&lt;=Z269,0,ROUNDDOWN((X269-Z269)*24*60,0))))</f>
        <v>0</v>
      </c>
      <c r="AE269" s="14">
        <f>IF(VLOOKUP(A269,Data_NV!$A:$I,6,0)="Không",0,IF(Z269&lt;=X269,0,ROUNDDOWN((Z269-X269)*24*60,0)))</f>
        <v>0</v>
      </c>
      <c r="AF269" s="29">
        <f t="shared" si="22"/>
        <v>0</v>
      </c>
      <c r="AG269" s="30" t="str">
        <f>IF(AC269="","",IF(COUNTIFS($AC$3:AC269,"Quên chấm công",$S$3:S269,S269)&gt;3,"Không chấm công do vi phạm quá 3 lần",IF(COUNTIFS($AC$3:AC269,"Quên chấm công",$S$3:S269,S269)&gt;2,"Trừ toàn bộ chuyên cần tháng do vi phạm lần 3",IF(COUNTIFS($AC$3:AC269,"Quên chấm công",$S$3:S269,S269)&gt;1,"Trừ 1/2 ngày lương",50000))))</f>
        <v/>
      </c>
      <c r="AH269" s="14" t="str">
        <f>IF(COUNTIFS($AF$3:AF269,"&gt;0",$S$3:S269,S269)&gt;3,"Trừ toàn bộ chuyên cần tháng","")</f>
        <v/>
      </c>
      <c r="AI269" s="14"/>
      <c r="AJ269" s="14"/>
    </row>
    <row r="270" spans="1:36" x14ac:dyDescent="0.25">
      <c r="A270" s="4" t="s">
        <v>455</v>
      </c>
      <c r="B270" s="1" t="s">
        <v>456</v>
      </c>
      <c r="C270" s="1" t="s">
        <v>20</v>
      </c>
      <c r="D270" s="1" t="s">
        <v>130</v>
      </c>
      <c r="E270" s="1" t="s">
        <v>22</v>
      </c>
      <c r="F270" s="1" t="s">
        <v>23</v>
      </c>
      <c r="G270" s="1" t="s">
        <v>12</v>
      </c>
      <c r="H270" s="12" t="s">
        <v>24</v>
      </c>
      <c r="I270" s="1" t="s">
        <v>24</v>
      </c>
      <c r="J270" s="1" t="s">
        <v>25</v>
      </c>
      <c r="K270" s="1" t="s">
        <v>25</v>
      </c>
      <c r="L270" s="1" t="s">
        <v>26</v>
      </c>
      <c r="M270" s="1" t="s">
        <v>25</v>
      </c>
      <c r="N270" s="1" t="s">
        <v>25</v>
      </c>
      <c r="O270" s="1" t="s">
        <v>25</v>
      </c>
      <c r="P270" s="1" t="s">
        <v>25</v>
      </c>
      <c r="Q270" s="1" t="s">
        <v>25</v>
      </c>
      <c r="R270" s="70" t="str">
        <f t="shared" si="20"/>
        <v>2545928</v>
      </c>
      <c r="S270" t="str">
        <f>VLOOKUP(A270,Data_NV!$A:$C,3,0)</f>
        <v xml:space="preserve"> Nguyễn Hoàng Thực    </v>
      </c>
      <c r="T270" t="str">
        <f>VLOOKUP(A270,Data_NV!$A:$E,4,0)</f>
        <v>Vận Hành</v>
      </c>
      <c r="U270" s="67">
        <f>DATEVALUE(Table2[[#This Row],[Ngày]])</f>
        <v>45928</v>
      </c>
      <c r="V270" t="str">
        <f>VLOOKUP(A270,Data_NV!$A:$E,5,0)</f>
        <v>Đang làm việc</v>
      </c>
      <c r="W270" s="11">
        <f>VLOOKUP(A270,Data_NV!$A:$I,8,0)</f>
        <v>0.3125</v>
      </c>
      <c r="X270" s="11">
        <f>VLOOKUP(A270,Data_NV!$A:$I,9,0)</f>
        <v>0.6875</v>
      </c>
      <c r="Y270" s="11">
        <f>IFERROR(TIMEVALUE(Table2[[#This Row],[Vào]]),0)</f>
        <v>0</v>
      </c>
      <c r="Z270" s="11">
        <f>IFERROR(TIMEVALUE(Table2[[#This Row],[Ra]]),0)</f>
        <v>0</v>
      </c>
      <c r="AA270" t="str">
        <f t="shared" si="21"/>
        <v/>
      </c>
      <c r="AB270" s="14">
        <f t="shared" si="23"/>
        <v>0</v>
      </c>
      <c r="AC270" s="14" t="str">
        <f>IF(VLOOKUP(A270,Data_NV!$A:$I,7,0)="Không","",IF(OR(AND(Y270=0,Z270=0),AND(Y270&lt;&gt;0,Z270&lt;&gt;0)),"","Quên chấm công"))</f>
        <v/>
      </c>
      <c r="AD270" s="14">
        <f>IF(VLOOKUP(A270,Data_NV!$A:$I,7,0)="Không",0,IF(AND(Y270=0,Z270=0),0,IF(X270&lt;=Z270,0,ROUNDDOWN((X270-Z270)*24*60,0))))</f>
        <v>0</v>
      </c>
      <c r="AE270" s="14">
        <f>IF(VLOOKUP(A270,Data_NV!$A:$I,6,0)="Không",0,IF(Z270&lt;=X270,0,ROUNDDOWN((Z270-X270)*24*60,0)))</f>
        <v>0</v>
      </c>
      <c r="AF270" s="29">
        <f t="shared" si="22"/>
        <v>0</v>
      </c>
      <c r="AG270" s="30" t="str">
        <f>IF(AC270="","",IF(COUNTIFS($AC$3:AC270,"Quên chấm công",$S$3:S270,S270)&gt;3,"Không chấm công do vi phạm quá 3 lần",IF(COUNTIFS($AC$3:AC270,"Quên chấm công",$S$3:S270,S270)&gt;2,"Trừ toàn bộ chuyên cần tháng do vi phạm lần 3",IF(COUNTIFS($AC$3:AC270,"Quên chấm công",$S$3:S270,S270)&gt;1,"Trừ 1/2 ngày lương",50000))))</f>
        <v/>
      </c>
      <c r="AH270" s="14" t="str">
        <f>IF(COUNTIFS($AF$3:AF270,"&gt;0",$S$3:S270,S270)&gt;3,"Trừ toàn bộ chuyên cần tháng","")</f>
        <v/>
      </c>
      <c r="AI270" s="14"/>
      <c r="AJ270" s="14"/>
    </row>
    <row r="271" spans="1:36" x14ac:dyDescent="0.25">
      <c r="A271" s="4" t="s">
        <v>455</v>
      </c>
      <c r="B271" s="1" t="s">
        <v>456</v>
      </c>
      <c r="C271" s="1" t="s">
        <v>20</v>
      </c>
      <c r="D271" s="1" t="s">
        <v>131</v>
      </c>
      <c r="E271" s="1" t="s">
        <v>22</v>
      </c>
      <c r="F271" s="1" t="s">
        <v>23</v>
      </c>
      <c r="G271" s="1" t="s">
        <v>12</v>
      </c>
      <c r="H271" s="12" t="s">
        <v>478</v>
      </c>
      <c r="I271" s="1" t="s">
        <v>24</v>
      </c>
      <c r="J271" s="1" t="s">
        <v>25</v>
      </c>
      <c r="K271" s="1" t="s">
        <v>25</v>
      </c>
      <c r="L271" s="1" t="s">
        <v>26</v>
      </c>
      <c r="M271" s="1" t="s">
        <v>25</v>
      </c>
      <c r="N271" s="1" t="s">
        <v>25</v>
      </c>
      <c r="O271" s="1" t="s">
        <v>25</v>
      </c>
      <c r="P271" s="1" t="s">
        <v>25</v>
      </c>
      <c r="Q271" s="1" t="s">
        <v>25</v>
      </c>
      <c r="R271" s="70" t="str">
        <f t="shared" si="20"/>
        <v>2545929</v>
      </c>
      <c r="S271" t="str">
        <f>VLOOKUP(A271,Data_NV!$A:$C,3,0)</f>
        <v xml:space="preserve"> Nguyễn Hoàng Thực    </v>
      </c>
      <c r="T271" t="str">
        <f>VLOOKUP(A271,Data_NV!$A:$E,4,0)</f>
        <v>Vận Hành</v>
      </c>
      <c r="U271" s="67">
        <f>DATEVALUE(Table2[[#This Row],[Ngày]])</f>
        <v>45929</v>
      </c>
      <c r="V271" t="str">
        <f>VLOOKUP(A271,Data_NV!$A:$E,5,0)</f>
        <v>Đang làm việc</v>
      </c>
      <c r="W271" s="11">
        <f>VLOOKUP(A271,Data_NV!$A:$I,8,0)</f>
        <v>0.3125</v>
      </c>
      <c r="X271" s="11">
        <f>VLOOKUP(A271,Data_NV!$A:$I,9,0)</f>
        <v>0.6875</v>
      </c>
      <c r="Y271" s="11">
        <f>IFERROR(TIMEVALUE(Table2[[#This Row],[Vào]]),0)</f>
        <v>0.30978009259259259</v>
      </c>
      <c r="Z271" s="11">
        <f>IFERROR(TIMEVALUE(Table2[[#This Row],[Ra]]),0)</f>
        <v>0</v>
      </c>
      <c r="AA271" t="str">
        <f t="shared" si="21"/>
        <v>x</v>
      </c>
      <c r="AB271" s="14">
        <f t="shared" si="23"/>
        <v>0</v>
      </c>
      <c r="AC271" s="14" t="str">
        <f>IF(VLOOKUP(A271,Data_NV!$A:$I,7,0)="Không","",IF(OR(AND(Y271=0,Z271=0),AND(Y271&lt;&gt;0,Z271&lt;&gt;0)),"","Quên chấm công"))</f>
        <v/>
      </c>
      <c r="AD271" s="14">
        <f>IF(VLOOKUP(A271,Data_NV!$A:$I,7,0)="Không",0,IF(AND(Y271=0,Z271=0),0,IF(X271&lt;=Z271,0,ROUNDDOWN((X271-Z271)*24*60,0))))</f>
        <v>0</v>
      </c>
      <c r="AE271" s="14">
        <f>IF(VLOOKUP(A271,Data_NV!$A:$I,6,0)="Không",0,IF(Z271&lt;=X271,0,ROUNDDOWN((Z271-X271)*24*60,0)))</f>
        <v>0</v>
      </c>
      <c r="AF271" s="29">
        <f t="shared" si="22"/>
        <v>0</v>
      </c>
      <c r="AG271" s="30" t="str">
        <f>IF(AC271="","",IF(COUNTIFS($AC$3:AC271,"Quên chấm công",$S$3:S271,S271)&gt;3,"Không chấm công do vi phạm quá 3 lần",IF(COUNTIFS($AC$3:AC271,"Quên chấm công",$S$3:S271,S271)&gt;2,"Trừ toàn bộ chuyên cần tháng do vi phạm lần 3",IF(COUNTIFS($AC$3:AC271,"Quên chấm công",$S$3:S271,S271)&gt;1,"Trừ 1/2 ngày lương",50000))))</f>
        <v/>
      </c>
      <c r="AH271" s="14" t="str">
        <f>IF(COUNTIFS($AF$3:AF271,"&gt;0",$S$3:S271,S271)&gt;3,"Trừ toàn bộ chuyên cần tháng","")</f>
        <v/>
      </c>
      <c r="AI271" s="14"/>
      <c r="AJ271" s="14"/>
    </row>
    <row r="272" spans="1:36" x14ac:dyDescent="0.25">
      <c r="A272" s="4" t="s">
        <v>455</v>
      </c>
      <c r="B272" s="1" t="s">
        <v>456</v>
      </c>
      <c r="C272" s="1" t="s">
        <v>20</v>
      </c>
      <c r="D272" s="1" t="s">
        <v>136</v>
      </c>
      <c r="E272" s="1" t="s">
        <v>22</v>
      </c>
      <c r="F272" s="1" t="s">
        <v>23</v>
      </c>
      <c r="G272" s="1" t="s">
        <v>12</v>
      </c>
      <c r="H272" s="12" t="s">
        <v>479</v>
      </c>
      <c r="I272" s="1" t="s">
        <v>24</v>
      </c>
      <c r="J272" s="1" t="s">
        <v>25</v>
      </c>
      <c r="K272" s="1" t="s">
        <v>25</v>
      </c>
      <c r="L272" s="1" t="s">
        <v>26</v>
      </c>
      <c r="M272" s="1" t="s">
        <v>25</v>
      </c>
      <c r="N272" s="1" t="s">
        <v>25</v>
      </c>
      <c r="O272" s="1" t="s">
        <v>25</v>
      </c>
      <c r="P272" s="1" t="s">
        <v>25</v>
      </c>
      <c r="Q272" s="1" t="s">
        <v>25</v>
      </c>
      <c r="R272" s="70" t="str">
        <f t="shared" si="20"/>
        <v>2545930</v>
      </c>
      <c r="S272" t="str">
        <f>VLOOKUP(A272,Data_NV!$A:$C,3,0)</f>
        <v xml:space="preserve"> Nguyễn Hoàng Thực    </v>
      </c>
      <c r="T272" t="str">
        <f>VLOOKUP(A272,Data_NV!$A:$E,4,0)</f>
        <v>Vận Hành</v>
      </c>
      <c r="U272" s="67">
        <f>DATEVALUE(Table2[[#This Row],[Ngày]])</f>
        <v>45930</v>
      </c>
      <c r="V272" t="str">
        <f>VLOOKUP(A272,Data_NV!$A:$E,5,0)</f>
        <v>Đang làm việc</v>
      </c>
      <c r="W272" s="11">
        <f>VLOOKUP(A272,Data_NV!$A:$I,8,0)</f>
        <v>0.3125</v>
      </c>
      <c r="X272" s="11">
        <f>VLOOKUP(A272,Data_NV!$A:$I,9,0)</f>
        <v>0.6875</v>
      </c>
      <c r="Y272" s="11">
        <f>IFERROR(TIMEVALUE(Table2[[#This Row],[Vào]]),0)</f>
        <v>0.31165509259259261</v>
      </c>
      <c r="Z272" s="11">
        <f>IFERROR(TIMEVALUE(Table2[[#This Row],[Ra]]),0)</f>
        <v>0</v>
      </c>
      <c r="AA272" t="str">
        <f t="shared" si="21"/>
        <v>x</v>
      </c>
      <c r="AB272" s="14">
        <f t="shared" si="23"/>
        <v>0</v>
      </c>
      <c r="AC272" s="14" t="str">
        <f>IF(VLOOKUP(A272,Data_NV!$A:$I,7,0)="Không","",IF(OR(AND(Y272=0,Z272=0),AND(Y272&lt;&gt;0,Z272&lt;&gt;0)),"","Quên chấm công"))</f>
        <v/>
      </c>
      <c r="AD272" s="14">
        <f>IF(VLOOKUP(A272,Data_NV!$A:$I,7,0)="Không",0,IF(AND(Y272=0,Z272=0),0,IF(X272&lt;=Z272,0,ROUNDDOWN((X272-Z272)*24*60,0))))</f>
        <v>0</v>
      </c>
      <c r="AE272" s="14">
        <f>IF(VLOOKUP(A272,Data_NV!$A:$I,6,0)="Không",0,IF(Z272&lt;=X272,0,ROUNDDOWN((Z272-X272)*24*60,0)))</f>
        <v>0</v>
      </c>
      <c r="AF272" s="29">
        <f t="shared" si="22"/>
        <v>0</v>
      </c>
      <c r="AG272" s="30" t="str">
        <f>IF(AC272="","",IF(COUNTIFS($AC$3:AC272,"Quên chấm công",$S$3:S272,S272)&gt;3,"Không chấm công do vi phạm quá 3 lần",IF(COUNTIFS($AC$3:AC272,"Quên chấm công",$S$3:S272,S272)&gt;2,"Trừ toàn bộ chuyên cần tháng do vi phạm lần 3",IF(COUNTIFS($AC$3:AC272,"Quên chấm công",$S$3:S272,S272)&gt;1,"Trừ 1/2 ngày lương",50000))))</f>
        <v/>
      </c>
      <c r="AH272" s="14" t="str">
        <f>IF(COUNTIFS($AF$3:AF272,"&gt;0",$S$3:S272,S272)&gt;3,"Trừ toàn bộ chuyên cần tháng","")</f>
        <v/>
      </c>
      <c r="AI272" s="14"/>
      <c r="AJ272" s="14"/>
    </row>
    <row r="273" spans="1:36" x14ac:dyDescent="0.25">
      <c r="A273" s="4" t="s">
        <v>494</v>
      </c>
      <c r="B273" s="1" t="s">
        <v>230</v>
      </c>
      <c r="C273" s="1" t="s">
        <v>20</v>
      </c>
      <c r="D273" s="1" t="s">
        <v>21</v>
      </c>
      <c r="E273" s="1" t="s">
        <v>22</v>
      </c>
      <c r="F273" s="1" t="s">
        <v>23</v>
      </c>
      <c r="G273" s="1" t="s">
        <v>12</v>
      </c>
      <c r="H273" s="12" t="s">
        <v>24</v>
      </c>
      <c r="I273" s="1" t="s">
        <v>24</v>
      </c>
      <c r="J273" s="1" t="s">
        <v>25</v>
      </c>
      <c r="K273" s="1" t="s">
        <v>25</v>
      </c>
      <c r="L273" s="1" t="s">
        <v>26</v>
      </c>
      <c r="M273" s="1" t="s">
        <v>25</v>
      </c>
      <c r="N273" s="1" t="s">
        <v>25</v>
      </c>
      <c r="O273" s="1" t="s">
        <v>25</v>
      </c>
      <c r="P273" s="1" t="s">
        <v>25</v>
      </c>
      <c r="Q273" s="1" t="s">
        <v>25</v>
      </c>
      <c r="R273" s="70" t="str">
        <f t="shared" si="20"/>
        <v>3245901</v>
      </c>
      <c r="S273" t="str">
        <f>VLOOKUP(A273,Data_NV!$A:$C,3,0)</f>
        <v xml:space="preserve"> Huỳnh Thanh Phong  </v>
      </c>
      <c r="T273" t="str">
        <f>VLOOKUP(A273,Data_NV!$A:$E,4,0)</f>
        <v>Vận Hành</v>
      </c>
      <c r="U273" s="67">
        <f>DATEVALUE(Table2[[#This Row],[Ngày]])</f>
        <v>45901</v>
      </c>
      <c r="V273" t="str">
        <f>VLOOKUP(A273,Data_NV!$A:$E,5,0)</f>
        <v>Đang làm việc</v>
      </c>
      <c r="W273" s="11">
        <f>VLOOKUP(A273,Data_NV!$A:$I,8,0)</f>
        <v>0.3125</v>
      </c>
      <c r="X273" s="11">
        <f>VLOOKUP(A273,Data_NV!$A:$I,9,0)</f>
        <v>0.6875</v>
      </c>
      <c r="Y273" s="11">
        <f>IFERROR(TIMEVALUE(Table2[[#This Row],[Vào]]),0)</f>
        <v>0</v>
      </c>
      <c r="Z273" s="11">
        <f>IFERROR(TIMEVALUE(Table2[[#This Row],[Ra]]),0)</f>
        <v>0</v>
      </c>
      <c r="AA273" s="10" t="s">
        <v>771</v>
      </c>
      <c r="AB273" s="14">
        <f t="shared" ref="AB273:AB290" si="24">IF(Y273&lt;=W273,0,ROUNDDOWN((Y273-W273)*24*60,0))</f>
        <v>0</v>
      </c>
      <c r="AC273" s="14" t="str">
        <f>IF(VLOOKUP(A273,Data_NV!$A:$I,7,0)="Không","",IF(OR(AND(Y273=0,Z273=0),AND(Y273&lt;&gt;0,Z273&lt;&gt;0)),"","Quên chấm công"))</f>
        <v/>
      </c>
      <c r="AD273" s="14">
        <f>IF(VLOOKUP(A273,Data_NV!$A:$I,7,0)="Không",0,IF(AND(Y273=0,Z273=0),0,IF(X273&lt;=Z273,0,ROUNDDOWN((X273-Z273)*24*60,0))))</f>
        <v>0</v>
      </c>
      <c r="AE273" s="14">
        <f>IF(VLOOKUP(A273,Data_NV!$A:$I,6,0)="Không",0,IF(Z273&lt;=X273,0,ROUNDDOWN((Z273-X273)*24*60,0)))</f>
        <v>0</v>
      </c>
      <c r="AF273" s="29">
        <f t="shared" si="22"/>
        <v>0</v>
      </c>
      <c r="AG273" s="30" t="str">
        <f>IF(AC273="","",IF(COUNTIFS($AC$3:AC273,"Quên chấm công",$S$3:S273,S273)&gt;3,"Không chấm công do vi phạm quá 3 lần",IF(COUNTIFS($AC$3:AC273,"Quên chấm công",$S$3:S273,S273)&gt;2,"Trừ toàn bộ chuyên cần tháng do vi phạm lần 3",IF(COUNTIFS($AC$3:AC273,"Quên chấm công",$S$3:S273,S273)&gt;1,"Trừ 1/2 ngày lương",50000))))</f>
        <v/>
      </c>
      <c r="AH273" s="14" t="str">
        <f>IF(COUNTIFS($AF$3:AF273,"&gt;0",$S$3:S273,S273)&gt;3,"Trừ toàn bộ chuyên cần tháng","")</f>
        <v/>
      </c>
      <c r="AI273" s="14"/>
      <c r="AJ273" s="14"/>
    </row>
    <row r="274" spans="1:36" x14ac:dyDescent="0.25">
      <c r="A274" s="4" t="s">
        <v>494</v>
      </c>
      <c r="B274" s="1" t="s">
        <v>230</v>
      </c>
      <c r="C274" s="1" t="s">
        <v>20</v>
      </c>
      <c r="D274" s="1" t="s">
        <v>27</v>
      </c>
      <c r="E274" s="1" t="s">
        <v>22</v>
      </c>
      <c r="F274" s="1" t="s">
        <v>23</v>
      </c>
      <c r="G274" s="1" t="s">
        <v>12</v>
      </c>
      <c r="H274" s="12" t="s">
        <v>24</v>
      </c>
      <c r="I274" s="1" t="s">
        <v>24</v>
      </c>
      <c r="J274" s="1" t="s">
        <v>25</v>
      </c>
      <c r="K274" s="1" t="s">
        <v>25</v>
      </c>
      <c r="L274" s="1" t="s">
        <v>26</v>
      </c>
      <c r="M274" s="1" t="s">
        <v>25</v>
      </c>
      <c r="N274" s="1" t="s">
        <v>25</v>
      </c>
      <c r="O274" s="1" t="s">
        <v>25</v>
      </c>
      <c r="P274" s="1" t="s">
        <v>25</v>
      </c>
      <c r="Q274" s="1" t="s">
        <v>25</v>
      </c>
      <c r="R274" s="70" t="str">
        <f t="shared" si="20"/>
        <v>3245902</v>
      </c>
      <c r="S274" t="str">
        <f>VLOOKUP(A274,Data_NV!$A:$C,3,0)</f>
        <v xml:space="preserve"> Huỳnh Thanh Phong  </v>
      </c>
      <c r="T274" t="str">
        <f>VLOOKUP(A274,Data_NV!$A:$E,4,0)</f>
        <v>Vận Hành</v>
      </c>
      <c r="U274" s="67">
        <f>DATEVALUE(Table2[[#This Row],[Ngày]])</f>
        <v>45902</v>
      </c>
      <c r="V274" t="str">
        <f>VLOOKUP(A274,Data_NV!$A:$E,5,0)</f>
        <v>Đang làm việc</v>
      </c>
      <c r="W274" s="11">
        <f>VLOOKUP(A274,Data_NV!$A:$I,8,0)</f>
        <v>0.3125</v>
      </c>
      <c r="X274" s="11">
        <f>VLOOKUP(A274,Data_NV!$A:$I,9,0)</f>
        <v>0.6875</v>
      </c>
      <c r="Y274" s="11">
        <f>IFERROR(TIMEVALUE(Table2[[#This Row],[Vào]]),0)</f>
        <v>0</v>
      </c>
      <c r="Z274" s="11">
        <f>IFERROR(TIMEVALUE(Table2[[#This Row],[Ra]]),0)</f>
        <v>0</v>
      </c>
      <c r="AA274" s="10" t="s">
        <v>771</v>
      </c>
      <c r="AB274" s="14">
        <f t="shared" si="24"/>
        <v>0</v>
      </c>
      <c r="AC274" s="14" t="str">
        <f>IF(VLOOKUP(A274,Data_NV!$A:$I,7,0)="Không","",IF(OR(AND(Y274=0,Z274=0),AND(Y274&lt;&gt;0,Z274&lt;&gt;0)),"","Quên chấm công"))</f>
        <v/>
      </c>
      <c r="AD274" s="14">
        <f>IF(VLOOKUP(A274,Data_NV!$A:$I,7,0)="Không",0,IF(AND(Y274=0,Z274=0),0,IF(X274&lt;=Z274,0,ROUNDDOWN((X274-Z274)*24*60,0))))</f>
        <v>0</v>
      </c>
      <c r="AE274" s="14">
        <f>IF(VLOOKUP(A274,Data_NV!$A:$I,6,0)="Không",0,IF(Z274&lt;=X274,0,ROUNDDOWN((Z274-X274)*24*60,0)))</f>
        <v>0</v>
      </c>
      <c r="AF274" s="29">
        <f t="shared" si="22"/>
        <v>0</v>
      </c>
      <c r="AG274" s="30" t="str">
        <f>IF(AC274="","",IF(COUNTIFS($AC$3:AC274,"Quên chấm công",$S$3:S274,S274)&gt;3,"Không chấm công do vi phạm quá 3 lần",IF(COUNTIFS($AC$3:AC274,"Quên chấm công",$S$3:S274,S274)&gt;2,"Trừ toàn bộ chuyên cần tháng do vi phạm lần 3",IF(COUNTIFS($AC$3:AC274,"Quên chấm công",$S$3:S274,S274)&gt;1,"Trừ 1/2 ngày lương",50000))))</f>
        <v/>
      </c>
      <c r="AH274" s="14" t="str">
        <f>IF(COUNTIFS($AF$3:AF274,"&gt;0",$S$3:S274,S274)&gt;3,"Trừ toàn bộ chuyên cần tháng","")</f>
        <v/>
      </c>
      <c r="AI274" s="14"/>
      <c r="AJ274" s="14"/>
    </row>
    <row r="275" spans="1:36" x14ac:dyDescent="0.25">
      <c r="A275" s="4" t="s">
        <v>494</v>
      </c>
      <c r="B275" s="1" t="s">
        <v>230</v>
      </c>
      <c r="C275" s="1" t="s">
        <v>20</v>
      </c>
      <c r="D275" s="1" t="s">
        <v>28</v>
      </c>
      <c r="E275" s="1" t="s">
        <v>22</v>
      </c>
      <c r="F275" s="1" t="s">
        <v>23</v>
      </c>
      <c r="G275" s="1" t="s">
        <v>29</v>
      </c>
      <c r="H275" s="12" t="s">
        <v>368</v>
      </c>
      <c r="I275" s="1" t="s">
        <v>495</v>
      </c>
      <c r="J275" s="1" t="s">
        <v>25</v>
      </c>
      <c r="K275" s="1" t="s">
        <v>496</v>
      </c>
      <c r="L275" s="1" t="s">
        <v>25</v>
      </c>
      <c r="M275" s="1" t="s">
        <v>26</v>
      </c>
      <c r="N275" s="1" t="s">
        <v>25</v>
      </c>
      <c r="O275" s="1" t="s">
        <v>497</v>
      </c>
      <c r="P275" s="1" t="s">
        <v>25</v>
      </c>
      <c r="Q275" s="1" t="s">
        <v>25</v>
      </c>
      <c r="R275" s="70" t="str">
        <f t="shared" si="20"/>
        <v>3245903</v>
      </c>
      <c r="S275" t="str">
        <f>VLOOKUP(A275,Data_NV!$A:$C,3,0)</f>
        <v xml:space="preserve"> Huỳnh Thanh Phong  </v>
      </c>
      <c r="T275" t="str">
        <f>VLOOKUP(A275,Data_NV!$A:$E,4,0)</f>
        <v>Vận Hành</v>
      </c>
      <c r="U275" s="67">
        <f>DATEVALUE(Table2[[#This Row],[Ngày]])</f>
        <v>45903</v>
      </c>
      <c r="V275" t="str">
        <f>VLOOKUP(A275,Data_NV!$A:$E,5,0)</f>
        <v>Đang làm việc</v>
      </c>
      <c r="W275" s="11">
        <f>VLOOKUP(A275,Data_NV!$A:$I,8,0)</f>
        <v>0.3125</v>
      </c>
      <c r="X275" s="11">
        <f>VLOOKUP(A275,Data_NV!$A:$I,9,0)</f>
        <v>0.6875</v>
      </c>
      <c r="Y275" s="11">
        <f>IFERROR(TIMEVALUE(Table2[[#This Row],[Vào]]),0)</f>
        <v>0.31335648148148149</v>
      </c>
      <c r="Z275" s="11">
        <f>IFERROR(TIMEVALUE(Table2[[#This Row],[Ra]]),0)</f>
        <v>0.74995370370370373</v>
      </c>
      <c r="AA275" t="str">
        <f t="shared" si="21"/>
        <v>x</v>
      </c>
      <c r="AB275" s="14">
        <f t="shared" si="24"/>
        <v>1</v>
      </c>
      <c r="AC275" s="14" t="str">
        <f>IF(VLOOKUP(A275,Data_NV!$A:$I,7,0)="Không","",IF(OR(AND(Y275=0,Z275=0),AND(Y275&lt;&gt;0,Z275&lt;&gt;0)),"","Quên chấm công"))</f>
        <v/>
      </c>
      <c r="AD275" s="14">
        <f>IF(VLOOKUP(A275,Data_NV!$A:$I,7,0)="Không",0,IF(AND(Y275=0,Z275=0),0,IF(X275&lt;=Z275,0,ROUNDDOWN((X275-Z275)*24*60,0))))</f>
        <v>0</v>
      </c>
      <c r="AE275" s="14">
        <f>IF(VLOOKUP(A275,Data_NV!$A:$I,6,0)="Không",0,IF(Z275&lt;=X275,0,ROUNDDOWN((Z275-X275)*24*60,0)))</f>
        <v>89</v>
      </c>
      <c r="AF275" s="29">
        <f t="shared" si="22"/>
        <v>0</v>
      </c>
      <c r="AG275" s="30" t="str">
        <f>IF(AC275="","",IF(COUNTIFS($AC$3:AC275,"Quên chấm công",$S$3:S275,S275)&gt;3,"Không chấm công do vi phạm quá 3 lần",IF(COUNTIFS($AC$3:AC275,"Quên chấm công",$S$3:S275,S275)&gt;2,"Trừ toàn bộ chuyên cần tháng do vi phạm lần 3",IF(COUNTIFS($AC$3:AC275,"Quên chấm công",$S$3:S275,S275)&gt;1,"Trừ 1/2 ngày lương",50000))))</f>
        <v/>
      </c>
      <c r="AH275" s="14" t="str">
        <f>IF(COUNTIFS($AF$3:AF275,"&gt;0",$S$3:S275,S275)&gt;3,"Trừ toàn bộ chuyên cần tháng","")</f>
        <v/>
      </c>
      <c r="AI275" s="14"/>
      <c r="AJ275" s="14"/>
    </row>
    <row r="276" spans="1:36" x14ac:dyDescent="0.25">
      <c r="A276" s="4" t="s">
        <v>494</v>
      </c>
      <c r="B276" s="1" t="s">
        <v>230</v>
      </c>
      <c r="C276" s="1" t="s">
        <v>20</v>
      </c>
      <c r="D276" s="1" t="s">
        <v>35</v>
      </c>
      <c r="E276" s="1" t="s">
        <v>22</v>
      </c>
      <c r="F276" s="1" t="s">
        <v>23</v>
      </c>
      <c r="G276" s="1" t="s">
        <v>29</v>
      </c>
      <c r="H276" s="12" t="s">
        <v>498</v>
      </c>
      <c r="I276" s="1" t="s">
        <v>499</v>
      </c>
      <c r="J276" s="1" t="s">
        <v>25</v>
      </c>
      <c r="K276" s="1" t="s">
        <v>317</v>
      </c>
      <c r="L276" s="1" t="s">
        <v>25</v>
      </c>
      <c r="M276" s="1" t="s">
        <v>26</v>
      </c>
      <c r="N276" s="1" t="s">
        <v>25</v>
      </c>
      <c r="O276" s="1" t="s">
        <v>318</v>
      </c>
      <c r="P276" s="1" t="s">
        <v>25</v>
      </c>
      <c r="Q276" s="1" t="s">
        <v>25</v>
      </c>
      <c r="R276" s="70" t="str">
        <f t="shared" si="20"/>
        <v>3245904</v>
      </c>
      <c r="S276" t="str">
        <f>VLOOKUP(A276,Data_NV!$A:$C,3,0)</f>
        <v xml:space="preserve"> Huỳnh Thanh Phong  </v>
      </c>
      <c r="T276" t="str">
        <f>VLOOKUP(A276,Data_NV!$A:$E,4,0)</f>
        <v>Vận Hành</v>
      </c>
      <c r="U276" s="67">
        <f>DATEVALUE(Table2[[#This Row],[Ngày]])</f>
        <v>45904</v>
      </c>
      <c r="V276" t="str">
        <f>VLOOKUP(A276,Data_NV!$A:$E,5,0)</f>
        <v>Đang làm việc</v>
      </c>
      <c r="W276" s="11">
        <f>VLOOKUP(A276,Data_NV!$A:$I,8,0)</f>
        <v>0.3125</v>
      </c>
      <c r="X276" s="11">
        <f>VLOOKUP(A276,Data_NV!$A:$I,9,0)</f>
        <v>0.6875</v>
      </c>
      <c r="Y276" s="11">
        <f>IFERROR(TIMEVALUE(Table2[[#This Row],[Vào]]),0)</f>
        <v>0.30783564814814812</v>
      </c>
      <c r="Z276" s="11">
        <f>IFERROR(TIMEVALUE(Table2[[#This Row],[Ra]]),0)</f>
        <v>0.78869212962962965</v>
      </c>
      <c r="AA276" t="str">
        <f t="shared" si="21"/>
        <v>x</v>
      </c>
      <c r="AB276" s="14">
        <f t="shared" si="24"/>
        <v>0</v>
      </c>
      <c r="AC276" s="14" t="str">
        <f>IF(VLOOKUP(A276,Data_NV!$A:$I,7,0)="Không","",IF(OR(AND(Y276=0,Z276=0),AND(Y276&lt;&gt;0,Z276&lt;&gt;0)),"","Quên chấm công"))</f>
        <v/>
      </c>
      <c r="AD276" s="14">
        <f>IF(VLOOKUP(A276,Data_NV!$A:$I,7,0)="Không",0,IF(AND(Y276=0,Z276=0),0,IF(X276&lt;=Z276,0,ROUNDDOWN((X276-Z276)*24*60,0))))</f>
        <v>0</v>
      </c>
      <c r="AE276" s="14">
        <f>IF(VLOOKUP(A276,Data_NV!$A:$I,6,0)="Không",0,IF(Z276&lt;=X276,0,ROUNDDOWN((Z276-X276)*24*60,0)))</f>
        <v>145</v>
      </c>
      <c r="AF276" s="29">
        <f t="shared" si="22"/>
        <v>0</v>
      </c>
      <c r="AG276" s="30" t="str">
        <f>IF(AC276="","",IF(COUNTIFS($AC$3:AC276,"Quên chấm công",$S$3:S276,S276)&gt;3,"Không chấm công do vi phạm quá 3 lần",IF(COUNTIFS($AC$3:AC276,"Quên chấm công",$S$3:S276,S276)&gt;2,"Trừ toàn bộ chuyên cần tháng do vi phạm lần 3",IF(COUNTIFS($AC$3:AC276,"Quên chấm công",$S$3:S276,S276)&gt;1,"Trừ 1/2 ngày lương",50000))))</f>
        <v/>
      </c>
      <c r="AH276" s="14" t="str">
        <f>IF(COUNTIFS($AF$3:AF276,"&gt;0",$S$3:S276,S276)&gt;3,"Trừ toàn bộ chuyên cần tháng","")</f>
        <v/>
      </c>
      <c r="AI276" s="14"/>
      <c r="AJ276" s="14"/>
    </row>
    <row r="277" spans="1:36" x14ac:dyDescent="0.25">
      <c r="A277" s="4" t="s">
        <v>494</v>
      </c>
      <c r="B277" s="1" t="s">
        <v>230</v>
      </c>
      <c r="C277" s="1" t="s">
        <v>20</v>
      </c>
      <c r="D277" s="1" t="s">
        <v>37</v>
      </c>
      <c r="E277" s="1" t="s">
        <v>22</v>
      </c>
      <c r="F277" s="1" t="s">
        <v>23</v>
      </c>
      <c r="G277" s="1" t="s">
        <v>29</v>
      </c>
      <c r="H277" s="12" t="s">
        <v>500</v>
      </c>
      <c r="I277" s="1" t="s">
        <v>501</v>
      </c>
      <c r="J277" s="1" t="s">
        <v>25</v>
      </c>
      <c r="K277" s="1" t="s">
        <v>311</v>
      </c>
      <c r="L277" s="1" t="s">
        <v>25</v>
      </c>
      <c r="M277" s="1" t="s">
        <v>26</v>
      </c>
      <c r="N277" s="1" t="s">
        <v>25</v>
      </c>
      <c r="O277" s="1" t="s">
        <v>33</v>
      </c>
      <c r="P277" s="1" t="s">
        <v>502</v>
      </c>
      <c r="Q277" s="1" t="s">
        <v>25</v>
      </c>
      <c r="R277" s="70" t="str">
        <f t="shared" si="20"/>
        <v>3245905</v>
      </c>
      <c r="S277" t="str">
        <f>VLOOKUP(A277,Data_NV!$A:$C,3,0)</f>
        <v xml:space="preserve"> Huỳnh Thanh Phong  </v>
      </c>
      <c r="T277" t="str">
        <f>VLOOKUP(A277,Data_NV!$A:$E,4,0)</f>
        <v>Vận Hành</v>
      </c>
      <c r="U277" s="67">
        <f>DATEVALUE(Table2[[#This Row],[Ngày]])</f>
        <v>45905</v>
      </c>
      <c r="V277" t="str">
        <f>VLOOKUP(A277,Data_NV!$A:$E,5,0)</f>
        <v>Đang làm việc</v>
      </c>
      <c r="W277" s="11">
        <f>VLOOKUP(A277,Data_NV!$A:$I,8,0)</f>
        <v>0.3125</v>
      </c>
      <c r="X277" s="11">
        <f>VLOOKUP(A277,Data_NV!$A:$I,9,0)</f>
        <v>0.6875</v>
      </c>
      <c r="Y277" s="11">
        <f>IFERROR(TIMEVALUE(Table2[[#This Row],[Vào]]),0)</f>
        <v>0.31534722222222222</v>
      </c>
      <c r="Z277" s="11">
        <f>IFERROR(TIMEVALUE(Table2[[#This Row],[Ra]]),0)</f>
        <v>0.80246527777777776</v>
      </c>
      <c r="AA277" t="str">
        <f t="shared" si="21"/>
        <v>x</v>
      </c>
      <c r="AB277" s="14">
        <f t="shared" si="24"/>
        <v>4</v>
      </c>
      <c r="AC277" s="14" t="str">
        <f>IF(VLOOKUP(A277,Data_NV!$A:$I,7,0)="Không","",IF(OR(AND(Y277=0,Z277=0),AND(Y277&lt;&gt;0,Z277&lt;&gt;0)),"","Quên chấm công"))</f>
        <v/>
      </c>
      <c r="AD277" s="14">
        <f>IF(VLOOKUP(A277,Data_NV!$A:$I,7,0)="Không",0,IF(AND(Y277=0,Z277=0),0,IF(X277&lt;=Z277,0,ROUNDDOWN((X277-Z277)*24*60,0))))</f>
        <v>0</v>
      </c>
      <c r="AE277" s="14">
        <f>IF(VLOOKUP(A277,Data_NV!$A:$I,6,0)="Không",0,IF(Z277&lt;=X277,0,ROUNDDOWN((Z277-X277)*24*60,0)))</f>
        <v>165</v>
      </c>
      <c r="AF277" s="29">
        <f t="shared" si="22"/>
        <v>0</v>
      </c>
      <c r="AG277" s="30" t="str">
        <f>IF(AC277="","",IF(COUNTIFS($AC$3:AC277,"Quên chấm công",$S$3:S277,S277)&gt;3,"Không chấm công do vi phạm quá 3 lần",IF(COUNTIFS($AC$3:AC277,"Quên chấm công",$S$3:S277,S277)&gt;2,"Trừ toàn bộ chuyên cần tháng do vi phạm lần 3",IF(COUNTIFS($AC$3:AC277,"Quên chấm công",$S$3:S277,S277)&gt;1,"Trừ 1/2 ngày lương",50000))))</f>
        <v/>
      </c>
      <c r="AH277" s="14" t="str">
        <f>IF(COUNTIFS($AF$3:AF277,"&gt;0",$S$3:S277,S277)&gt;3,"Trừ toàn bộ chuyên cần tháng","")</f>
        <v/>
      </c>
      <c r="AI277" s="14"/>
      <c r="AJ277" s="14"/>
    </row>
    <row r="278" spans="1:36" x14ac:dyDescent="0.25">
      <c r="A278" s="4" t="s">
        <v>494</v>
      </c>
      <c r="B278" s="1" t="s">
        <v>230</v>
      </c>
      <c r="C278" s="1" t="s">
        <v>20</v>
      </c>
      <c r="D278" s="1" t="s">
        <v>42</v>
      </c>
      <c r="E278" s="1" t="s">
        <v>22</v>
      </c>
      <c r="F278" s="1" t="s">
        <v>23</v>
      </c>
      <c r="G278" s="1" t="s">
        <v>254</v>
      </c>
      <c r="H278" s="12" t="s">
        <v>503</v>
      </c>
      <c r="I278" s="1" t="s">
        <v>504</v>
      </c>
      <c r="J278" s="1" t="s">
        <v>25</v>
      </c>
      <c r="K278" s="1" t="s">
        <v>505</v>
      </c>
      <c r="L278" s="1" t="s">
        <v>506</v>
      </c>
      <c r="M278" s="1" t="s">
        <v>505</v>
      </c>
      <c r="N278" s="1" t="s">
        <v>25</v>
      </c>
      <c r="O278" s="1" t="s">
        <v>25</v>
      </c>
      <c r="P278" s="1" t="s">
        <v>25</v>
      </c>
      <c r="Q278" s="1" t="s">
        <v>25</v>
      </c>
      <c r="R278" s="70" t="str">
        <f t="shared" si="20"/>
        <v>3245906</v>
      </c>
      <c r="S278" t="str">
        <f>VLOOKUP(A278,Data_NV!$A:$C,3,0)</f>
        <v xml:space="preserve"> Huỳnh Thanh Phong  </v>
      </c>
      <c r="T278" t="str">
        <f>VLOOKUP(A278,Data_NV!$A:$E,4,0)</f>
        <v>Vận Hành</v>
      </c>
      <c r="U278" s="67">
        <f>DATEVALUE(Table2[[#This Row],[Ngày]])</f>
        <v>45906</v>
      </c>
      <c r="V278" t="str">
        <f>VLOOKUP(A278,Data_NV!$A:$E,5,0)</f>
        <v>Đang làm việc</v>
      </c>
      <c r="W278" s="11">
        <f>VLOOKUP(A278,Data_NV!$A:$I,8,0)</f>
        <v>0.3125</v>
      </c>
      <c r="X278" s="11">
        <f>VLOOKUP(A278,Data_NV!$A:$I,9,0)</f>
        <v>0.6875</v>
      </c>
      <c r="Y278" s="11">
        <f>IFERROR(TIMEVALUE(Table2[[#This Row],[Vào]]),0)</f>
        <v>0.31416666666666665</v>
      </c>
      <c r="Z278" s="11">
        <f>IFERROR(TIMEVALUE(Table2[[#This Row],[Ra]]),0)</f>
        <v>0.69313657407407403</v>
      </c>
      <c r="AA278" t="str">
        <f t="shared" si="21"/>
        <v>x</v>
      </c>
      <c r="AB278" s="14">
        <f t="shared" si="24"/>
        <v>2</v>
      </c>
      <c r="AC278" s="14" t="str">
        <f>IF(VLOOKUP(A278,Data_NV!$A:$I,7,0)="Không","",IF(OR(AND(Y278=0,Z278=0),AND(Y278&lt;&gt;0,Z278&lt;&gt;0)),"","Quên chấm công"))</f>
        <v/>
      </c>
      <c r="AD278" s="14">
        <f>IF(VLOOKUP(A278,Data_NV!$A:$I,7,0)="Không",0,IF(AND(Y278=0,Z278=0),0,IF(X278&lt;=Z278,0,ROUNDDOWN((X278-Z278)*24*60,0))))</f>
        <v>0</v>
      </c>
      <c r="AE278" s="14">
        <f>IF(VLOOKUP(A278,Data_NV!$A:$I,6,0)="Không",0,IF(Z278&lt;=X278,0,ROUNDDOWN((Z278-X278)*24*60,0)))</f>
        <v>8</v>
      </c>
      <c r="AF278" s="29">
        <f t="shared" si="22"/>
        <v>0</v>
      </c>
      <c r="AG278" s="30" t="str">
        <f>IF(AC278="","",IF(COUNTIFS($AC$3:AC278,"Quên chấm công",$S$3:S278,S278)&gt;3,"Không chấm công do vi phạm quá 3 lần",IF(COUNTIFS($AC$3:AC278,"Quên chấm công",$S$3:S278,S278)&gt;2,"Trừ toàn bộ chuyên cần tháng do vi phạm lần 3",IF(COUNTIFS($AC$3:AC278,"Quên chấm công",$S$3:S278,S278)&gt;1,"Trừ 1/2 ngày lương",50000))))</f>
        <v/>
      </c>
      <c r="AH278" s="14" t="str">
        <f>IF(COUNTIFS($AF$3:AF278,"&gt;0",$S$3:S278,S278)&gt;3,"Trừ toàn bộ chuyên cần tháng","")</f>
        <v/>
      </c>
      <c r="AI278" s="14"/>
      <c r="AJ278" s="14"/>
    </row>
    <row r="279" spans="1:36" x14ac:dyDescent="0.25">
      <c r="A279" s="4" t="s">
        <v>494</v>
      </c>
      <c r="B279" s="1" t="s">
        <v>230</v>
      </c>
      <c r="C279" s="1" t="s">
        <v>20</v>
      </c>
      <c r="D279" s="1" t="s">
        <v>47</v>
      </c>
      <c r="E279" s="1" t="s">
        <v>22</v>
      </c>
      <c r="F279" s="1" t="s">
        <v>23</v>
      </c>
      <c r="G279" s="1" t="s">
        <v>12</v>
      </c>
      <c r="H279" s="12" t="s">
        <v>24</v>
      </c>
      <c r="I279" s="1" t="s">
        <v>24</v>
      </c>
      <c r="J279" s="1" t="s">
        <v>25</v>
      </c>
      <c r="K279" s="1" t="s">
        <v>25</v>
      </c>
      <c r="L279" s="1" t="s">
        <v>26</v>
      </c>
      <c r="M279" s="1" t="s">
        <v>25</v>
      </c>
      <c r="N279" s="1" t="s">
        <v>25</v>
      </c>
      <c r="O279" s="1" t="s">
        <v>25</v>
      </c>
      <c r="P279" s="1" t="s">
        <v>25</v>
      </c>
      <c r="Q279" s="1" t="s">
        <v>25</v>
      </c>
      <c r="R279" s="70" t="str">
        <f t="shared" si="20"/>
        <v>3245907</v>
      </c>
      <c r="S279" t="str">
        <f>VLOOKUP(A279,Data_NV!$A:$C,3,0)</f>
        <v xml:space="preserve"> Huỳnh Thanh Phong  </v>
      </c>
      <c r="T279" t="str">
        <f>VLOOKUP(A279,Data_NV!$A:$E,4,0)</f>
        <v>Vận Hành</v>
      </c>
      <c r="U279" s="67">
        <f>DATEVALUE(Table2[[#This Row],[Ngày]])</f>
        <v>45907</v>
      </c>
      <c r="V279" t="str">
        <f>VLOOKUP(A279,Data_NV!$A:$E,5,0)</f>
        <v>Đang làm việc</v>
      </c>
      <c r="W279" s="11">
        <f>VLOOKUP(A279,Data_NV!$A:$I,8,0)</f>
        <v>0.3125</v>
      </c>
      <c r="X279" s="11">
        <f>VLOOKUP(A279,Data_NV!$A:$I,9,0)</f>
        <v>0.6875</v>
      </c>
      <c r="Y279" s="11">
        <f>IFERROR(TIMEVALUE(Table2[[#This Row],[Vào]]),0)</f>
        <v>0</v>
      </c>
      <c r="Z279" s="11">
        <f>IFERROR(TIMEVALUE(Table2[[#This Row],[Ra]]),0)</f>
        <v>0</v>
      </c>
      <c r="AA279" t="str">
        <f t="shared" si="21"/>
        <v/>
      </c>
      <c r="AB279" s="14">
        <f t="shared" si="24"/>
        <v>0</v>
      </c>
      <c r="AC279" s="14" t="str">
        <f>IF(VLOOKUP(A279,Data_NV!$A:$I,7,0)="Không","",IF(OR(AND(Y279=0,Z279=0),AND(Y279&lt;&gt;0,Z279&lt;&gt;0)),"","Quên chấm công"))</f>
        <v/>
      </c>
      <c r="AD279" s="14">
        <f>IF(VLOOKUP(A279,Data_NV!$A:$I,7,0)="Không",0,IF(AND(Y279=0,Z279=0),0,IF(X279&lt;=Z279,0,ROUNDDOWN((X279-Z279)*24*60,0))))</f>
        <v>0</v>
      </c>
      <c r="AE279" s="14">
        <f>IF(VLOOKUP(A279,Data_NV!$A:$I,6,0)="Không",0,IF(Z279&lt;=X279,0,ROUNDDOWN((Z279-X279)*24*60,0)))</f>
        <v>0</v>
      </c>
      <c r="AF279" s="29">
        <f t="shared" si="22"/>
        <v>0</v>
      </c>
      <c r="AG279" s="30" t="str">
        <f>IF(AC279="","",IF(COUNTIFS($AC$3:AC279,"Quên chấm công",$S$3:S279,S279)&gt;3,"Không chấm công do vi phạm quá 3 lần",IF(COUNTIFS($AC$3:AC279,"Quên chấm công",$S$3:S279,S279)&gt;2,"Trừ toàn bộ chuyên cần tháng do vi phạm lần 3",IF(COUNTIFS($AC$3:AC279,"Quên chấm công",$S$3:S279,S279)&gt;1,"Trừ 1/2 ngày lương",50000))))</f>
        <v/>
      </c>
      <c r="AH279" s="14" t="str">
        <f>IF(COUNTIFS($AF$3:AF279,"&gt;0",$S$3:S279,S279)&gt;3,"Trừ toàn bộ chuyên cần tháng","")</f>
        <v/>
      </c>
      <c r="AI279" s="14"/>
      <c r="AJ279" s="14"/>
    </row>
    <row r="280" spans="1:36" x14ac:dyDescent="0.25">
      <c r="A280" s="4" t="s">
        <v>494</v>
      </c>
      <c r="B280" s="1" t="s">
        <v>230</v>
      </c>
      <c r="C280" s="1" t="s">
        <v>20</v>
      </c>
      <c r="D280" s="1" t="s">
        <v>48</v>
      </c>
      <c r="E280" s="1" t="s">
        <v>22</v>
      </c>
      <c r="F280" s="1" t="s">
        <v>23</v>
      </c>
      <c r="G280" s="1" t="s">
        <v>254</v>
      </c>
      <c r="H280" s="12" t="s">
        <v>507</v>
      </c>
      <c r="I280" s="1" t="s">
        <v>508</v>
      </c>
      <c r="J280" s="1" t="s">
        <v>25</v>
      </c>
      <c r="K280" s="1" t="s">
        <v>509</v>
      </c>
      <c r="L280" s="1" t="s">
        <v>319</v>
      </c>
      <c r="M280" s="1" t="s">
        <v>509</v>
      </c>
      <c r="N280" s="1" t="s">
        <v>25</v>
      </c>
      <c r="O280" s="1" t="s">
        <v>25</v>
      </c>
      <c r="P280" s="1" t="s">
        <v>25</v>
      </c>
      <c r="Q280" s="1" t="s">
        <v>25</v>
      </c>
      <c r="R280" s="70" t="str">
        <f t="shared" si="20"/>
        <v>3245908</v>
      </c>
      <c r="S280" t="str">
        <f>VLOOKUP(A280,Data_NV!$A:$C,3,0)</f>
        <v xml:space="preserve"> Huỳnh Thanh Phong  </v>
      </c>
      <c r="T280" t="str">
        <f>VLOOKUP(A280,Data_NV!$A:$E,4,0)</f>
        <v>Vận Hành</v>
      </c>
      <c r="U280" s="67">
        <f>DATEVALUE(Table2[[#This Row],[Ngày]])</f>
        <v>45908</v>
      </c>
      <c r="V280" t="str">
        <f>VLOOKUP(A280,Data_NV!$A:$E,5,0)</f>
        <v>Đang làm việc</v>
      </c>
      <c r="W280" s="11">
        <f>VLOOKUP(A280,Data_NV!$A:$I,8,0)</f>
        <v>0.3125</v>
      </c>
      <c r="X280" s="11">
        <f>VLOOKUP(A280,Data_NV!$A:$I,9,0)</f>
        <v>0.6875</v>
      </c>
      <c r="Y280" s="11">
        <f>IFERROR(TIMEVALUE(Table2[[#This Row],[Vào]]),0)</f>
        <v>0.31521990740740741</v>
      </c>
      <c r="Z280" s="11">
        <f>IFERROR(TIMEVALUE(Table2[[#This Row],[Ra]]),0)</f>
        <v>0.69950231481481484</v>
      </c>
      <c r="AA280" t="str">
        <f t="shared" si="21"/>
        <v>x</v>
      </c>
      <c r="AB280" s="14">
        <f t="shared" si="24"/>
        <v>3</v>
      </c>
      <c r="AC280" s="14" t="str">
        <f>IF(VLOOKUP(A280,Data_NV!$A:$I,7,0)="Không","",IF(OR(AND(Y280=0,Z280=0),AND(Y280&lt;&gt;0,Z280&lt;&gt;0)),"","Quên chấm công"))</f>
        <v/>
      </c>
      <c r="AD280" s="14">
        <f>IF(VLOOKUP(A280,Data_NV!$A:$I,7,0)="Không",0,IF(AND(Y280=0,Z280=0),0,IF(X280&lt;=Z280,0,ROUNDDOWN((X280-Z280)*24*60,0))))</f>
        <v>0</v>
      </c>
      <c r="AE280" s="14">
        <f>IF(VLOOKUP(A280,Data_NV!$A:$I,6,0)="Không",0,IF(Z280&lt;=X280,0,ROUNDDOWN((Z280-X280)*24*60,0)))</f>
        <v>17</v>
      </c>
      <c r="AF280" s="29">
        <f t="shared" si="22"/>
        <v>0</v>
      </c>
      <c r="AG280" s="30" t="str">
        <f>IF(AC280="","",IF(COUNTIFS($AC$3:AC280,"Quên chấm công",$S$3:S280,S280)&gt;3,"Không chấm công do vi phạm quá 3 lần",IF(COUNTIFS($AC$3:AC280,"Quên chấm công",$S$3:S280,S280)&gt;2,"Trừ toàn bộ chuyên cần tháng do vi phạm lần 3",IF(COUNTIFS($AC$3:AC280,"Quên chấm công",$S$3:S280,S280)&gt;1,"Trừ 1/2 ngày lương",50000))))</f>
        <v/>
      </c>
      <c r="AH280" s="14" t="str">
        <f>IF(COUNTIFS($AF$3:AF280,"&gt;0",$S$3:S280,S280)&gt;3,"Trừ toàn bộ chuyên cần tháng","")</f>
        <v/>
      </c>
      <c r="AI280" s="14"/>
      <c r="AJ280" s="14"/>
    </row>
    <row r="281" spans="1:36" x14ac:dyDescent="0.25">
      <c r="A281" s="4" t="s">
        <v>494</v>
      </c>
      <c r="B281" s="1" t="s">
        <v>230</v>
      </c>
      <c r="C281" s="1" t="s">
        <v>20</v>
      </c>
      <c r="D281" s="1" t="s">
        <v>53</v>
      </c>
      <c r="E281" s="1" t="s">
        <v>22</v>
      </c>
      <c r="F281" s="1" t="s">
        <v>23</v>
      </c>
      <c r="G281" s="1" t="s">
        <v>12</v>
      </c>
      <c r="H281" s="12" t="s">
        <v>510</v>
      </c>
      <c r="I281" s="1" t="s">
        <v>24</v>
      </c>
      <c r="J281" s="1" t="s">
        <v>25</v>
      </c>
      <c r="K281" s="1" t="s">
        <v>25</v>
      </c>
      <c r="L281" s="1" t="s">
        <v>26</v>
      </c>
      <c r="M281" s="1" t="s">
        <v>25</v>
      </c>
      <c r="N281" s="1" t="s">
        <v>25</v>
      </c>
      <c r="O281" s="1" t="s">
        <v>25</v>
      </c>
      <c r="P281" s="1" t="s">
        <v>25</v>
      </c>
      <c r="Q281" s="1" t="s">
        <v>25</v>
      </c>
      <c r="R281" s="70" t="str">
        <f t="shared" si="20"/>
        <v>3245909</v>
      </c>
      <c r="S281" t="str">
        <f>VLOOKUP(A281,Data_NV!$A:$C,3,0)</f>
        <v xml:space="preserve"> Huỳnh Thanh Phong  </v>
      </c>
      <c r="T281" t="str">
        <f>VLOOKUP(A281,Data_NV!$A:$E,4,0)</f>
        <v>Vận Hành</v>
      </c>
      <c r="U281" s="67">
        <f>DATEVALUE(Table2[[#This Row],[Ngày]])</f>
        <v>45909</v>
      </c>
      <c r="V281" t="str">
        <f>VLOOKUP(A281,Data_NV!$A:$E,5,0)</f>
        <v>Đang làm việc</v>
      </c>
      <c r="W281" s="11">
        <f>VLOOKUP(A281,Data_NV!$A:$I,8,0)</f>
        <v>0.3125</v>
      </c>
      <c r="X281" s="11">
        <f>VLOOKUP(A281,Data_NV!$A:$I,9,0)</f>
        <v>0.6875</v>
      </c>
      <c r="Y281" s="11">
        <f>IFERROR(TIMEVALUE(Table2[[#This Row],[Vào]]),0)</f>
        <v>0.30664351851851851</v>
      </c>
      <c r="Z281" s="11">
        <f>IFERROR(TIMEVALUE(Table2[[#This Row],[Ra]]),0)</f>
        <v>0</v>
      </c>
      <c r="AA281" t="str">
        <f t="shared" si="21"/>
        <v>x</v>
      </c>
      <c r="AB281" s="14">
        <f t="shared" si="24"/>
        <v>0</v>
      </c>
      <c r="AC281" s="14" t="str">
        <f>IF(VLOOKUP(A281,Data_NV!$A:$I,7,0)="Không","",IF(OR(AND(Y281=0,Z281=0),AND(Y281&lt;&gt;0,Z281&lt;&gt;0)),"","Quên chấm công"))</f>
        <v>Quên chấm công</v>
      </c>
      <c r="AD281" s="14">
        <f>IF(VLOOKUP(A281,Data_NV!$A:$I,7,0)="Không",0,IF(AND(Y281=0,Z281=0),0,IF(X281&lt;=Z281,0,ROUNDDOWN((X281-Z281)*24*60,0))))</f>
        <v>990</v>
      </c>
      <c r="AE281" s="14">
        <f>IF(VLOOKUP(A281,Data_NV!$A:$I,6,0)="Không",0,IF(Z281&lt;=X281,0,ROUNDDOWN((Z281-X281)*24*60,0)))</f>
        <v>0</v>
      </c>
      <c r="AF281" s="29">
        <f t="shared" si="22"/>
        <v>0</v>
      </c>
      <c r="AG281" s="30">
        <f>IF(AC281="","",IF(COUNTIFS($AC$3:AC281,"Quên chấm công",$S$3:S281,S281)&gt;3,"Không chấm công do vi phạm quá 3 lần",IF(COUNTIFS($AC$3:AC281,"Quên chấm công",$S$3:S281,S281)&gt;2,"Trừ toàn bộ chuyên cần tháng do vi phạm lần 3",IF(COUNTIFS($AC$3:AC281,"Quên chấm công",$S$3:S281,S281)&gt;1,"Trừ 1/2 ngày lương",50000))))</f>
        <v>50000</v>
      </c>
      <c r="AH281" s="14" t="str">
        <f>IF(COUNTIFS($AF$3:AF281,"&gt;0",$S$3:S281,S281)&gt;3,"Trừ toàn bộ chuyên cần tháng","")</f>
        <v/>
      </c>
      <c r="AI281" s="14"/>
      <c r="AJ281" s="14"/>
    </row>
    <row r="282" spans="1:36" x14ac:dyDescent="0.25">
      <c r="A282" s="4" t="s">
        <v>494</v>
      </c>
      <c r="B282" s="1" t="s">
        <v>230</v>
      </c>
      <c r="C282" s="1" t="s">
        <v>20</v>
      </c>
      <c r="D282" s="1" t="s">
        <v>58</v>
      </c>
      <c r="E282" s="1" t="s">
        <v>22</v>
      </c>
      <c r="F282" s="1" t="s">
        <v>23</v>
      </c>
      <c r="G282" s="1" t="s">
        <v>254</v>
      </c>
      <c r="H282" s="12" t="s">
        <v>511</v>
      </c>
      <c r="I282" s="1" t="s">
        <v>512</v>
      </c>
      <c r="J282" s="1" t="s">
        <v>25</v>
      </c>
      <c r="K282" s="1" t="s">
        <v>513</v>
      </c>
      <c r="L282" s="1" t="s">
        <v>291</v>
      </c>
      <c r="M282" s="1" t="s">
        <v>513</v>
      </c>
      <c r="N282" s="1" t="s">
        <v>25</v>
      </c>
      <c r="O282" s="1" t="s">
        <v>25</v>
      </c>
      <c r="P282" s="1" t="s">
        <v>25</v>
      </c>
      <c r="Q282" s="1" t="s">
        <v>25</v>
      </c>
      <c r="R282" s="70" t="str">
        <f t="shared" si="20"/>
        <v>3245910</v>
      </c>
      <c r="S282" t="str">
        <f>VLOOKUP(A282,Data_NV!$A:$C,3,0)</f>
        <v xml:space="preserve"> Huỳnh Thanh Phong  </v>
      </c>
      <c r="T282" t="str">
        <f>VLOOKUP(A282,Data_NV!$A:$E,4,0)</f>
        <v>Vận Hành</v>
      </c>
      <c r="U282" s="67">
        <f>DATEVALUE(Table2[[#This Row],[Ngày]])</f>
        <v>45910</v>
      </c>
      <c r="V282" t="str">
        <f>VLOOKUP(A282,Data_NV!$A:$E,5,0)</f>
        <v>Đang làm việc</v>
      </c>
      <c r="W282" s="11">
        <f>VLOOKUP(A282,Data_NV!$A:$I,8,0)</f>
        <v>0.3125</v>
      </c>
      <c r="X282" s="11">
        <f>VLOOKUP(A282,Data_NV!$A:$I,9,0)</f>
        <v>0.6875</v>
      </c>
      <c r="Y282" s="11">
        <f>IFERROR(TIMEVALUE(Table2[[#This Row],[Vào]]),0)</f>
        <v>0.33114583333333331</v>
      </c>
      <c r="Z282" s="11">
        <f>IFERROR(TIMEVALUE(Table2[[#This Row],[Ra]]),0)</f>
        <v>0.70709490740740744</v>
      </c>
      <c r="AA282" t="str">
        <f t="shared" si="21"/>
        <v>x</v>
      </c>
      <c r="AB282" s="14">
        <f t="shared" si="24"/>
        <v>26</v>
      </c>
      <c r="AC282" s="14" t="str">
        <f>IF(VLOOKUP(A282,Data_NV!$A:$I,7,0)="Không","",IF(OR(AND(Y282=0,Z282=0),AND(Y282&lt;&gt;0,Z282&lt;&gt;0)),"","Quên chấm công"))</f>
        <v/>
      </c>
      <c r="AD282" s="14">
        <f>IF(VLOOKUP(A282,Data_NV!$A:$I,7,0)="Không",0,IF(AND(Y282=0,Z282=0),0,IF(X282&lt;=Z282,0,ROUNDDOWN((X282-Z282)*24*60,0))))</f>
        <v>0</v>
      </c>
      <c r="AE282" s="14">
        <f>IF(VLOOKUP(A282,Data_NV!$A:$I,6,0)="Không",0,IF(Z282&lt;=X282,0,ROUNDDOWN((Z282-X282)*24*60,0)))</f>
        <v>28</v>
      </c>
      <c r="AF282" s="29">
        <f t="shared" si="22"/>
        <v>50000</v>
      </c>
      <c r="AG282" s="30" t="str">
        <f>IF(AC282="","",IF(COUNTIFS($AC$3:AC282,"Quên chấm công",$S$3:S282,S282)&gt;3,"Không chấm công do vi phạm quá 3 lần",IF(COUNTIFS($AC$3:AC282,"Quên chấm công",$S$3:S282,S282)&gt;2,"Trừ toàn bộ chuyên cần tháng do vi phạm lần 3",IF(COUNTIFS($AC$3:AC282,"Quên chấm công",$S$3:S282,S282)&gt;1,"Trừ 1/2 ngày lương",50000))))</f>
        <v/>
      </c>
      <c r="AH282" s="14" t="str">
        <f>IF(COUNTIFS($AF$3:AF282,"&gt;0",$S$3:S282,S282)&gt;3,"Trừ toàn bộ chuyên cần tháng","")</f>
        <v/>
      </c>
      <c r="AI282" s="14"/>
      <c r="AJ282" s="14"/>
    </row>
    <row r="283" spans="1:36" x14ac:dyDescent="0.25">
      <c r="A283" s="4" t="s">
        <v>494</v>
      </c>
      <c r="B283" s="1" t="s">
        <v>230</v>
      </c>
      <c r="C283" s="1" t="s">
        <v>20</v>
      </c>
      <c r="D283" s="1" t="s">
        <v>63</v>
      </c>
      <c r="E283" s="1" t="s">
        <v>22</v>
      </c>
      <c r="F283" s="1" t="s">
        <v>23</v>
      </c>
      <c r="G283" s="1" t="s">
        <v>254</v>
      </c>
      <c r="H283" s="12" t="s">
        <v>514</v>
      </c>
      <c r="I283" s="1" t="s">
        <v>515</v>
      </c>
      <c r="J283" s="1" t="s">
        <v>25</v>
      </c>
      <c r="K283" s="1" t="s">
        <v>516</v>
      </c>
      <c r="L283" s="1" t="s">
        <v>517</v>
      </c>
      <c r="M283" s="1" t="s">
        <v>516</v>
      </c>
      <c r="N283" s="1" t="s">
        <v>25</v>
      </c>
      <c r="O283" s="1" t="s">
        <v>25</v>
      </c>
      <c r="P283" s="1" t="s">
        <v>25</v>
      </c>
      <c r="Q283" s="1" t="s">
        <v>25</v>
      </c>
      <c r="R283" s="70" t="str">
        <f t="shared" si="20"/>
        <v>3245911</v>
      </c>
      <c r="S283" t="str">
        <f>VLOOKUP(A283,Data_NV!$A:$C,3,0)</f>
        <v xml:space="preserve"> Huỳnh Thanh Phong  </v>
      </c>
      <c r="T283" t="str">
        <f>VLOOKUP(A283,Data_NV!$A:$E,4,0)</f>
        <v>Vận Hành</v>
      </c>
      <c r="U283" s="67">
        <f>DATEVALUE(Table2[[#This Row],[Ngày]])</f>
        <v>45911</v>
      </c>
      <c r="V283" t="str">
        <f>VLOOKUP(A283,Data_NV!$A:$E,5,0)</f>
        <v>Đang làm việc</v>
      </c>
      <c r="W283" s="11">
        <f>VLOOKUP(A283,Data_NV!$A:$I,8,0)</f>
        <v>0.3125</v>
      </c>
      <c r="X283" s="11">
        <f>VLOOKUP(A283,Data_NV!$A:$I,9,0)</f>
        <v>0.6875</v>
      </c>
      <c r="Y283" s="11">
        <f>IFERROR(TIMEVALUE(Table2[[#This Row],[Vào]]),0)</f>
        <v>0.30730324074074072</v>
      </c>
      <c r="Z283" s="11">
        <f>IFERROR(TIMEVALUE(Table2[[#This Row],[Ra]]),0)</f>
        <v>0.69967592592592598</v>
      </c>
      <c r="AA283" t="str">
        <f t="shared" si="21"/>
        <v>x</v>
      </c>
      <c r="AB283" s="14">
        <f t="shared" si="24"/>
        <v>0</v>
      </c>
      <c r="AC283" s="14" t="str">
        <f>IF(VLOOKUP(A283,Data_NV!$A:$I,7,0)="Không","",IF(OR(AND(Y283=0,Z283=0),AND(Y283&lt;&gt;0,Z283&lt;&gt;0)),"","Quên chấm công"))</f>
        <v/>
      </c>
      <c r="AD283" s="14">
        <f>IF(VLOOKUP(A283,Data_NV!$A:$I,7,0)="Không",0,IF(AND(Y283=0,Z283=0),0,IF(X283&lt;=Z283,0,ROUNDDOWN((X283-Z283)*24*60,0))))</f>
        <v>0</v>
      </c>
      <c r="AE283" s="14">
        <f>IF(VLOOKUP(A283,Data_NV!$A:$I,6,0)="Không",0,IF(Z283&lt;=X283,0,ROUNDDOWN((Z283-X283)*24*60,0)))</f>
        <v>17</v>
      </c>
      <c r="AF283" s="29">
        <f t="shared" si="22"/>
        <v>0</v>
      </c>
      <c r="AG283" s="30" t="str">
        <f>IF(AC283="","",IF(COUNTIFS($AC$3:AC283,"Quên chấm công",$S$3:S283,S283)&gt;3,"Không chấm công do vi phạm quá 3 lần",IF(COUNTIFS($AC$3:AC283,"Quên chấm công",$S$3:S283,S283)&gt;2,"Trừ toàn bộ chuyên cần tháng do vi phạm lần 3",IF(COUNTIFS($AC$3:AC283,"Quên chấm công",$S$3:S283,S283)&gt;1,"Trừ 1/2 ngày lương",50000))))</f>
        <v/>
      </c>
      <c r="AH283" s="14" t="str">
        <f>IF(COUNTIFS($AF$3:AF283,"&gt;0",$S$3:S283,S283)&gt;3,"Trừ toàn bộ chuyên cần tháng","")</f>
        <v/>
      </c>
      <c r="AI283" s="14"/>
      <c r="AJ283" s="14"/>
    </row>
    <row r="284" spans="1:36" x14ac:dyDescent="0.25">
      <c r="A284" s="4" t="s">
        <v>494</v>
      </c>
      <c r="B284" s="1" t="s">
        <v>230</v>
      </c>
      <c r="C284" s="1" t="s">
        <v>20</v>
      </c>
      <c r="D284" s="1" t="s">
        <v>67</v>
      </c>
      <c r="E284" s="1" t="s">
        <v>22</v>
      </c>
      <c r="F284" s="1" t="s">
        <v>23</v>
      </c>
      <c r="G284" s="1" t="s">
        <v>12</v>
      </c>
      <c r="H284" s="12" t="s">
        <v>518</v>
      </c>
      <c r="I284" s="1" t="s">
        <v>24</v>
      </c>
      <c r="J284" s="1" t="s">
        <v>25</v>
      </c>
      <c r="K284" s="1" t="s">
        <v>25</v>
      </c>
      <c r="L284" s="1" t="s">
        <v>26</v>
      </c>
      <c r="M284" s="1" t="s">
        <v>25</v>
      </c>
      <c r="N284" s="1" t="s">
        <v>25</v>
      </c>
      <c r="O284" s="1" t="s">
        <v>25</v>
      </c>
      <c r="P284" s="1" t="s">
        <v>25</v>
      </c>
      <c r="Q284" s="1" t="s">
        <v>25</v>
      </c>
      <c r="R284" s="70" t="str">
        <f t="shared" si="20"/>
        <v>3245912</v>
      </c>
      <c r="S284" t="str">
        <f>VLOOKUP(A284,Data_NV!$A:$C,3,0)</f>
        <v xml:space="preserve"> Huỳnh Thanh Phong  </v>
      </c>
      <c r="T284" t="str">
        <f>VLOOKUP(A284,Data_NV!$A:$E,4,0)</f>
        <v>Vận Hành</v>
      </c>
      <c r="U284" s="67">
        <f>DATEVALUE(Table2[[#This Row],[Ngày]])</f>
        <v>45912</v>
      </c>
      <c r="V284" t="str">
        <f>VLOOKUP(A284,Data_NV!$A:$E,5,0)</f>
        <v>Đang làm việc</v>
      </c>
      <c r="W284" s="11">
        <f>VLOOKUP(A284,Data_NV!$A:$I,8,0)</f>
        <v>0.3125</v>
      </c>
      <c r="X284" s="11">
        <f>VLOOKUP(A284,Data_NV!$A:$I,9,0)</f>
        <v>0.6875</v>
      </c>
      <c r="Y284" s="11">
        <f>IFERROR(TIMEVALUE(Table2[[#This Row],[Vào]]),0)</f>
        <v>0.30319444444444443</v>
      </c>
      <c r="Z284" s="11">
        <f>IFERROR(TIMEVALUE(Table2[[#This Row],[Ra]]),0)</f>
        <v>0</v>
      </c>
      <c r="AA284" t="str">
        <f t="shared" si="21"/>
        <v>1/2</v>
      </c>
      <c r="AB284" s="14">
        <f t="shared" si="24"/>
        <v>0</v>
      </c>
      <c r="AC284" s="14" t="str">
        <f>IF(VLOOKUP(A284,Data_NV!$A:$I,7,0)="Không","",IF(OR(AND(Y284=0,Z284=0),AND(Y284&lt;&gt;0,Z284&lt;&gt;0)),"","Quên chấm công"))</f>
        <v>Quên chấm công</v>
      </c>
      <c r="AD284" s="14">
        <f>IF(VLOOKUP(A284,Data_NV!$A:$I,7,0)="Không",0,IF(AND(Y284=0,Z284=0),0,IF(X284&lt;=Z284,0,ROUNDDOWN((X284-Z284)*24*60,0))))</f>
        <v>990</v>
      </c>
      <c r="AE284" s="14">
        <f>IF(VLOOKUP(A284,Data_NV!$A:$I,6,0)="Không",0,IF(Z284&lt;=X284,0,ROUNDDOWN((Z284-X284)*24*60,0)))</f>
        <v>0</v>
      </c>
      <c r="AF284" s="29">
        <f t="shared" si="22"/>
        <v>0</v>
      </c>
      <c r="AG284" s="30" t="str">
        <f>IF(AC284="","",IF(COUNTIFS($AC$3:AC284,"Quên chấm công",$S$3:S284,S284)&gt;3,"Không chấm công do vi phạm quá 3 lần",IF(COUNTIFS($AC$3:AC284,"Quên chấm công",$S$3:S284,S284)&gt;2,"Trừ toàn bộ chuyên cần tháng do vi phạm lần 3",IF(COUNTIFS($AC$3:AC284,"Quên chấm công",$S$3:S284,S284)&gt;1,"Trừ 1/2 ngày lương",50000))))</f>
        <v>Trừ 1/2 ngày lương</v>
      </c>
      <c r="AH284" s="14" t="str">
        <f>IF(COUNTIFS($AF$3:AF284,"&gt;0",$S$3:S284,S284)&gt;3,"Trừ toàn bộ chuyên cần tháng","")</f>
        <v/>
      </c>
      <c r="AI284" s="14"/>
      <c r="AJ284" s="14"/>
    </row>
    <row r="285" spans="1:36" x14ac:dyDescent="0.25">
      <c r="A285" s="4" t="s">
        <v>494</v>
      </c>
      <c r="B285" s="1" t="s">
        <v>230</v>
      </c>
      <c r="C285" s="1" t="s">
        <v>20</v>
      </c>
      <c r="D285" s="1" t="s">
        <v>69</v>
      </c>
      <c r="E285" s="1" t="s">
        <v>22</v>
      </c>
      <c r="F285" s="1" t="s">
        <v>23</v>
      </c>
      <c r="G285" s="1" t="s">
        <v>12</v>
      </c>
      <c r="H285" s="12" t="s">
        <v>519</v>
      </c>
      <c r="I285" s="1" t="s">
        <v>24</v>
      </c>
      <c r="J285" s="1" t="s">
        <v>25</v>
      </c>
      <c r="K285" s="1" t="s">
        <v>25</v>
      </c>
      <c r="L285" s="1" t="s">
        <v>26</v>
      </c>
      <c r="M285" s="1" t="s">
        <v>25</v>
      </c>
      <c r="N285" s="1" t="s">
        <v>25</v>
      </c>
      <c r="O285" s="1" t="s">
        <v>25</v>
      </c>
      <c r="P285" s="1" t="s">
        <v>25</v>
      </c>
      <c r="Q285" s="1" t="s">
        <v>25</v>
      </c>
      <c r="R285" s="70" t="str">
        <f t="shared" si="20"/>
        <v>3245913</v>
      </c>
      <c r="S285" t="str">
        <f>VLOOKUP(A285,Data_NV!$A:$C,3,0)</f>
        <v xml:space="preserve"> Huỳnh Thanh Phong  </v>
      </c>
      <c r="T285" t="str">
        <f>VLOOKUP(A285,Data_NV!$A:$E,4,0)</f>
        <v>Vận Hành</v>
      </c>
      <c r="U285" s="67">
        <f>DATEVALUE(Table2[[#This Row],[Ngày]])</f>
        <v>45913</v>
      </c>
      <c r="V285" t="str">
        <f>VLOOKUP(A285,Data_NV!$A:$E,5,0)</f>
        <v>Đang làm việc</v>
      </c>
      <c r="W285" s="11">
        <f>VLOOKUP(A285,Data_NV!$A:$I,8,0)</f>
        <v>0.3125</v>
      </c>
      <c r="X285" s="11">
        <f>VLOOKUP(A285,Data_NV!$A:$I,9,0)</f>
        <v>0.6875</v>
      </c>
      <c r="Y285" s="11">
        <f>IFERROR(TIMEVALUE(Table2[[#This Row],[Vào]]),0)</f>
        <v>0.30927083333333333</v>
      </c>
      <c r="Z285" s="11">
        <f>IFERROR(TIMEVALUE(Table2[[#This Row],[Ra]]),0)</f>
        <v>0</v>
      </c>
      <c r="AA285" t="str">
        <f t="shared" si="21"/>
        <v>x</v>
      </c>
      <c r="AB285" s="14">
        <f t="shared" si="24"/>
        <v>0</v>
      </c>
      <c r="AC285" s="14" t="str">
        <f>IF(VLOOKUP(A285,Data_NV!$A:$I,7,0)="Không","",IF(OR(AND(Y285=0,Z285=0),AND(Y285&lt;&gt;0,Z285&lt;&gt;0)),"","Quên chấm công"))</f>
        <v>Quên chấm công</v>
      </c>
      <c r="AD285" s="14">
        <f>IF(VLOOKUP(A285,Data_NV!$A:$I,7,0)="Không",0,IF(AND(Y285=0,Z285=0),0,IF(X285&lt;=Z285,0,ROUNDDOWN((X285-Z285)*24*60,0))))</f>
        <v>990</v>
      </c>
      <c r="AE285" s="14">
        <f>IF(VLOOKUP(A285,Data_NV!$A:$I,6,0)="Không",0,IF(Z285&lt;=X285,0,ROUNDDOWN((Z285-X285)*24*60,0)))</f>
        <v>0</v>
      </c>
      <c r="AF285" s="29">
        <f t="shared" si="22"/>
        <v>0</v>
      </c>
      <c r="AG285" s="30" t="str">
        <f>IF(AC285="","",IF(COUNTIFS($AC$3:AC285,"Quên chấm công",$S$3:S285,S285)&gt;3,"Không chấm công do vi phạm quá 3 lần",IF(COUNTIFS($AC$3:AC285,"Quên chấm công",$S$3:S285,S285)&gt;2,"Trừ toàn bộ chuyên cần tháng do vi phạm lần 3",IF(COUNTIFS($AC$3:AC285,"Quên chấm công",$S$3:S285,S285)&gt;1,"Trừ 1/2 ngày lương",50000))))</f>
        <v>Trừ toàn bộ chuyên cần tháng do vi phạm lần 3</v>
      </c>
      <c r="AH285" s="14" t="str">
        <f>IF(COUNTIFS($AF$3:AF285,"&gt;0",$S$3:S285,S285)&gt;3,"Trừ toàn bộ chuyên cần tháng","")</f>
        <v/>
      </c>
      <c r="AI285" s="14"/>
      <c r="AJ285" s="14"/>
    </row>
    <row r="286" spans="1:36" x14ac:dyDescent="0.25">
      <c r="A286" s="4" t="s">
        <v>494</v>
      </c>
      <c r="B286" s="1" t="s">
        <v>230</v>
      </c>
      <c r="C286" s="1" t="s">
        <v>20</v>
      </c>
      <c r="D286" s="1" t="s">
        <v>74</v>
      </c>
      <c r="E286" s="1" t="s">
        <v>22</v>
      </c>
      <c r="F286" s="1" t="s">
        <v>23</v>
      </c>
      <c r="G286" s="1" t="s">
        <v>12</v>
      </c>
      <c r="H286" s="12" t="s">
        <v>24</v>
      </c>
      <c r="I286" s="1" t="s">
        <v>24</v>
      </c>
      <c r="J286" s="1" t="s">
        <v>25</v>
      </c>
      <c r="K286" s="1" t="s">
        <v>25</v>
      </c>
      <c r="L286" s="1" t="s">
        <v>26</v>
      </c>
      <c r="M286" s="1" t="s">
        <v>25</v>
      </c>
      <c r="N286" s="1" t="s">
        <v>25</v>
      </c>
      <c r="O286" s="1" t="s">
        <v>25</v>
      </c>
      <c r="P286" s="1" t="s">
        <v>25</v>
      </c>
      <c r="Q286" s="1" t="s">
        <v>25</v>
      </c>
      <c r="R286" s="70" t="str">
        <f t="shared" si="20"/>
        <v>3245914</v>
      </c>
      <c r="S286" t="str">
        <f>VLOOKUP(A286,Data_NV!$A:$C,3,0)</f>
        <v xml:space="preserve"> Huỳnh Thanh Phong  </v>
      </c>
      <c r="T286" t="str">
        <f>VLOOKUP(A286,Data_NV!$A:$E,4,0)</f>
        <v>Vận Hành</v>
      </c>
      <c r="U286" s="67">
        <f>DATEVALUE(Table2[[#This Row],[Ngày]])</f>
        <v>45914</v>
      </c>
      <c r="V286" t="str">
        <f>VLOOKUP(A286,Data_NV!$A:$E,5,0)</f>
        <v>Đang làm việc</v>
      </c>
      <c r="W286" s="11">
        <f>VLOOKUP(A286,Data_NV!$A:$I,8,0)</f>
        <v>0.3125</v>
      </c>
      <c r="X286" s="11">
        <f>VLOOKUP(A286,Data_NV!$A:$I,9,0)</f>
        <v>0.6875</v>
      </c>
      <c r="Y286" s="11">
        <f>IFERROR(TIMEVALUE(Table2[[#This Row],[Vào]]),0)</f>
        <v>0</v>
      </c>
      <c r="Z286" s="11">
        <f>IFERROR(TIMEVALUE(Table2[[#This Row],[Ra]]),0)</f>
        <v>0</v>
      </c>
      <c r="AA286" t="str">
        <f t="shared" si="21"/>
        <v/>
      </c>
      <c r="AB286" s="14">
        <f t="shared" si="24"/>
        <v>0</v>
      </c>
      <c r="AC286" s="14" t="str">
        <f>IF(VLOOKUP(A286,Data_NV!$A:$I,7,0)="Không","",IF(OR(AND(Y286=0,Z286=0),AND(Y286&lt;&gt;0,Z286&lt;&gt;0)),"","Quên chấm công"))</f>
        <v/>
      </c>
      <c r="AD286" s="14">
        <f>IF(VLOOKUP(A286,Data_NV!$A:$I,7,0)="Không",0,IF(AND(Y286=0,Z286=0),0,IF(X286&lt;=Z286,0,ROUNDDOWN((X286-Z286)*24*60,0))))</f>
        <v>0</v>
      </c>
      <c r="AE286" s="14">
        <f>IF(VLOOKUP(A286,Data_NV!$A:$I,6,0)="Không",0,IF(Z286&lt;=X286,0,ROUNDDOWN((Z286-X286)*24*60,0)))</f>
        <v>0</v>
      </c>
      <c r="AF286" s="29">
        <f t="shared" si="22"/>
        <v>0</v>
      </c>
      <c r="AG286" s="30" t="str">
        <f>IF(AC286="","",IF(COUNTIFS($AC$3:AC286,"Quên chấm công",$S$3:S286,S286)&gt;3,"Không chấm công do vi phạm quá 3 lần",IF(COUNTIFS($AC$3:AC286,"Quên chấm công",$S$3:S286,S286)&gt;2,"Trừ toàn bộ chuyên cần tháng do vi phạm lần 3",IF(COUNTIFS($AC$3:AC286,"Quên chấm công",$S$3:S286,S286)&gt;1,"Trừ 1/2 ngày lương",50000))))</f>
        <v/>
      </c>
      <c r="AH286" s="14" t="str">
        <f>IF(COUNTIFS($AF$3:AF286,"&gt;0",$S$3:S286,S286)&gt;3,"Trừ toàn bộ chuyên cần tháng","")</f>
        <v/>
      </c>
      <c r="AI286" s="14"/>
      <c r="AJ286" s="14"/>
    </row>
    <row r="287" spans="1:36" x14ac:dyDescent="0.25">
      <c r="A287" s="4" t="s">
        <v>494</v>
      </c>
      <c r="B287" s="1" t="s">
        <v>230</v>
      </c>
      <c r="C287" s="1" t="s">
        <v>20</v>
      </c>
      <c r="D287" s="1" t="s">
        <v>75</v>
      </c>
      <c r="E287" s="1" t="s">
        <v>22</v>
      </c>
      <c r="F287" s="1" t="s">
        <v>23</v>
      </c>
      <c r="G287" s="1" t="s">
        <v>254</v>
      </c>
      <c r="H287" s="12" t="s">
        <v>520</v>
      </c>
      <c r="I287" s="1" t="s">
        <v>521</v>
      </c>
      <c r="J287" s="1" t="s">
        <v>25</v>
      </c>
      <c r="K287" s="1" t="s">
        <v>522</v>
      </c>
      <c r="L287" s="1" t="s">
        <v>523</v>
      </c>
      <c r="M287" s="1" t="s">
        <v>522</v>
      </c>
      <c r="N287" s="1" t="s">
        <v>25</v>
      </c>
      <c r="O287" s="1" t="s">
        <v>25</v>
      </c>
      <c r="P287" s="1" t="s">
        <v>25</v>
      </c>
      <c r="Q287" s="1" t="s">
        <v>25</v>
      </c>
      <c r="R287" s="70" t="str">
        <f t="shared" si="20"/>
        <v>3245915</v>
      </c>
      <c r="S287" t="str">
        <f>VLOOKUP(A287,Data_NV!$A:$C,3,0)</f>
        <v xml:space="preserve"> Huỳnh Thanh Phong  </v>
      </c>
      <c r="T287" t="str">
        <f>VLOOKUP(A287,Data_NV!$A:$E,4,0)</f>
        <v>Vận Hành</v>
      </c>
      <c r="U287" s="67">
        <f>DATEVALUE(Table2[[#This Row],[Ngày]])</f>
        <v>45915</v>
      </c>
      <c r="V287" t="str">
        <f>VLOOKUP(A287,Data_NV!$A:$E,5,0)</f>
        <v>Đang làm việc</v>
      </c>
      <c r="W287" s="11">
        <f>VLOOKUP(A287,Data_NV!$A:$I,8,0)</f>
        <v>0.3125</v>
      </c>
      <c r="X287" s="11">
        <f>VLOOKUP(A287,Data_NV!$A:$I,9,0)</f>
        <v>0.6875</v>
      </c>
      <c r="Y287" s="11">
        <f>IFERROR(TIMEVALUE(Table2[[#This Row],[Vào]]),0)</f>
        <v>0.30635416666666665</v>
      </c>
      <c r="Z287" s="11">
        <f>IFERROR(TIMEVALUE(Table2[[#This Row],[Ra]]),0)</f>
        <v>0.69435185185185189</v>
      </c>
      <c r="AA287" t="str">
        <f t="shared" si="21"/>
        <v>x</v>
      </c>
      <c r="AB287" s="14">
        <f t="shared" si="24"/>
        <v>0</v>
      </c>
      <c r="AC287" s="14" t="str">
        <f>IF(VLOOKUP(A287,Data_NV!$A:$I,7,0)="Không","",IF(OR(AND(Y287=0,Z287=0),AND(Y287&lt;&gt;0,Z287&lt;&gt;0)),"","Quên chấm công"))</f>
        <v/>
      </c>
      <c r="AD287" s="14">
        <f>IF(VLOOKUP(A287,Data_NV!$A:$I,7,0)="Không",0,IF(AND(Y287=0,Z287=0),0,IF(X287&lt;=Z287,0,ROUNDDOWN((X287-Z287)*24*60,0))))</f>
        <v>0</v>
      </c>
      <c r="AE287" s="14">
        <f>IF(VLOOKUP(A287,Data_NV!$A:$I,6,0)="Không",0,IF(Z287&lt;=X287,0,ROUNDDOWN((Z287-X287)*24*60,0)))</f>
        <v>9</v>
      </c>
      <c r="AF287" s="29">
        <f t="shared" si="22"/>
        <v>0</v>
      </c>
      <c r="AG287" s="30" t="str">
        <f>IF(AC287="","",IF(COUNTIFS($AC$3:AC287,"Quên chấm công",$S$3:S287,S287)&gt;3,"Không chấm công do vi phạm quá 3 lần",IF(COUNTIFS($AC$3:AC287,"Quên chấm công",$S$3:S287,S287)&gt;2,"Trừ toàn bộ chuyên cần tháng do vi phạm lần 3",IF(COUNTIFS($AC$3:AC287,"Quên chấm công",$S$3:S287,S287)&gt;1,"Trừ 1/2 ngày lương",50000))))</f>
        <v/>
      </c>
      <c r="AH287" s="14" t="str">
        <f>IF(COUNTIFS($AF$3:AF287,"&gt;0",$S$3:S287,S287)&gt;3,"Trừ toàn bộ chuyên cần tháng","")</f>
        <v/>
      </c>
      <c r="AI287" s="14"/>
      <c r="AJ287" s="14"/>
    </row>
    <row r="288" spans="1:36" x14ac:dyDescent="0.25">
      <c r="A288" s="4" t="s">
        <v>494</v>
      </c>
      <c r="B288" s="1" t="s">
        <v>230</v>
      </c>
      <c r="C288" s="1" t="s">
        <v>20</v>
      </c>
      <c r="D288" s="1" t="s">
        <v>80</v>
      </c>
      <c r="E288" s="1" t="s">
        <v>22</v>
      </c>
      <c r="F288" s="1" t="s">
        <v>23</v>
      </c>
      <c r="G288" s="1" t="s">
        <v>12</v>
      </c>
      <c r="H288" s="12" t="s">
        <v>524</v>
      </c>
      <c r="I288" s="1" t="s">
        <v>24</v>
      </c>
      <c r="J288" s="1" t="s">
        <v>25</v>
      </c>
      <c r="K288" s="1" t="s">
        <v>25</v>
      </c>
      <c r="L288" s="1" t="s">
        <v>26</v>
      </c>
      <c r="M288" s="1" t="s">
        <v>25</v>
      </c>
      <c r="N288" s="1" t="s">
        <v>25</v>
      </c>
      <c r="O288" s="1" t="s">
        <v>25</v>
      </c>
      <c r="P288" s="1" t="s">
        <v>25</v>
      </c>
      <c r="Q288" s="1" t="s">
        <v>25</v>
      </c>
      <c r="R288" s="70" t="str">
        <f t="shared" si="20"/>
        <v>3245916</v>
      </c>
      <c r="S288" t="str">
        <f>VLOOKUP(A288,Data_NV!$A:$C,3,0)</f>
        <v xml:space="preserve"> Huỳnh Thanh Phong  </v>
      </c>
      <c r="T288" t="str">
        <f>VLOOKUP(A288,Data_NV!$A:$E,4,0)</f>
        <v>Vận Hành</v>
      </c>
      <c r="U288" s="67">
        <f>DATEVALUE(Table2[[#This Row],[Ngày]])</f>
        <v>45916</v>
      </c>
      <c r="V288" t="str">
        <f>VLOOKUP(A288,Data_NV!$A:$E,5,0)</f>
        <v>Đang làm việc</v>
      </c>
      <c r="W288" s="11">
        <f>VLOOKUP(A288,Data_NV!$A:$I,8,0)</f>
        <v>0.3125</v>
      </c>
      <c r="X288" s="11">
        <f>VLOOKUP(A288,Data_NV!$A:$I,9,0)</f>
        <v>0.6875</v>
      </c>
      <c r="Y288" s="11">
        <f>IFERROR(TIMEVALUE(Table2[[#This Row],[Vào]]),0)</f>
        <v>0.30585648148148148</v>
      </c>
      <c r="Z288" s="11">
        <f>IFERROR(TIMEVALUE(Table2[[#This Row],[Ra]]),0)</f>
        <v>0</v>
      </c>
      <c r="AA288" t="str">
        <f t="shared" si="21"/>
        <v/>
      </c>
      <c r="AB288" s="14">
        <f t="shared" si="24"/>
        <v>0</v>
      </c>
      <c r="AC288" s="14" t="str">
        <f>IF(VLOOKUP(A288,Data_NV!$A:$I,7,0)="Không","",IF(OR(AND(Y288=0,Z288=0),AND(Y288&lt;&gt;0,Z288&lt;&gt;0)),"","Quên chấm công"))</f>
        <v>Quên chấm công</v>
      </c>
      <c r="AD288" s="14">
        <f>IF(VLOOKUP(A288,Data_NV!$A:$I,7,0)="Không",0,IF(AND(Y288=0,Z288=0),0,IF(X288&lt;=Z288,0,ROUNDDOWN((X288-Z288)*24*60,0))))</f>
        <v>990</v>
      </c>
      <c r="AE288" s="14">
        <f>IF(VLOOKUP(A288,Data_NV!$A:$I,6,0)="Không",0,IF(Z288&lt;=X288,0,ROUNDDOWN((Z288-X288)*24*60,0)))</f>
        <v>0</v>
      </c>
      <c r="AF288" s="29">
        <f t="shared" si="22"/>
        <v>0</v>
      </c>
      <c r="AG288" s="30" t="str">
        <f>IF(AC288="","",IF(COUNTIFS($AC$3:AC288,"Quên chấm công",$S$3:S288,S288)&gt;3,"Không chấm công do vi phạm quá 3 lần",IF(COUNTIFS($AC$3:AC288,"Quên chấm công",$S$3:S288,S288)&gt;2,"Trừ toàn bộ chuyên cần tháng do vi phạm lần 3",IF(COUNTIFS($AC$3:AC288,"Quên chấm công",$S$3:S288,S288)&gt;1,"Trừ 1/2 ngày lương",50000))))</f>
        <v>Không chấm công do vi phạm quá 3 lần</v>
      </c>
      <c r="AH288" s="14" t="str">
        <f>IF(COUNTIFS($AF$3:AF288,"&gt;0",$S$3:S288,S288)&gt;3,"Trừ toàn bộ chuyên cần tháng","")</f>
        <v/>
      </c>
      <c r="AI288" s="14"/>
      <c r="AJ288" s="14"/>
    </row>
    <row r="289" spans="1:36" x14ac:dyDescent="0.25">
      <c r="A289" s="4" t="s">
        <v>494</v>
      </c>
      <c r="B289" s="1" t="s">
        <v>230</v>
      </c>
      <c r="C289" s="1" t="s">
        <v>20</v>
      </c>
      <c r="D289" s="1" t="s">
        <v>85</v>
      </c>
      <c r="E289" s="1" t="s">
        <v>22</v>
      </c>
      <c r="F289" s="1" t="s">
        <v>23</v>
      </c>
      <c r="G289" s="1" t="s">
        <v>254</v>
      </c>
      <c r="H289" s="12" t="s">
        <v>525</v>
      </c>
      <c r="I289" s="1" t="s">
        <v>526</v>
      </c>
      <c r="J289" s="1" t="s">
        <v>25</v>
      </c>
      <c r="K289" s="1" t="s">
        <v>527</v>
      </c>
      <c r="L289" s="1" t="s">
        <v>528</v>
      </c>
      <c r="M289" s="1" t="s">
        <v>527</v>
      </c>
      <c r="N289" s="1" t="s">
        <v>25</v>
      </c>
      <c r="O289" s="1" t="s">
        <v>25</v>
      </c>
      <c r="P289" s="1" t="s">
        <v>25</v>
      </c>
      <c r="Q289" s="1" t="s">
        <v>25</v>
      </c>
      <c r="R289" s="70" t="str">
        <f t="shared" si="20"/>
        <v>3245917</v>
      </c>
      <c r="S289" t="str">
        <f>VLOOKUP(A289,Data_NV!$A:$C,3,0)</f>
        <v xml:space="preserve"> Huỳnh Thanh Phong  </v>
      </c>
      <c r="T289" t="str">
        <f>VLOOKUP(A289,Data_NV!$A:$E,4,0)</f>
        <v>Vận Hành</v>
      </c>
      <c r="U289" s="67">
        <f>DATEVALUE(Table2[[#This Row],[Ngày]])</f>
        <v>45917</v>
      </c>
      <c r="V289" t="str">
        <f>VLOOKUP(A289,Data_NV!$A:$E,5,0)</f>
        <v>Đang làm việc</v>
      </c>
      <c r="W289" s="11">
        <f>VLOOKUP(A289,Data_NV!$A:$I,8,0)</f>
        <v>0.3125</v>
      </c>
      <c r="X289" s="11">
        <f>VLOOKUP(A289,Data_NV!$A:$I,9,0)</f>
        <v>0.6875</v>
      </c>
      <c r="Y289" s="11">
        <f>IFERROR(TIMEVALUE(Table2[[#This Row],[Vào]]),0)</f>
        <v>0.30672453703703706</v>
      </c>
      <c r="Z289" s="11">
        <f>IFERROR(TIMEVALUE(Table2[[#This Row],[Ra]]),0)</f>
        <v>0.68790509259259258</v>
      </c>
      <c r="AA289" t="str">
        <f t="shared" si="21"/>
        <v>x</v>
      </c>
      <c r="AB289" s="14">
        <f t="shared" si="24"/>
        <v>0</v>
      </c>
      <c r="AC289" s="14" t="str">
        <f>IF(VLOOKUP(A289,Data_NV!$A:$I,7,0)="Không","",IF(OR(AND(Y289=0,Z289=0),AND(Y289&lt;&gt;0,Z289&lt;&gt;0)),"","Quên chấm công"))</f>
        <v/>
      </c>
      <c r="AD289" s="14">
        <f>IF(VLOOKUP(A289,Data_NV!$A:$I,7,0)="Không",0,IF(AND(Y289=0,Z289=0),0,IF(X289&lt;=Z289,0,ROUNDDOWN((X289-Z289)*24*60,0))))</f>
        <v>0</v>
      </c>
      <c r="AE289" s="14">
        <f>IF(VLOOKUP(A289,Data_NV!$A:$I,6,0)="Không",0,IF(Z289&lt;=X289,0,ROUNDDOWN((Z289-X289)*24*60,0)))</f>
        <v>0</v>
      </c>
      <c r="AF289" s="29">
        <f t="shared" si="22"/>
        <v>0</v>
      </c>
      <c r="AG289" s="30" t="str">
        <f>IF(AC289="","",IF(COUNTIFS($AC$3:AC289,"Quên chấm công",$S$3:S289,S289)&gt;3,"Không chấm công do vi phạm quá 3 lần",IF(COUNTIFS($AC$3:AC289,"Quên chấm công",$S$3:S289,S289)&gt;2,"Trừ toàn bộ chuyên cần tháng do vi phạm lần 3",IF(COUNTIFS($AC$3:AC289,"Quên chấm công",$S$3:S289,S289)&gt;1,"Trừ 1/2 ngày lương",50000))))</f>
        <v/>
      </c>
      <c r="AH289" s="14" t="str">
        <f>IF(COUNTIFS($AF$3:AF289,"&gt;0",$S$3:S289,S289)&gt;3,"Trừ toàn bộ chuyên cần tháng","")</f>
        <v/>
      </c>
      <c r="AI289" s="14"/>
      <c r="AJ289" s="14"/>
    </row>
    <row r="290" spans="1:36" x14ac:dyDescent="0.25">
      <c r="A290" s="4" t="s">
        <v>494</v>
      </c>
      <c r="B290" s="1" t="s">
        <v>230</v>
      </c>
      <c r="C290" s="1" t="s">
        <v>20</v>
      </c>
      <c r="D290" s="1" t="s">
        <v>90</v>
      </c>
      <c r="E290" s="1" t="s">
        <v>22</v>
      </c>
      <c r="F290" s="1" t="s">
        <v>23</v>
      </c>
      <c r="G290" s="1" t="s">
        <v>254</v>
      </c>
      <c r="H290" s="12" t="s">
        <v>529</v>
      </c>
      <c r="I290" s="1" t="s">
        <v>530</v>
      </c>
      <c r="J290" s="1" t="s">
        <v>25</v>
      </c>
      <c r="K290" s="1" t="s">
        <v>531</v>
      </c>
      <c r="L290" s="1" t="s">
        <v>316</v>
      </c>
      <c r="M290" s="1" t="s">
        <v>531</v>
      </c>
      <c r="N290" s="1" t="s">
        <v>25</v>
      </c>
      <c r="O290" s="1" t="s">
        <v>25</v>
      </c>
      <c r="P290" s="1" t="s">
        <v>25</v>
      </c>
      <c r="Q290" s="1" t="s">
        <v>25</v>
      </c>
      <c r="R290" s="70" t="str">
        <f t="shared" si="20"/>
        <v>3245918</v>
      </c>
      <c r="S290" t="str">
        <f>VLOOKUP(A290,Data_NV!$A:$C,3,0)</f>
        <v xml:space="preserve"> Huỳnh Thanh Phong  </v>
      </c>
      <c r="T290" t="str">
        <f>VLOOKUP(A290,Data_NV!$A:$E,4,0)</f>
        <v>Vận Hành</v>
      </c>
      <c r="U290" s="67">
        <f>DATEVALUE(Table2[[#This Row],[Ngày]])</f>
        <v>45918</v>
      </c>
      <c r="V290" t="str">
        <f>VLOOKUP(A290,Data_NV!$A:$E,5,0)</f>
        <v>Đang làm việc</v>
      </c>
      <c r="W290" s="11">
        <f>VLOOKUP(A290,Data_NV!$A:$I,8,0)</f>
        <v>0.3125</v>
      </c>
      <c r="X290" s="11">
        <f>VLOOKUP(A290,Data_NV!$A:$I,9,0)</f>
        <v>0.6875</v>
      </c>
      <c r="Y290" s="11">
        <f>IFERROR(TIMEVALUE(Table2[[#This Row],[Vào]]),0)</f>
        <v>0.30548611111111112</v>
      </c>
      <c r="Z290" s="11">
        <f>IFERROR(TIMEVALUE(Table2[[#This Row],[Ra]]),0)</f>
        <v>0.69</v>
      </c>
      <c r="AA290" t="str">
        <f t="shared" si="21"/>
        <v>x</v>
      </c>
      <c r="AB290" s="14">
        <f t="shared" si="24"/>
        <v>0</v>
      </c>
      <c r="AC290" s="14" t="str">
        <f>IF(VLOOKUP(A290,Data_NV!$A:$I,7,0)="Không","",IF(OR(AND(Y290=0,Z290=0),AND(Y290&lt;&gt;0,Z290&lt;&gt;0)),"","Quên chấm công"))</f>
        <v/>
      </c>
      <c r="AD290" s="14">
        <f>IF(VLOOKUP(A290,Data_NV!$A:$I,7,0)="Không",0,IF(AND(Y290=0,Z290=0),0,IF(X290&lt;=Z290,0,ROUNDDOWN((X290-Z290)*24*60,0))))</f>
        <v>0</v>
      </c>
      <c r="AE290" s="14">
        <f>IF(VLOOKUP(A290,Data_NV!$A:$I,6,0)="Không",0,IF(Z290&lt;=X290,0,ROUNDDOWN((Z290-X290)*24*60,0)))</f>
        <v>3</v>
      </c>
      <c r="AF290" s="29">
        <f t="shared" si="22"/>
        <v>0</v>
      </c>
      <c r="AG290" s="30" t="str">
        <f>IF(AC290="","",IF(COUNTIFS($AC$3:AC290,"Quên chấm công",$S$3:S290,S290)&gt;3,"Không chấm công do vi phạm quá 3 lần",IF(COUNTIFS($AC$3:AC290,"Quên chấm công",$S$3:S290,S290)&gt;2,"Trừ toàn bộ chuyên cần tháng do vi phạm lần 3",IF(COUNTIFS($AC$3:AC290,"Quên chấm công",$S$3:S290,S290)&gt;1,"Trừ 1/2 ngày lương",50000))))</f>
        <v/>
      </c>
      <c r="AH290" s="14" t="str">
        <f>IF(COUNTIFS($AF$3:AF290,"&gt;0",$S$3:S290,S290)&gt;3,"Trừ toàn bộ chuyên cần tháng","")</f>
        <v/>
      </c>
      <c r="AI290" s="14"/>
      <c r="AJ290" s="14"/>
    </row>
    <row r="291" spans="1:36" x14ac:dyDescent="0.25">
      <c r="A291" s="4" t="s">
        <v>494</v>
      </c>
      <c r="B291" s="1" t="s">
        <v>230</v>
      </c>
      <c r="C291" s="1" t="s">
        <v>20</v>
      </c>
      <c r="D291" s="1" t="s">
        <v>95</v>
      </c>
      <c r="E291" s="1" t="s">
        <v>22</v>
      </c>
      <c r="F291" s="1" t="s">
        <v>23</v>
      </c>
      <c r="G291" s="1" t="s">
        <v>12</v>
      </c>
      <c r="H291" s="12" t="s">
        <v>532</v>
      </c>
      <c r="I291" s="1" t="s">
        <v>24</v>
      </c>
      <c r="J291" s="1" t="s">
        <v>25</v>
      </c>
      <c r="K291" s="1" t="s">
        <v>25</v>
      </c>
      <c r="L291" s="1" t="s">
        <v>26</v>
      </c>
      <c r="M291" s="1" t="s">
        <v>25</v>
      </c>
      <c r="N291" s="1" t="s">
        <v>25</v>
      </c>
      <c r="O291" s="1" t="s">
        <v>25</v>
      </c>
      <c r="P291" s="1" t="s">
        <v>25</v>
      </c>
      <c r="Q291" s="1" t="s">
        <v>25</v>
      </c>
      <c r="R291" s="70" t="str">
        <f t="shared" si="20"/>
        <v>3245919</v>
      </c>
      <c r="S291" t="str">
        <f>VLOOKUP(A291,Data_NV!$A:$C,3,0)</f>
        <v xml:space="preserve"> Huỳnh Thanh Phong  </v>
      </c>
      <c r="T291" t="str">
        <f>VLOOKUP(A291,Data_NV!$A:$E,4,0)</f>
        <v>Vận Hành</v>
      </c>
      <c r="U291" s="67">
        <f>DATEVALUE(Table2[[#This Row],[Ngày]])</f>
        <v>45919</v>
      </c>
      <c r="V291" t="str">
        <f>VLOOKUP(A291,Data_NV!$A:$E,5,0)</f>
        <v>Đang làm việc</v>
      </c>
      <c r="W291" s="11">
        <f>VLOOKUP(A291,Data_NV!$A:$I,8,0)</f>
        <v>0.3125</v>
      </c>
      <c r="X291" s="11">
        <f>VLOOKUP(A291,Data_NV!$A:$I,9,0)</f>
        <v>0.6875</v>
      </c>
      <c r="Y291" s="11">
        <f>IFERROR(TIMEVALUE(Table2[[#This Row],[Vào]]),0)</f>
        <v>0.3009027777777778</v>
      </c>
      <c r="Z291" s="11">
        <f>IFERROR(TIMEVALUE(Table2[[#This Row],[Ra]]),0)</f>
        <v>0</v>
      </c>
      <c r="AA291" t="str">
        <f t="shared" si="21"/>
        <v/>
      </c>
      <c r="AB291" s="14">
        <f t="shared" ref="AB291:AB302" si="25">IF(Y291&lt;=W291,0,ROUNDDOWN((Y291-W291)*24*60,0))</f>
        <v>0</v>
      </c>
      <c r="AC291" s="14" t="str">
        <f>IF(VLOOKUP(A291,Data_NV!$A:$I,7,0)="Không","",IF(OR(AND(Y291=0,Z291=0),AND(Y291&lt;&gt;0,Z291&lt;&gt;0)),"","Quên chấm công"))</f>
        <v>Quên chấm công</v>
      </c>
      <c r="AD291" s="14">
        <f>IF(VLOOKUP(A291,Data_NV!$A:$I,7,0)="Không",0,IF(AND(Y291=0,Z291=0),0,IF(X291&lt;=Z291,0,ROUNDDOWN((X291-Z291)*24*60,0))))</f>
        <v>990</v>
      </c>
      <c r="AE291" s="14">
        <f>IF(VLOOKUP(A291,Data_NV!$A:$I,6,0)="Không",0,IF(Z291&lt;=X291,0,ROUNDDOWN((Z291-X291)*24*60,0)))</f>
        <v>0</v>
      </c>
      <c r="AF291" s="29">
        <f t="shared" si="22"/>
        <v>0</v>
      </c>
      <c r="AG291" s="30" t="str">
        <f>IF(AC291="","",IF(COUNTIFS($AC$3:AC291,"Quên chấm công",$S$3:S291,S291)&gt;3,"Không chấm công do vi phạm quá 3 lần",IF(COUNTIFS($AC$3:AC291,"Quên chấm công",$S$3:S291,S291)&gt;2,"Trừ toàn bộ chuyên cần tháng do vi phạm lần 3",IF(COUNTIFS($AC$3:AC291,"Quên chấm công",$S$3:S291,S291)&gt;1,"Trừ 1/2 ngày lương",50000))))</f>
        <v>Không chấm công do vi phạm quá 3 lần</v>
      </c>
      <c r="AH291" s="14" t="str">
        <f>IF(COUNTIFS($AF$3:AF291,"&gt;0",$S$3:S291,S291)&gt;3,"Trừ toàn bộ chuyên cần tháng","")</f>
        <v/>
      </c>
      <c r="AI291" s="14"/>
      <c r="AJ291" s="14"/>
    </row>
    <row r="292" spans="1:36" x14ac:dyDescent="0.25">
      <c r="A292" s="4" t="s">
        <v>494</v>
      </c>
      <c r="B292" s="1" t="s">
        <v>230</v>
      </c>
      <c r="C292" s="1" t="s">
        <v>20</v>
      </c>
      <c r="D292" s="1" t="s">
        <v>100</v>
      </c>
      <c r="E292" s="1" t="s">
        <v>22</v>
      </c>
      <c r="F292" s="1" t="s">
        <v>23</v>
      </c>
      <c r="G292" s="1" t="s">
        <v>254</v>
      </c>
      <c r="H292" s="12" t="s">
        <v>533</v>
      </c>
      <c r="I292" s="1" t="s">
        <v>534</v>
      </c>
      <c r="J292" s="1" t="s">
        <v>25</v>
      </c>
      <c r="K292" s="1" t="s">
        <v>535</v>
      </c>
      <c r="L292" s="1" t="s">
        <v>536</v>
      </c>
      <c r="M292" s="1" t="s">
        <v>535</v>
      </c>
      <c r="N292" s="1" t="s">
        <v>25</v>
      </c>
      <c r="O292" s="1" t="s">
        <v>25</v>
      </c>
      <c r="P292" s="1" t="s">
        <v>25</v>
      </c>
      <c r="Q292" s="1" t="s">
        <v>25</v>
      </c>
      <c r="R292" s="70" t="str">
        <f t="shared" si="20"/>
        <v>3245920</v>
      </c>
      <c r="S292" t="str">
        <f>VLOOKUP(A292,Data_NV!$A:$C,3,0)</f>
        <v xml:space="preserve"> Huỳnh Thanh Phong  </v>
      </c>
      <c r="T292" t="str">
        <f>VLOOKUP(A292,Data_NV!$A:$E,4,0)</f>
        <v>Vận Hành</v>
      </c>
      <c r="U292" s="67">
        <f>DATEVALUE(Table2[[#This Row],[Ngày]])</f>
        <v>45920</v>
      </c>
      <c r="V292" t="str">
        <f>VLOOKUP(A292,Data_NV!$A:$E,5,0)</f>
        <v>Đang làm việc</v>
      </c>
      <c r="W292" s="11">
        <f>VLOOKUP(A292,Data_NV!$A:$I,8,0)</f>
        <v>0.3125</v>
      </c>
      <c r="X292" s="11">
        <f>VLOOKUP(A292,Data_NV!$A:$I,9,0)</f>
        <v>0.6875</v>
      </c>
      <c r="Y292" s="11">
        <f>IFERROR(TIMEVALUE(Table2[[#This Row],[Vào]]),0)</f>
        <v>0.30461805555555554</v>
      </c>
      <c r="Z292" s="11">
        <f>IFERROR(TIMEVALUE(Table2[[#This Row],[Ra]]),0)</f>
        <v>0.68865740740740744</v>
      </c>
      <c r="AA292" t="str">
        <f t="shared" si="21"/>
        <v>x</v>
      </c>
      <c r="AB292" s="14">
        <f t="shared" si="25"/>
        <v>0</v>
      </c>
      <c r="AC292" s="14" t="str">
        <f>IF(VLOOKUP(A292,Data_NV!$A:$I,7,0)="Không","",IF(OR(AND(Y292=0,Z292=0),AND(Y292&lt;&gt;0,Z292&lt;&gt;0)),"","Quên chấm công"))</f>
        <v/>
      </c>
      <c r="AD292" s="14">
        <f>IF(VLOOKUP(A292,Data_NV!$A:$I,7,0)="Không",0,IF(AND(Y292=0,Z292=0),0,IF(X292&lt;=Z292,0,ROUNDDOWN((X292-Z292)*24*60,0))))</f>
        <v>0</v>
      </c>
      <c r="AE292" s="14">
        <f>IF(VLOOKUP(A292,Data_NV!$A:$I,6,0)="Không",0,IF(Z292&lt;=X292,0,ROUNDDOWN((Z292-X292)*24*60,0)))</f>
        <v>1</v>
      </c>
      <c r="AF292" s="29">
        <f t="shared" si="22"/>
        <v>0</v>
      </c>
      <c r="AG292" s="30" t="str">
        <f>IF(AC292="","",IF(COUNTIFS($AC$3:AC292,"Quên chấm công",$S$3:S292,S292)&gt;3,"Không chấm công do vi phạm quá 3 lần",IF(COUNTIFS($AC$3:AC292,"Quên chấm công",$S$3:S292,S292)&gt;2,"Trừ toàn bộ chuyên cần tháng do vi phạm lần 3",IF(COUNTIFS($AC$3:AC292,"Quên chấm công",$S$3:S292,S292)&gt;1,"Trừ 1/2 ngày lương",50000))))</f>
        <v/>
      </c>
      <c r="AH292" s="14" t="str">
        <f>IF(COUNTIFS($AF$3:AF292,"&gt;0",$S$3:S292,S292)&gt;3,"Trừ toàn bộ chuyên cần tháng","")</f>
        <v/>
      </c>
      <c r="AI292" s="14"/>
      <c r="AJ292" s="14"/>
    </row>
    <row r="293" spans="1:36" x14ac:dyDescent="0.25">
      <c r="A293" s="4" t="s">
        <v>494</v>
      </c>
      <c r="B293" s="1" t="s">
        <v>230</v>
      </c>
      <c r="C293" s="1" t="s">
        <v>20</v>
      </c>
      <c r="D293" s="1" t="s">
        <v>105</v>
      </c>
      <c r="E293" s="1" t="s">
        <v>22</v>
      </c>
      <c r="F293" s="1" t="s">
        <v>23</v>
      </c>
      <c r="G293" s="1" t="s">
        <v>12</v>
      </c>
      <c r="H293" s="12" t="s">
        <v>24</v>
      </c>
      <c r="I293" s="1" t="s">
        <v>24</v>
      </c>
      <c r="J293" s="1" t="s">
        <v>25</v>
      </c>
      <c r="K293" s="1" t="s">
        <v>25</v>
      </c>
      <c r="L293" s="1" t="s">
        <v>26</v>
      </c>
      <c r="M293" s="1" t="s">
        <v>25</v>
      </c>
      <c r="N293" s="1" t="s">
        <v>25</v>
      </c>
      <c r="O293" s="1" t="s">
        <v>25</v>
      </c>
      <c r="P293" s="1" t="s">
        <v>25</v>
      </c>
      <c r="Q293" s="1" t="s">
        <v>25</v>
      </c>
      <c r="R293" s="70" t="str">
        <f t="shared" si="20"/>
        <v>3245921</v>
      </c>
      <c r="S293" t="str">
        <f>VLOOKUP(A293,Data_NV!$A:$C,3,0)</f>
        <v xml:space="preserve"> Huỳnh Thanh Phong  </v>
      </c>
      <c r="T293" t="str">
        <f>VLOOKUP(A293,Data_NV!$A:$E,4,0)</f>
        <v>Vận Hành</v>
      </c>
      <c r="U293" s="67">
        <f>DATEVALUE(Table2[[#This Row],[Ngày]])</f>
        <v>45921</v>
      </c>
      <c r="V293" t="str">
        <f>VLOOKUP(A293,Data_NV!$A:$E,5,0)</f>
        <v>Đang làm việc</v>
      </c>
      <c r="W293" s="11">
        <f>VLOOKUP(A293,Data_NV!$A:$I,8,0)</f>
        <v>0.3125</v>
      </c>
      <c r="X293" s="11">
        <f>VLOOKUP(A293,Data_NV!$A:$I,9,0)</f>
        <v>0.6875</v>
      </c>
      <c r="Y293" s="11">
        <f>IFERROR(TIMEVALUE(Table2[[#This Row],[Vào]]),0)</f>
        <v>0</v>
      </c>
      <c r="Z293" s="11">
        <f>IFERROR(TIMEVALUE(Table2[[#This Row],[Ra]]),0)</f>
        <v>0</v>
      </c>
      <c r="AA293" t="str">
        <f t="shared" si="21"/>
        <v/>
      </c>
      <c r="AB293" s="14">
        <f t="shared" si="25"/>
        <v>0</v>
      </c>
      <c r="AC293" s="14" t="str">
        <f>IF(VLOOKUP(A293,Data_NV!$A:$I,7,0)="Không","",IF(OR(AND(Y293=0,Z293=0),AND(Y293&lt;&gt;0,Z293&lt;&gt;0)),"","Quên chấm công"))</f>
        <v/>
      </c>
      <c r="AD293" s="14">
        <f>IF(VLOOKUP(A293,Data_NV!$A:$I,7,0)="Không",0,IF(AND(Y293=0,Z293=0),0,IF(X293&lt;=Z293,0,ROUNDDOWN((X293-Z293)*24*60,0))))</f>
        <v>0</v>
      </c>
      <c r="AE293" s="14">
        <f>IF(VLOOKUP(A293,Data_NV!$A:$I,6,0)="Không",0,IF(Z293&lt;=X293,0,ROUNDDOWN((Z293-X293)*24*60,0)))</f>
        <v>0</v>
      </c>
      <c r="AF293" s="29">
        <f t="shared" si="22"/>
        <v>0</v>
      </c>
      <c r="AG293" s="30" t="str">
        <f>IF(AC293="","",IF(COUNTIFS($AC$3:AC293,"Quên chấm công",$S$3:S293,S293)&gt;3,"Không chấm công do vi phạm quá 3 lần",IF(COUNTIFS($AC$3:AC293,"Quên chấm công",$S$3:S293,S293)&gt;2,"Trừ toàn bộ chuyên cần tháng do vi phạm lần 3",IF(COUNTIFS($AC$3:AC293,"Quên chấm công",$S$3:S293,S293)&gt;1,"Trừ 1/2 ngày lương",50000))))</f>
        <v/>
      </c>
      <c r="AH293" s="14" t="str">
        <f>IF(COUNTIFS($AF$3:AF293,"&gt;0",$S$3:S293,S293)&gt;3,"Trừ toàn bộ chuyên cần tháng","")</f>
        <v/>
      </c>
      <c r="AI293" s="14"/>
      <c r="AJ293" s="14"/>
    </row>
    <row r="294" spans="1:36" x14ac:dyDescent="0.25">
      <c r="A294" s="4" t="s">
        <v>494</v>
      </c>
      <c r="B294" s="1" t="s">
        <v>230</v>
      </c>
      <c r="C294" s="1" t="s">
        <v>20</v>
      </c>
      <c r="D294" s="1" t="s">
        <v>106</v>
      </c>
      <c r="E294" s="1" t="s">
        <v>22</v>
      </c>
      <c r="F294" s="1" t="s">
        <v>23</v>
      </c>
      <c r="G294" s="1" t="s">
        <v>29</v>
      </c>
      <c r="H294" s="12" t="s">
        <v>537</v>
      </c>
      <c r="I294" s="1" t="s">
        <v>538</v>
      </c>
      <c r="J294" s="1" t="s">
        <v>25</v>
      </c>
      <c r="K294" s="1" t="s">
        <v>539</v>
      </c>
      <c r="L294" s="1" t="s">
        <v>25</v>
      </c>
      <c r="M294" s="1" t="s">
        <v>26</v>
      </c>
      <c r="N294" s="1" t="s">
        <v>25</v>
      </c>
      <c r="O294" s="1" t="s">
        <v>34</v>
      </c>
      <c r="P294" s="1" t="s">
        <v>25</v>
      </c>
      <c r="Q294" s="1" t="s">
        <v>25</v>
      </c>
      <c r="R294" s="70" t="str">
        <f t="shared" si="20"/>
        <v>3245922</v>
      </c>
      <c r="S294" t="str">
        <f>VLOOKUP(A294,Data_NV!$A:$C,3,0)</f>
        <v xml:space="preserve"> Huỳnh Thanh Phong  </v>
      </c>
      <c r="T294" t="str">
        <f>VLOOKUP(A294,Data_NV!$A:$E,4,0)</f>
        <v>Vận Hành</v>
      </c>
      <c r="U294" s="67">
        <f>DATEVALUE(Table2[[#This Row],[Ngày]])</f>
        <v>45922</v>
      </c>
      <c r="V294" t="str">
        <f>VLOOKUP(A294,Data_NV!$A:$E,5,0)</f>
        <v>Đang làm việc</v>
      </c>
      <c r="W294" s="11">
        <f>VLOOKUP(A294,Data_NV!$A:$I,8,0)</f>
        <v>0.3125</v>
      </c>
      <c r="X294" s="11">
        <f>VLOOKUP(A294,Data_NV!$A:$I,9,0)</f>
        <v>0.6875</v>
      </c>
      <c r="Y294" s="11">
        <f>IFERROR(TIMEVALUE(Table2[[#This Row],[Vào]]),0)</f>
        <v>0.31017361111111114</v>
      </c>
      <c r="Z294" s="11">
        <f>IFERROR(TIMEVALUE(Table2[[#This Row],[Ra]]),0)</f>
        <v>0.73646990740740736</v>
      </c>
      <c r="AA294" t="str">
        <f t="shared" si="21"/>
        <v>x</v>
      </c>
      <c r="AB294" s="14">
        <f t="shared" si="25"/>
        <v>0</v>
      </c>
      <c r="AC294" s="14" t="str">
        <f>IF(VLOOKUP(A294,Data_NV!$A:$I,7,0)="Không","",IF(OR(AND(Y294=0,Z294=0),AND(Y294&lt;&gt;0,Z294&lt;&gt;0)),"","Quên chấm công"))</f>
        <v/>
      </c>
      <c r="AD294" s="14">
        <f>IF(VLOOKUP(A294,Data_NV!$A:$I,7,0)="Không",0,IF(AND(Y294=0,Z294=0),0,IF(X294&lt;=Z294,0,ROUNDDOWN((X294-Z294)*24*60,0))))</f>
        <v>0</v>
      </c>
      <c r="AE294" s="14">
        <f>IF(VLOOKUP(A294,Data_NV!$A:$I,6,0)="Không",0,IF(Z294&lt;=X294,0,ROUNDDOWN((Z294-X294)*24*60,0)))</f>
        <v>70</v>
      </c>
      <c r="AF294" s="29">
        <f t="shared" si="22"/>
        <v>0</v>
      </c>
      <c r="AG294" s="30" t="str">
        <f>IF(AC294="","",IF(COUNTIFS($AC$3:AC294,"Quên chấm công",$S$3:S294,S294)&gt;3,"Không chấm công do vi phạm quá 3 lần",IF(COUNTIFS($AC$3:AC294,"Quên chấm công",$S$3:S294,S294)&gt;2,"Trừ toàn bộ chuyên cần tháng do vi phạm lần 3",IF(COUNTIFS($AC$3:AC294,"Quên chấm công",$S$3:S294,S294)&gt;1,"Trừ 1/2 ngày lương",50000))))</f>
        <v/>
      </c>
      <c r="AH294" s="14" t="str">
        <f>IF(COUNTIFS($AF$3:AF294,"&gt;0",$S$3:S294,S294)&gt;3,"Trừ toàn bộ chuyên cần tháng","")</f>
        <v/>
      </c>
      <c r="AI294" s="14"/>
      <c r="AJ294" s="14"/>
    </row>
    <row r="295" spans="1:36" x14ac:dyDescent="0.25">
      <c r="A295" s="4" t="s">
        <v>494</v>
      </c>
      <c r="B295" s="1" t="s">
        <v>230</v>
      </c>
      <c r="C295" s="1" t="s">
        <v>20</v>
      </c>
      <c r="D295" s="1" t="s">
        <v>111</v>
      </c>
      <c r="E295" s="1" t="s">
        <v>22</v>
      </c>
      <c r="F295" s="1" t="s">
        <v>23</v>
      </c>
      <c r="G295" s="1" t="s">
        <v>254</v>
      </c>
      <c r="H295" s="12" t="s">
        <v>540</v>
      </c>
      <c r="I295" s="1" t="s">
        <v>541</v>
      </c>
      <c r="J295" s="1" t="s">
        <v>25</v>
      </c>
      <c r="K295" s="1" t="s">
        <v>542</v>
      </c>
      <c r="L295" s="1" t="s">
        <v>299</v>
      </c>
      <c r="M295" s="1" t="s">
        <v>542</v>
      </c>
      <c r="N295" s="1" t="s">
        <v>25</v>
      </c>
      <c r="O295" s="1" t="s">
        <v>25</v>
      </c>
      <c r="P295" s="1" t="s">
        <v>25</v>
      </c>
      <c r="Q295" s="1" t="s">
        <v>25</v>
      </c>
      <c r="R295" s="70" t="str">
        <f t="shared" si="20"/>
        <v>3245923</v>
      </c>
      <c r="S295" t="str">
        <f>VLOOKUP(A295,Data_NV!$A:$C,3,0)</f>
        <v xml:space="preserve"> Huỳnh Thanh Phong  </v>
      </c>
      <c r="T295" t="str">
        <f>VLOOKUP(A295,Data_NV!$A:$E,4,0)</f>
        <v>Vận Hành</v>
      </c>
      <c r="U295" s="67">
        <f>DATEVALUE(Table2[[#This Row],[Ngày]])</f>
        <v>45923</v>
      </c>
      <c r="V295" t="str">
        <f>VLOOKUP(A295,Data_NV!$A:$E,5,0)</f>
        <v>Đang làm việc</v>
      </c>
      <c r="W295" s="11">
        <f>VLOOKUP(A295,Data_NV!$A:$I,8,0)</f>
        <v>0.3125</v>
      </c>
      <c r="X295" s="11">
        <f>VLOOKUP(A295,Data_NV!$A:$I,9,0)</f>
        <v>0.6875</v>
      </c>
      <c r="Y295" s="11">
        <f>IFERROR(TIMEVALUE(Table2[[#This Row],[Vào]]),0)</f>
        <v>0.31849537037037035</v>
      </c>
      <c r="Z295" s="11">
        <f>IFERROR(TIMEVALUE(Table2[[#This Row],[Ra]]),0)</f>
        <v>0.68932870370370369</v>
      </c>
      <c r="AA295" t="str">
        <f t="shared" si="21"/>
        <v>x</v>
      </c>
      <c r="AB295" s="14">
        <f t="shared" si="25"/>
        <v>8</v>
      </c>
      <c r="AC295" s="14" t="str">
        <f>IF(VLOOKUP(A295,Data_NV!$A:$I,7,0)="Không","",IF(OR(AND(Y295=0,Z295=0),AND(Y295&lt;&gt;0,Z295&lt;&gt;0)),"","Quên chấm công"))</f>
        <v/>
      </c>
      <c r="AD295" s="14">
        <f>IF(VLOOKUP(A295,Data_NV!$A:$I,7,0)="Không",0,IF(AND(Y295=0,Z295=0),0,IF(X295&lt;=Z295,0,ROUNDDOWN((X295-Z295)*24*60,0))))</f>
        <v>0</v>
      </c>
      <c r="AE295" s="14">
        <f>IF(VLOOKUP(A295,Data_NV!$A:$I,6,0)="Không",0,IF(Z295&lt;=X295,0,ROUNDDOWN((Z295-X295)*24*60,0)))</f>
        <v>2</v>
      </c>
      <c r="AF295" s="29">
        <f t="shared" si="22"/>
        <v>30000</v>
      </c>
      <c r="AG295" s="30" t="str">
        <f>IF(AC295="","",IF(COUNTIFS($AC$3:AC295,"Quên chấm công",$S$3:S295,S295)&gt;3,"Không chấm công do vi phạm quá 3 lần",IF(COUNTIFS($AC$3:AC295,"Quên chấm công",$S$3:S295,S295)&gt;2,"Trừ toàn bộ chuyên cần tháng do vi phạm lần 3",IF(COUNTIFS($AC$3:AC295,"Quên chấm công",$S$3:S295,S295)&gt;1,"Trừ 1/2 ngày lương",50000))))</f>
        <v/>
      </c>
      <c r="AH295" s="14" t="str">
        <f>IF(COUNTIFS($AF$3:AF295,"&gt;0",$S$3:S295,S295)&gt;3,"Trừ toàn bộ chuyên cần tháng","")</f>
        <v/>
      </c>
      <c r="AI295" s="14"/>
      <c r="AJ295" s="14"/>
    </row>
    <row r="296" spans="1:36" x14ac:dyDescent="0.25">
      <c r="A296" s="4" t="s">
        <v>494</v>
      </c>
      <c r="B296" s="1" t="s">
        <v>230</v>
      </c>
      <c r="C296" s="1" t="s">
        <v>20</v>
      </c>
      <c r="D296" s="1" t="s">
        <v>116</v>
      </c>
      <c r="E296" s="1" t="s">
        <v>22</v>
      </c>
      <c r="F296" s="1" t="s">
        <v>23</v>
      </c>
      <c r="G296" s="1" t="s">
        <v>254</v>
      </c>
      <c r="H296" s="12" t="s">
        <v>543</v>
      </c>
      <c r="I296" s="1" t="s">
        <v>544</v>
      </c>
      <c r="J296" s="1" t="s">
        <v>25</v>
      </c>
      <c r="K296" s="1" t="s">
        <v>545</v>
      </c>
      <c r="L296" s="1" t="s">
        <v>546</v>
      </c>
      <c r="M296" s="1" t="s">
        <v>545</v>
      </c>
      <c r="N296" s="1" t="s">
        <v>25</v>
      </c>
      <c r="O296" s="1" t="s">
        <v>25</v>
      </c>
      <c r="P296" s="1" t="s">
        <v>25</v>
      </c>
      <c r="Q296" s="1" t="s">
        <v>25</v>
      </c>
      <c r="R296" s="70" t="str">
        <f t="shared" si="20"/>
        <v>3245924</v>
      </c>
      <c r="S296" t="str">
        <f>VLOOKUP(A296,Data_NV!$A:$C,3,0)</f>
        <v xml:space="preserve"> Huỳnh Thanh Phong  </v>
      </c>
      <c r="T296" t="str">
        <f>VLOOKUP(A296,Data_NV!$A:$E,4,0)</f>
        <v>Vận Hành</v>
      </c>
      <c r="U296" s="67">
        <f>DATEVALUE(Table2[[#This Row],[Ngày]])</f>
        <v>45924</v>
      </c>
      <c r="V296" t="str">
        <f>VLOOKUP(A296,Data_NV!$A:$E,5,0)</f>
        <v>Đang làm việc</v>
      </c>
      <c r="W296" s="11">
        <f>VLOOKUP(A296,Data_NV!$A:$I,8,0)</f>
        <v>0.3125</v>
      </c>
      <c r="X296" s="11">
        <f>VLOOKUP(A296,Data_NV!$A:$I,9,0)</f>
        <v>0.6875</v>
      </c>
      <c r="Y296" s="11">
        <f>IFERROR(TIMEVALUE(Table2[[#This Row],[Vào]]),0)</f>
        <v>0.3067361111111111</v>
      </c>
      <c r="Z296" s="11">
        <f>IFERROR(TIMEVALUE(Table2[[#This Row],[Ra]]),0)</f>
        <v>0.54943287037037036</v>
      </c>
      <c r="AA296" t="str">
        <f t="shared" si="21"/>
        <v>x</v>
      </c>
      <c r="AB296" s="14">
        <f t="shared" si="25"/>
        <v>0</v>
      </c>
      <c r="AC296" s="14" t="str">
        <f>IF(VLOOKUP(A296,Data_NV!$A:$I,7,0)="Không","",IF(OR(AND(Y296=0,Z296=0),AND(Y296&lt;&gt;0,Z296&lt;&gt;0)),"","Quên chấm công"))</f>
        <v/>
      </c>
      <c r="AD296" s="14">
        <f>IF(VLOOKUP(A296,Data_NV!$A:$I,7,0)="Không",0,IF(AND(Y296=0,Z296=0),0,IF(X296&lt;=Z296,0,ROUNDDOWN((X296-Z296)*24*60,0))))</f>
        <v>198</v>
      </c>
      <c r="AE296" s="14">
        <f>IF(VLOOKUP(A296,Data_NV!$A:$I,6,0)="Không",0,IF(Z296&lt;=X296,0,ROUNDDOWN((Z296-X296)*24*60,0)))</f>
        <v>0</v>
      </c>
      <c r="AF296" s="29">
        <f t="shared" si="22"/>
        <v>0</v>
      </c>
      <c r="AG296" s="30" t="str">
        <f>IF(AC296="","",IF(COUNTIFS($AC$3:AC296,"Quên chấm công",$S$3:S296,S296)&gt;3,"Không chấm công do vi phạm quá 3 lần",IF(COUNTIFS($AC$3:AC296,"Quên chấm công",$S$3:S296,S296)&gt;2,"Trừ toàn bộ chuyên cần tháng do vi phạm lần 3",IF(COUNTIFS($AC$3:AC296,"Quên chấm công",$S$3:S296,S296)&gt;1,"Trừ 1/2 ngày lương",50000))))</f>
        <v/>
      </c>
      <c r="AH296" s="14" t="str">
        <f>IF(COUNTIFS($AF$3:AF296,"&gt;0",$S$3:S296,S296)&gt;3,"Trừ toàn bộ chuyên cần tháng","")</f>
        <v/>
      </c>
      <c r="AI296" s="14"/>
      <c r="AJ296" s="14"/>
    </row>
    <row r="297" spans="1:36" x14ac:dyDescent="0.25">
      <c r="A297" s="4" t="s">
        <v>494</v>
      </c>
      <c r="B297" s="1" t="s">
        <v>230</v>
      </c>
      <c r="C297" s="1" t="s">
        <v>20</v>
      </c>
      <c r="D297" s="1" t="s">
        <v>121</v>
      </c>
      <c r="E297" s="1" t="s">
        <v>22</v>
      </c>
      <c r="F297" s="1" t="s">
        <v>23</v>
      </c>
      <c r="G297" s="1" t="s">
        <v>254</v>
      </c>
      <c r="H297" s="12" t="s">
        <v>547</v>
      </c>
      <c r="I297" s="1" t="s">
        <v>548</v>
      </c>
      <c r="J297" s="1" t="s">
        <v>25</v>
      </c>
      <c r="K297" s="1" t="s">
        <v>549</v>
      </c>
      <c r="L297" s="1" t="s">
        <v>62</v>
      </c>
      <c r="M297" s="1" t="s">
        <v>549</v>
      </c>
      <c r="N297" s="1" t="s">
        <v>25</v>
      </c>
      <c r="O297" s="1" t="s">
        <v>25</v>
      </c>
      <c r="P297" s="1" t="s">
        <v>25</v>
      </c>
      <c r="Q297" s="1" t="s">
        <v>25</v>
      </c>
      <c r="R297" s="70" t="str">
        <f t="shared" ref="R297:R302" si="26">A297&amp;U297</f>
        <v>3245925</v>
      </c>
      <c r="S297" t="str">
        <f>VLOOKUP(A297,Data_NV!$A:$C,3,0)</f>
        <v xml:space="preserve"> Huỳnh Thanh Phong  </v>
      </c>
      <c r="T297" t="str">
        <f>VLOOKUP(A297,Data_NV!$A:$E,4,0)</f>
        <v>Vận Hành</v>
      </c>
      <c r="U297" s="67">
        <f>DATEVALUE(Table2[[#This Row],[Ngày]])</f>
        <v>45925</v>
      </c>
      <c r="V297" t="str">
        <f>VLOOKUP(A297,Data_NV!$A:$E,5,0)</f>
        <v>Đang làm việc</v>
      </c>
      <c r="W297" s="11">
        <f>VLOOKUP(A297,Data_NV!$A:$I,8,0)</f>
        <v>0.3125</v>
      </c>
      <c r="X297" s="11">
        <f>VLOOKUP(A297,Data_NV!$A:$I,9,0)</f>
        <v>0.6875</v>
      </c>
      <c r="Y297" s="11">
        <f>IFERROR(TIMEVALUE(Table2[[#This Row],[Vào]]),0)</f>
        <v>0.30625000000000002</v>
      </c>
      <c r="Z297" s="11">
        <f>IFERROR(TIMEVALUE(Table2[[#This Row],[Ra]]),0)</f>
        <v>0.68762731481481476</v>
      </c>
      <c r="AA297" t="str">
        <f t="shared" ref="AA297:AA302" si="27">IF(OR(AND(Y297=0,Z297=0),AG297="Không chấm công do vi phạm quá 3 lần"),"",IF(OR(AG297="Trừ 1/2 ngày lương",AF297="Trừ 1/2 ngày lương",AB297&gt;=60),"1/2","x"))</f>
        <v>x</v>
      </c>
      <c r="AB297" s="14">
        <f t="shared" si="25"/>
        <v>0</v>
      </c>
      <c r="AC297" s="14" t="str">
        <f>IF(VLOOKUP(A297,Data_NV!$A:$I,7,0)="Không","",IF(OR(AND(Y297=0,Z297=0),AND(Y297&lt;&gt;0,Z297&lt;&gt;0)),"","Quên chấm công"))</f>
        <v/>
      </c>
      <c r="AD297" s="14">
        <f>IF(VLOOKUP(A297,Data_NV!$A:$I,7,0)="Không",0,IF(AND(Y297=0,Z297=0),0,IF(X297&lt;=Z297,0,ROUNDDOWN((X297-Z297)*24*60,0))))</f>
        <v>0</v>
      </c>
      <c r="AE297" s="14">
        <f>IF(VLOOKUP(A297,Data_NV!$A:$I,6,0)="Không",0,IF(Z297&lt;=X297,0,ROUNDDOWN((Z297-X297)*24*60,0)))</f>
        <v>0</v>
      </c>
      <c r="AF297" s="29">
        <f t="shared" ref="AF297:AF302" si="28">IF(AB297&gt;60,"Trừ 1/2 ngày lương",IF(AB297&gt;15,50000,IF(AB297&gt;6,30000,0)))</f>
        <v>0</v>
      </c>
      <c r="AG297" s="30" t="str">
        <f>IF(AC297="","",IF(COUNTIFS($AC$3:AC297,"Quên chấm công",$S$3:S297,S297)&gt;3,"Không chấm công do vi phạm quá 3 lần",IF(COUNTIFS($AC$3:AC297,"Quên chấm công",$S$3:S297,S297)&gt;2,"Trừ toàn bộ chuyên cần tháng do vi phạm lần 3",IF(COUNTIFS($AC$3:AC297,"Quên chấm công",$S$3:S297,S297)&gt;1,"Trừ 1/2 ngày lương",50000))))</f>
        <v/>
      </c>
      <c r="AH297" s="14" t="str">
        <f>IF(COUNTIFS($AF$3:AF297,"&gt;0",$S$3:S297,S297)&gt;3,"Trừ toàn bộ chuyên cần tháng","")</f>
        <v/>
      </c>
      <c r="AI297" s="14"/>
      <c r="AJ297" s="14"/>
    </row>
    <row r="298" spans="1:36" x14ac:dyDescent="0.25">
      <c r="A298" s="4" t="s">
        <v>494</v>
      </c>
      <c r="B298" s="1" t="s">
        <v>230</v>
      </c>
      <c r="C298" s="1" t="s">
        <v>20</v>
      </c>
      <c r="D298" s="1" t="s">
        <v>123</v>
      </c>
      <c r="E298" s="1" t="s">
        <v>22</v>
      </c>
      <c r="F298" s="1" t="s">
        <v>23</v>
      </c>
      <c r="G298" s="1" t="s">
        <v>254</v>
      </c>
      <c r="H298" s="12" t="s">
        <v>550</v>
      </c>
      <c r="I298" s="1" t="s">
        <v>551</v>
      </c>
      <c r="J298" s="1" t="s">
        <v>25</v>
      </c>
      <c r="K298" s="1" t="s">
        <v>531</v>
      </c>
      <c r="L298" s="1" t="s">
        <v>316</v>
      </c>
      <c r="M298" s="1" t="s">
        <v>531</v>
      </c>
      <c r="N298" s="1" t="s">
        <v>25</v>
      </c>
      <c r="O298" s="1" t="s">
        <v>25</v>
      </c>
      <c r="P298" s="1" t="s">
        <v>25</v>
      </c>
      <c r="Q298" s="1" t="s">
        <v>25</v>
      </c>
      <c r="R298" s="70" t="str">
        <f t="shared" si="26"/>
        <v>3245926</v>
      </c>
      <c r="S298" t="str">
        <f>VLOOKUP(A298,Data_NV!$A:$C,3,0)</f>
        <v xml:space="preserve"> Huỳnh Thanh Phong  </v>
      </c>
      <c r="T298" t="str">
        <f>VLOOKUP(A298,Data_NV!$A:$E,4,0)</f>
        <v>Vận Hành</v>
      </c>
      <c r="U298" s="67">
        <f>DATEVALUE(Table2[[#This Row],[Ngày]])</f>
        <v>45926</v>
      </c>
      <c r="V298" t="str">
        <f>VLOOKUP(A298,Data_NV!$A:$E,5,0)</f>
        <v>Đang làm việc</v>
      </c>
      <c r="W298" s="11">
        <f>VLOOKUP(A298,Data_NV!$A:$I,8,0)</f>
        <v>0.3125</v>
      </c>
      <c r="X298" s="11">
        <f>VLOOKUP(A298,Data_NV!$A:$I,9,0)</f>
        <v>0.6875</v>
      </c>
      <c r="Y298" s="11">
        <f>IFERROR(TIMEVALUE(Table2[[#This Row],[Vào]]),0)</f>
        <v>0.30888888888888888</v>
      </c>
      <c r="Z298" s="11">
        <f>IFERROR(TIMEVALUE(Table2[[#This Row],[Ra]]),0)</f>
        <v>0.69046296296296295</v>
      </c>
      <c r="AA298" t="str">
        <f t="shared" si="27"/>
        <v>x</v>
      </c>
      <c r="AB298" s="14">
        <f t="shared" si="25"/>
        <v>0</v>
      </c>
      <c r="AC298" s="14" t="str">
        <f>IF(VLOOKUP(A298,Data_NV!$A:$I,7,0)="Không","",IF(OR(AND(Y298=0,Z298=0),AND(Y298&lt;&gt;0,Z298&lt;&gt;0)),"","Quên chấm công"))</f>
        <v/>
      </c>
      <c r="AD298" s="14">
        <f>IF(VLOOKUP(A298,Data_NV!$A:$I,7,0)="Không",0,IF(AND(Y298=0,Z298=0),0,IF(X298&lt;=Z298,0,ROUNDDOWN((X298-Z298)*24*60,0))))</f>
        <v>0</v>
      </c>
      <c r="AE298" s="14">
        <f>IF(VLOOKUP(A298,Data_NV!$A:$I,6,0)="Không",0,IF(Z298&lt;=X298,0,ROUNDDOWN((Z298-X298)*24*60,0)))</f>
        <v>4</v>
      </c>
      <c r="AF298" s="29">
        <f t="shared" si="28"/>
        <v>0</v>
      </c>
      <c r="AG298" s="30" t="str">
        <f>IF(AC298="","",IF(COUNTIFS($AC$3:AC298,"Quên chấm công",$S$3:S298,S298)&gt;3,"Không chấm công do vi phạm quá 3 lần",IF(COUNTIFS($AC$3:AC298,"Quên chấm công",$S$3:S298,S298)&gt;2,"Trừ toàn bộ chuyên cần tháng do vi phạm lần 3",IF(COUNTIFS($AC$3:AC298,"Quên chấm công",$S$3:S298,S298)&gt;1,"Trừ 1/2 ngày lương",50000))))</f>
        <v/>
      </c>
      <c r="AH298" s="14" t="str">
        <f>IF(COUNTIFS($AF$3:AF298,"&gt;0",$S$3:S298,S298)&gt;3,"Trừ toàn bộ chuyên cần tháng","")</f>
        <v/>
      </c>
      <c r="AI298" s="14"/>
      <c r="AJ298" s="14"/>
    </row>
    <row r="299" spans="1:36" x14ac:dyDescent="0.25">
      <c r="A299" s="4" t="s">
        <v>494</v>
      </c>
      <c r="B299" s="1" t="s">
        <v>230</v>
      </c>
      <c r="C299" s="1" t="s">
        <v>20</v>
      </c>
      <c r="D299" s="1" t="s">
        <v>125</v>
      </c>
      <c r="E299" s="1" t="s">
        <v>22</v>
      </c>
      <c r="F299" s="1" t="s">
        <v>23</v>
      </c>
      <c r="G299" s="1" t="s">
        <v>12</v>
      </c>
      <c r="H299" s="12" t="s">
        <v>552</v>
      </c>
      <c r="I299" s="1" t="s">
        <v>24</v>
      </c>
      <c r="J299" s="1" t="s">
        <v>25</v>
      </c>
      <c r="K299" s="1" t="s">
        <v>25</v>
      </c>
      <c r="L299" s="1" t="s">
        <v>26</v>
      </c>
      <c r="M299" s="1" t="s">
        <v>25</v>
      </c>
      <c r="N299" s="1" t="s">
        <v>25</v>
      </c>
      <c r="O299" s="1" t="s">
        <v>25</v>
      </c>
      <c r="P299" s="1" t="s">
        <v>25</v>
      </c>
      <c r="Q299" s="1" t="s">
        <v>25</v>
      </c>
      <c r="R299" s="70" t="str">
        <f t="shared" si="26"/>
        <v>3245927</v>
      </c>
      <c r="S299" t="str">
        <f>VLOOKUP(A299,Data_NV!$A:$C,3,0)</f>
        <v xml:space="preserve"> Huỳnh Thanh Phong  </v>
      </c>
      <c r="T299" t="str">
        <f>VLOOKUP(A299,Data_NV!$A:$E,4,0)</f>
        <v>Vận Hành</v>
      </c>
      <c r="U299" s="67">
        <f>DATEVALUE(Table2[[#This Row],[Ngày]])</f>
        <v>45927</v>
      </c>
      <c r="V299" t="str">
        <f>VLOOKUP(A299,Data_NV!$A:$E,5,0)</f>
        <v>Đang làm việc</v>
      </c>
      <c r="W299" s="11">
        <f>VLOOKUP(A299,Data_NV!$A:$I,8,0)</f>
        <v>0.3125</v>
      </c>
      <c r="X299" s="11">
        <f>VLOOKUP(A299,Data_NV!$A:$I,9,0)</f>
        <v>0.6875</v>
      </c>
      <c r="Y299" s="11">
        <f>IFERROR(TIMEVALUE(Table2[[#This Row],[Vào]]),0)</f>
        <v>0.30486111111111114</v>
      </c>
      <c r="Z299" s="11">
        <f>IFERROR(TIMEVALUE(Table2[[#This Row],[Ra]]),0)</f>
        <v>0</v>
      </c>
      <c r="AA299" t="str">
        <f t="shared" si="27"/>
        <v/>
      </c>
      <c r="AB299" s="14">
        <f t="shared" si="25"/>
        <v>0</v>
      </c>
      <c r="AC299" s="14" t="str">
        <f>IF(VLOOKUP(A299,Data_NV!$A:$I,7,0)="Không","",IF(OR(AND(Y299=0,Z299=0),AND(Y299&lt;&gt;0,Z299&lt;&gt;0)),"","Quên chấm công"))</f>
        <v>Quên chấm công</v>
      </c>
      <c r="AD299" s="14">
        <f>IF(VLOOKUP(A299,Data_NV!$A:$I,7,0)="Không",0,IF(AND(Y299=0,Z299=0),0,IF(X299&lt;=Z299,0,ROUNDDOWN((X299-Z299)*24*60,0))))</f>
        <v>990</v>
      </c>
      <c r="AE299" s="14">
        <f>IF(VLOOKUP(A299,Data_NV!$A:$I,6,0)="Không",0,IF(Z299&lt;=X299,0,ROUNDDOWN((Z299-X299)*24*60,0)))</f>
        <v>0</v>
      </c>
      <c r="AF299" s="29">
        <f t="shared" si="28"/>
        <v>0</v>
      </c>
      <c r="AG299" s="30" t="str">
        <f>IF(AC299="","",IF(COUNTIFS($AC$3:AC299,"Quên chấm công",$S$3:S299,S299)&gt;3,"Không chấm công do vi phạm quá 3 lần",IF(COUNTIFS($AC$3:AC299,"Quên chấm công",$S$3:S299,S299)&gt;2,"Trừ toàn bộ chuyên cần tháng do vi phạm lần 3",IF(COUNTIFS($AC$3:AC299,"Quên chấm công",$S$3:S299,S299)&gt;1,"Trừ 1/2 ngày lương",50000))))</f>
        <v>Không chấm công do vi phạm quá 3 lần</v>
      </c>
      <c r="AH299" s="14" t="str">
        <f>IF(COUNTIFS($AF$3:AF299,"&gt;0",$S$3:S299,S299)&gt;3,"Trừ toàn bộ chuyên cần tháng","")</f>
        <v/>
      </c>
      <c r="AI299" s="14"/>
      <c r="AJ299" s="14"/>
    </row>
    <row r="300" spans="1:36" x14ac:dyDescent="0.25">
      <c r="A300" s="4" t="s">
        <v>494</v>
      </c>
      <c r="B300" s="1" t="s">
        <v>230</v>
      </c>
      <c r="C300" s="1" t="s">
        <v>20</v>
      </c>
      <c r="D300" s="1" t="s">
        <v>130</v>
      </c>
      <c r="E300" s="1" t="s">
        <v>22</v>
      </c>
      <c r="F300" s="1" t="s">
        <v>23</v>
      </c>
      <c r="G300" s="1" t="s">
        <v>12</v>
      </c>
      <c r="H300" s="12" t="s">
        <v>24</v>
      </c>
      <c r="I300" s="1" t="s">
        <v>24</v>
      </c>
      <c r="J300" s="1" t="s">
        <v>25</v>
      </c>
      <c r="K300" s="1" t="s">
        <v>25</v>
      </c>
      <c r="L300" s="1" t="s">
        <v>26</v>
      </c>
      <c r="M300" s="1" t="s">
        <v>25</v>
      </c>
      <c r="N300" s="1" t="s">
        <v>25</v>
      </c>
      <c r="O300" s="1" t="s">
        <v>25</v>
      </c>
      <c r="P300" s="1" t="s">
        <v>25</v>
      </c>
      <c r="Q300" s="1" t="s">
        <v>25</v>
      </c>
      <c r="R300" s="70" t="str">
        <f t="shared" si="26"/>
        <v>3245928</v>
      </c>
      <c r="S300" t="str">
        <f>VLOOKUP(A300,Data_NV!$A:$C,3,0)</f>
        <v xml:space="preserve"> Huỳnh Thanh Phong  </v>
      </c>
      <c r="T300" t="str">
        <f>VLOOKUP(A300,Data_NV!$A:$E,4,0)</f>
        <v>Vận Hành</v>
      </c>
      <c r="U300" s="67">
        <f>DATEVALUE(Table2[[#This Row],[Ngày]])</f>
        <v>45928</v>
      </c>
      <c r="V300" t="str">
        <f>VLOOKUP(A300,Data_NV!$A:$E,5,0)</f>
        <v>Đang làm việc</v>
      </c>
      <c r="W300" s="11">
        <f>VLOOKUP(A300,Data_NV!$A:$I,8,0)</f>
        <v>0.3125</v>
      </c>
      <c r="X300" s="11">
        <f>VLOOKUP(A300,Data_NV!$A:$I,9,0)</f>
        <v>0.6875</v>
      </c>
      <c r="Y300" s="11">
        <f>IFERROR(TIMEVALUE(Table2[[#This Row],[Vào]]),0)</f>
        <v>0</v>
      </c>
      <c r="Z300" s="11">
        <f>IFERROR(TIMEVALUE(Table2[[#This Row],[Ra]]),0)</f>
        <v>0</v>
      </c>
      <c r="AA300" t="str">
        <f t="shared" si="27"/>
        <v/>
      </c>
      <c r="AB300" s="14">
        <f t="shared" si="25"/>
        <v>0</v>
      </c>
      <c r="AC300" s="14" t="str">
        <f>IF(VLOOKUP(A300,Data_NV!$A:$I,7,0)="Không","",IF(OR(AND(Y300=0,Z300=0),AND(Y300&lt;&gt;0,Z300&lt;&gt;0)),"","Quên chấm công"))</f>
        <v/>
      </c>
      <c r="AD300" s="14">
        <f>IF(VLOOKUP(A300,Data_NV!$A:$I,7,0)="Không",0,IF(AND(Y300=0,Z300=0),0,IF(X300&lt;=Z300,0,ROUNDDOWN((X300-Z300)*24*60,0))))</f>
        <v>0</v>
      </c>
      <c r="AE300" s="14">
        <f>IF(VLOOKUP(A300,Data_NV!$A:$I,6,0)="Không",0,IF(Z300&lt;=X300,0,ROUNDDOWN((Z300-X300)*24*60,0)))</f>
        <v>0</v>
      </c>
      <c r="AF300" s="29">
        <f t="shared" si="28"/>
        <v>0</v>
      </c>
      <c r="AG300" s="30" t="str">
        <f>IF(AC300="","",IF(COUNTIFS($AC$3:AC300,"Quên chấm công",$S$3:S300,S300)&gt;3,"Không chấm công do vi phạm quá 3 lần",IF(COUNTIFS($AC$3:AC300,"Quên chấm công",$S$3:S300,S300)&gt;2,"Trừ toàn bộ chuyên cần tháng do vi phạm lần 3",IF(COUNTIFS($AC$3:AC300,"Quên chấm công",$S$3:S300,S300)&gt;1,"Trừ 1/2 ngày lương",50000))))</f>
        <v/>
      </c>
      <c r="AH300" s="14" t="str">
        <f>IF(COUNTIFS($AF$3:AF300,"&gt;0",$S$3:S300,S300)&gt;3,"Trừ toàn bộ chuyên cần tháng","")</f>
        <v/>
      </c>
      <c r="AI300" s="14"/>
      <c r="AJ300" s="14"/>
    </row>
    <row r="301" spans="1:36" x14ac:dyDescent="0.25">
      <c r="A301" s="4" t="s">
        <v>494</v>
      </c>
      <c r="B301" s="1" t="s">
        <v>230</v>
      </c>
      <c r="C301" s="1" t="s">
        <v>20</v>
      </c>
      <c r="D301" s="1" t="s">
        <v>131</v>
      </c>
      <c r="E301" s="1" t="s">
        <v>22</v>
      </c>
      <c r="F301" s="1" t="s">
        <v>23</v>
      </c>
      <c r="G301" s="1" t="s">
        <v>29</v>
      </c>
      <c r="H301" s="12" t="s">
        <v>553</v>
      </c>
      <c r="I301" s="1" t="s">
        <v>554</v>
      </c>
      <c r="J301" s="1" t="s">
        <v>25</v>
      </c>
      <c r="K301" s="1" t="s">
        <v>61</v>
      </c>
      <c r="L301" s="1" t="s">
        <v>25</v>
      </c>
      <c r="M301" s="1" t="s">
        <v>26</v>
      </c>
      <c r="N301" s="1" t="s">
        <v>25</v>
      </c>
      <c r="O301" s="1" t="s">
        <v>62</v>
      </c>
      <c r="P301" s="1" t="s">
        <v>25</v>
      </c>
      <c r="Q301" s="1" t="s">
        <v>25</v>
      </c>
      <c r="R301" s="70" t="str">
        <f t="shared" si="26"/>
        <v>3245929</v>
      </c>
      <c r="S301" t="str">
        <f>VLOOKUP(A301,Data_NV!$A:$C,3,0)</f>
        <v xml:space="preserve"> Huỳnh Thanh Phong  </v>
      </c>
      <c r="T301" t="str">
        <f>VLOOKUP(A301,Data_NV!$A:$E,4,0)</f>
        <v>Vận Hành</v>
      </c>
      <c r="U301" s="67">
        <f>DATEVALUE(Table2[[#This Row],[Ngày]])</f>
        <v>45929</v>
      </c>
      <c r="V301" t="str">
        <f>VLOOKUP(A301,Data_NV!$A:$E,5,0)</f>
        <v>Đang làm việc</v>
      </c>
      <c r="W301" s="11">
        <f>VLOOKUP(A301,Data_NV!$A:$I,8,0)</f>
        <v>0.3125</v>
      </c>
      <c r="X301" s="11">
        <f>VLOOKUP(A301,Data_NV!$A:$I,9,0)</f>
        <v>0.6875</v>
      </c>
      <c r="Y301" s="11">
        <f>IFERROR(TIMEVALUE(Table2[[#This Row],[Vào]]),0)</f>
        <v>0.30564814814814817</v>
      </c>
      <c r="Z301" s="11">
        <f>IFERROR(TIMEVALUE(Table2[[#This Row],[Ra]]),0)</f>
        <v>0.72905092592592591</v>
      </c>
      <c r="AA301" t="str">
        <f t="shared" si="27"/>
        <v>x</v>
      </c>
      <c r="AB301" s="14">
        <f t="shared" si="25"/>
        <v>0</v>
      </c>
      <c r="AC301" s="14" t="str">
        <f>IF(VLOOKUP(A301,Data_NV!$A:$I,7,0)="Không","",IF(OR(AND(Y301=0,Z301=0),AND(Y301&lt;&gt;0,Z301&lt;&gt;0)),"","Quên chấm công"))</f>
        <v/>
      </c>
      <c r="AD301" s="14">
        <f>IF(VLOOKUP(A301,Data_NV!$A:$I,7,0)="Không",0,IF(AND(Y301=0,Z301=0),0,IF(X301&lt;=Z301,0,ROUNDDOWN((X301-Z301)*24*60,0))))</f>
        <v>0</v>
      </c>
      <c r="AE301" s="14">
        <f>IF(VLOOKUP(A301,Data_NV!$A:$I,6,0)="Không",0,IF(Z301&lt;=X301,0,ROUNDDOWN((Z301-X301)*24*60,0)))</f>
        <v>59</v>
      </c>
      <c r="AF301" s="29">
        <f t="shared" si="28"/>
        <v>0</v>
      </c>
      <c r="AG301" s="30" t="str">
        <f>IF(AC301="","",IF(COUNTIFS($AC$3:AC301,"Quên chấm công",$S$3:S301,S301)&gt;3,"Không chấm công do vi phạm quá 3 lần",IF(COUNTIFS($AC$3:AC301,"Quên chấm công",$S$3:S301,S301)&gt;2,"Trừ toàn bộ chuyên cần tháng do vi phạm lần 3",IF(COUNTIFS($AC$3:AC301,"Quên chấm công",$S$3:S301,S301)&gt;1,"Trừ 1/2 ngày lương",50000))))</f>
        <v/>
      </c>
      <c r="AH301" s="14" t="str">
        <f>IF(COUNTIFS($AF$3:AF301,"&gt;0",$S$3:S301,S301)&gt;3,"Trừ toàn bộ chuyên cần tháng","")</f>
        <v/>
      </c>
      <c r="AI301" s="14"/>
      <c r="AJ301" s="14"/>
    </row>
    <row r="302" spans="1:36" x14ac:dyDescent="0.25">
      <c r="A302" s="4" t="s">
        <v>494</v>
      </c>
      <c r="B302" s="1" t="s">
        <v>230</v>
      </c>
      <c r="C302" s="1" t="s">
        <v>20</v>
      </c>
      <c r="D302" s="1" t="s">
        <v>136</v>
      </c>
      <c r="E302" s="1" t="s">
        <v>22</v>
      </c>
      <c r="F302" s="1" t="s">
        <v>23</v>
      </c>
      <c r="G302" s="1" t="s">
        <v>29</v>
      </c>
      <c r="H302" s="12" t="s">
        <v>555</v>
      </c>
      <c r="I302" s="1" t="s">
        <v>556</v>
      </c>
      <c r="J302" s="1" t="s">
        <v>25</v>
      </c>
      <c r="K302" s="1" t="s">
        <v>557</v>
      </c>
      <c r="L302" s="1" t="s">
        <v>25</v>
      </c>
      <c r="M302" s="1" t="s">
        <v>26</v>
      </c>
      <c r="N302" s="1" t="s">
        <v>25</v>
      </c>
      <c r="O302" s="1" t="s">
        <v>558</v>
      </c>
      <c r="P302" s="1" t="s">
        <v>25</v>
      </c>
      <c r="Q302" s="1" t="s">
        <v>25</v>
      </c>
      <c r="R302" s="70" t="str">
        <f t="shared" si="26"/>
        <v>3245930</v>
      </c>
      <c r="S302" t="str">
        <f>VLOOKUP(A302,Data_NV!$A:$C,3,0)</f>
        <v xml:space="preserve"> Huỳnh Thanh Phong  </v>
      </c>
      <c r="T302" t="str">
        <f>VLOOKUP(A302,Data_NV!$A:$E,4,0)</f>
        <v>Vận Hành</v>
      </c>
      <c r="U302" s="67">
        <f>DATEVALUE(Table2[[#This Row],[Ngày]])</f>
        <v>45930</v>
      </c>
      <c r="V302" t="str">
        <f>VLOOKUP(A302,Data_NV!$A:$E,5,0)</f>
        <v>Đang làm việc</v>
      </c>
      <c r="W302" s="11">
        <f>VLOOKUP(A302,Data_NV!$A:$I,8,0)</f>
        <v>0.3125</v>
      </c>
      <c r="X302" s="11">
        <f>VLOOKUP(A302,Data_NV!$A:$I,9,0)</f>
        <v>0.6875</v>
      </c>
      <c r="Y302" s="11">
        <f>IFERROR(TIMEVALUE(Table2[[#This Row],[Vào]]),0)</f>
        <v>0.31180555555555556</v>
      </c>
      <c r="Z302" s="11">
        <f>IFERROR(TIMEVALUE(Table2[[#This Row],[Ra]]),0)</f>
        <v>0.74442129629629628</v>
      </c>
      <c r="AA302" t="str">
        <f t="shared" si="27"/>
        <v>x</v>
      </c>
      <c r="AB302" s="14">
        <f t="shared" si="25"/>
        <v>0</v>
      </c>
      <c r="AC302" s="14" t="str">
        <f>IF(VLOOKUP(A302,Data_NV!$A:$I,7,0)="Không","",IF(OR(AND(Y302=0,Z302=0),AND(Y302&lt;&gt;0,Z302&lt;&gt;0)),"","Quên chấm công"))</f>
        <v/>
      </c>
      <c r="AD302" s="14">
        <f>IF(VLOOKUP(A302,Data_NV!$A:$I,7,0)="Không",0,IF(AND(Y302=0,Z302=0),0,IF(X302&lt;=Z302,0,ROUNDDOWN((X302-Z302)*24*60,0))))</f>
        <v>0</v>
      </c>
      <c r="AE302" s="14">
        <f>IF(VLOOKUP(A302,Data_NV!$A:$I,6,0)="Không",0,IF(Z302&lt;=X302,0,ROUNDDOWN((Z302-X302)*24*60,0)))</f>
        <v>81</v>
      </c>
      <c r="AF302" s="29">
        <f t="shared" si="28"/>
        <v>0</v>
      </c>
      <c r="AG302" s="30" t="str">
        <f>IF(AC302="","",IF(COUNTIFS($AC$3:AC302,"Quên chấm công",$S$3:S302,S302)&gt;3,"Không chấm công do vi phạm quá 3 lần",IF(COUNTIFS($AC$3:AC302,"Quên chấm công",$S$3:S302,S302)&gt;2,"Trừ toàn bộ chuyên cần tháng do vi phạm lần 3",IF(COUNTIFS($AC$3:AC302,"Quên chấm công",$S$3:S302,S302)&gt;1,"Trừ 1/2 ngày lương",50000))))</f>
        <v/>
      </c>
      <c r="AH302" s="14" t="str">
        <f>IF(COUNTIFS($AF$3:AF302,"&gt;0",$S$3:S302,S302)&gt;3,"Trừ toàn bộ chuyên cần tháng","")</f>
        <v/>
      </c>
      <c r="AI302" s="14"/>
      <c r="AJ302" s="14"/>
    </row>
    <row r="303" spans="1:36" x14ac:dyDescent="0.25">
      <c r="A303" s="4" t="s">
        <v>590</v>
      </c>
      <c r="B303" s="1" t="s">
        <v>591</v>
      </c>
      <c r="C303" s="1" t="s">
        <v>20</v>
      </c>
      <c r="D303" s="1" t="s">
        <v>21</v>
      </c>
      <c r="E303" s="1" t="s">
        <v>22</v>
      </c>
      <c r="F303" s="1" t="s">
        <v>23</v>
      </c>
      <c r="G303" s="1" t="s">
        <v>12</v>
      </c>
      <c r="H303" s="12" t="s">
        <v>24</v>
      </c>
      <c r="I303" s="1" t="s">
        <v>24</v>
      </c>
      <c r="J303" s="1" t="s">
        <v>25</v>
      </c>
      <c r="K303" s="1" t="s">
        <v>25</v>
      </c>
      <c r="L303" s="1" t="s">
        <v>26</v>
      </c>
      <c r="M303" s="1" t="s">
        <v>25</v>
      </c>
      <c r="N303" s="1" t="s">
        <v>25</v>
      </c>
      <c r="O303" s="1" t="s">
        <v>25</v>
      </c>
      <c r="P303" s="1" t="s">
        <v>25</v>
      </c>
      <c r="Q303" s="1" t="s">
        <v>25</v>
      </c>
      <c r="R303" s="70" t="str">
        <f t="shared" ref="R303:R332" si="29">A303&amp;U303</f>
        <v>5045901</v>
      </c>
      <c r="S303" t="str">
        <f>VLOOKUP(A303,Data_NV!$A:$C,3,0)</f>
        <v>Nguyễn Hữu Phước</v>
      </c>
      <c r="T303" t="str">
        <f>VLOOKUP(A303,Data_NV!$A:$E,4,0)</f>
        <v>Vận Hành</v>
      </c>
      <c r="U303" s="67">
        <f>DATEVALUE(Table2[[#This Row],[Ngày]])</f>
        <v>45901</v>
      </c>
      <c r="V303" t="str">
        <f>VLOOKUP(A303,Data_NV!$A:$E,5,0)</f>
        <v>Đang làm việc</v>
      </c>
      <c r="W303" s="11">
        <f>VLOOKUP(A303,Data_NV!$A:$I,8,0)</f>
        <v>0.3125</v>
      </c>
      <c r="X303" s="11">
        <f>VLOOKUP(A303,Data_NV!$A:$I,9,0)</f>
        <v>0.6875</v>
      </c>
      <c r="Y303" s="11">
        <f>IFERROR(TIMEVALUE(Table2[[#This Row],[Vào]]),0)</f>
        <v>0</v>
      </c>
      <c r="Z303" s="11">
        <f>IFERROR(TIMEVALUE(Table2[[#This Row],[Ra]]),0)</f>
        <v>0</v>
      </c>
      <c r="AA303" s="10" t="s">
        <v>771</v>
      </c>
      <c r="AB303" s="14">
        <f t="shared" ref="AB303:AB332" si="30">IF(Y303&lt;=W303,0,ROUNDDOWN((Y303-W303)*24*60,0))</f>
        <v>0</v>
      </c>
      <c r="AC303" s="14" t="str">
        <f>IF(VLOOKUP(A303,Data_NV!$A:$I,7,0)="Không","",IF(OR(AND(Y303=0,Z303=0),AND(Y303&lt;&gt;0,Z303&lt;&gt;0)),"","Quên chấm công"))</f>
        <v/>
      </c>
      <c r="AD303" s="14">
        <f>IF(VLOOKUP(A303,Data_NV!$A:$I,7,0)="Không",0,IF(AND(Y303=0,Z303=0),0,IF(X303&lt;=Z303,0,ROUNDDOWN((X303-Z303)*24*60,0))))</f>
        <v>0</v>
      </c>
      <c r="AE303" s="14">
        <f>IF(VLOOKUP(A303,Data_NV!$A:$I,6,0)="Không",0,IF(Z303&lt;=X303,0,ROUNDDOWN((Z303-X303)*24*60,0)))</f>
        <v>0</v>
      </c>
      <c r="AF303" s="29">
        <f t="shared" ref="AF303:AF332" si="31">IF(AB303&gt;60,"Trừ 1/2 ngày lương",IF(AB303&gt;15,50000,IF(AB303&gt;6,30000,0)))</f>
        <v>0</v>
      </c>
      <c r="AG303" s="30" t="str">
        <f>IF(AC303="","",IF(COUNTIFS($AC$3:AC303,"Quên chấm công",$S$3:S303,S303)&gt;3,"Không chấm công do vi phạm quá 3 lần",IF(COUNTIFS($AC$3:AC303,"Quên chấm công",$S$3:S303,S303)&gt;2,"Trừ toàn bộ chuyên cần tháng do vi phạm lần 3",IF(COUNTIFS($AC$3:AC303,"Quên chấm công",$S$3:S303,S303)&gt;1,"Trừ 1/2 ngày lương",50000))))</f>
        <v/>
      </c>
      <c r="AH303" s="14" t="str">
        <f>IF(COUNTIFS($AF$3:AF303,"&gt;0",$S$3:S303,S303)&gt;3,"Trừ toàn bộ chuyên cần tháng","")</f>
        <v/>
      </c>
      <c r="AI303" s="14"/>
      <c r="AJ303" s="14"/>
    </row>
    <row r="304" spans="1:36" x14ac:dyDescent="0.25">
      <c r="A304" s="4" t="s">
        <v>590</v>
      </c>
      <c r="B304" s="1" t="s">
        <v>591</v>
      </c>
      <c r="C304" s="1" t="s">
        <v>20</v>
      </c>
      <c r="D304" s="1" t="s">
        <v>27</v>
      </c>
      <c r="E304" s="1" t="s">
        <v>22</v>
      </c>
      <c r="F304" s="1" t="s">
        <v>23</v>
      </c>
      <c r="G304" s="1" t="s">
        <v>12</v>
      </c>
      <c r="H304" s="12" t="s">
        <v>24</v>
      </c>
      <c r="I304" s="1" t="s">
        <v>24</v>
      </c>
      <c r="J304" s="1" t="s">
        <v>25</v>
      </c>
      <c r="K304" s="1" t="s">
        <v>25</v>
      </c>
      <c r="L304" s="1" t="s">
        <v>26</v>
      </c>
      <c r="M304" s="1" t="s">
        <v>25</v>
      </c>
      <c r="N304" s="1" t="s">
        <v>25</v>
      </c>
      <c r="O304" s="1" t="s">
        <v>25</v>
      </c>
      <c r="P304" s="1" t="s">
        <v>25</v>
      </c>
      <c r="Q304" s="1" t="s">
        <v>25</v>
      </c>
      <c r="R304" s="70" t="str">
        <f t="shared" si="29"/>
        <v>5045902</v>
      </c>
      <c r="S304" t="str">
        <f>VLOOKUP(A304,Data_NV!$A:$C,3,0)</f>
        <v>Nguyễn Hữu Phước</v>
      </c>
      <c r="T304" t="str">
        <f>VLOOKUP(A304,Data_NV!$A:$E,4,0)</f>
        <v>Vận Hành</v>
      </c>
      <c r="U304" s="67">
        <f>DATEVALUE(Table2[[#This Row],[Ngày]])</f>
        <v>45902</v>
      </c>
      <c r="V304" t="str">
        <f>VLOOKUP(A304,Data_NV!$A:$E,5,0)</f>
        <v>Đang làm việc</v>
      </c>
      <c r="W304" s="11">
        <f>VLOOKUP(A304,Data_NV!$A:$I,8,0)</f>
        <v>0.3125</v>
      </c>
      <c r="X304" s="11">
        <f>VLOOKUP(A304,Data_NV!$A:$I,9,0)</f>
        <v>0.6875</v>
      </c>
      <c r="Y304" s="11">
        <f>IFERROR(TIMEVALUE(Table2[[#This Row],[Vào]]),0)</f>
        <v>0</v>
      </c>
      <c r="Z304" s="11">
        <f>IFERROR(TIMEVALUE(Table2[[#This Row],[Ra]]),0)</f>
        <v>0</v>
      </c>
      <c r="AA304" s="10" t="s">
        <v>771</v>
      </c>
      <c r="AB304" s="14">
        <f t="shared" si="30"/>
        <v>0</v>
      </c>
      <c r="AC304" s="14" t="str">
        <f>IF(VLOOKUP(A304,Data_NV!$A:$I,7,0)="Không","",IF(OR(AND(Y304=0,Z304=0),AND(Y304&lt;&gt;0,Z304&lt;&gt;0)),"","Quên chấm công"))</f>
        <v/>
      </c>
      <c r="AD304" s="14">
        <f>IF(VLOOKUP(A304,Data_NV!$A:$I,7,0)="Không",0,IF(AND(Y304=0,Z304=0),0,IF(X304&lt;=Z304,0,ROUNDDOWN((X304-Z304)*24*60,0))))</f>
        <v>0</v>
      </c>
      <c r="AE304" s="14">
        <f>IF(VLOOKUP(A304,Data_NV!$A:$I,6,0)="Không",0,IF(Z304&lt;=X304,0,ROUNDDOWN((Z304-X304)*24*60,0)))</f>
        <v>0</v>
      </c>
      <c r="AF304" s="29">
        <f t="shared" si="31"/>
        <v>0</v>
      </c>
      <c r="AG304" s="30" t="str">
        <f>IF(AC304="","",IF(COUNTIFS($AC$3:AC304,"Quên chấm công",$S$3:S304,S304)&gt;3,"Không chấm công do vi phạm quá 3 lần",IF(COUNTIFS($AC$3:AC304,"Quên chấm công",$S$3:S304,S304)&gt;2,"Trừ toàn bộ chuyên cần tháng do vi phạm lần 3",IF(COUNTIFS($AC$3:AC304,"Quên chấm công",$S$3:S304,S304)&gt;1,"Trừ 1/2 ngày lương",50000))))</f>
        <v/>
      </c>
      <c r="AH304" s="14" t="str">
        <f>IF(COUNTIFS($AF$3:AF304,"&gt;0",$S$3:S304,S304)&gt;3,"Trừ toàn bộ chuyên cần tháng","")</f>
        <v/>
      </c>
      <c r="AI304" s="14"/>
      <c r="AJ304" s="14"/>
    </row>
    <row r="305" spans="1:36" x14ac:dyDescent="0.25">
      <c r="A305" s="4" t="s">
        <v>590</v>
      </c>
      <c r="B305" s="1" t="s">
        <v>591</v>
      </c>
      <c r="C305" s="1" t="s">
        <v>20</v>
      </c>
      <c r="D305" s="1" t="s">
        <v>28</v>
      </c>
      <c r="E305" s="1" t="s">
        <v>22</v>
      </c>
      <c r="F305" s="1" t="s">
        <v>23</v>
      </c>
      <c r="G305" s="1" t="s">
        <v>12</v>
      </c>
      <c r="H305" s="12" t="s">
        <v>592</v>
      </c>
      <c r="I305" s="1" t="s">
        <v>24</v>
      </c>
      <c r="J305" s="1" t="s">
        <v>25</v>
      </c>
      <c r="K305" s="1" t="s">
        <v>25</v>
      </c>
      <c r="L305" s="1" t="s">
        <v>26</v>
      </c>
      <c r="M305" s="1" t="s">
        <v>25</v>
      </c>
      <c r="N305" s="1" t="s">
        <v>25</v>
      </c>
      <c r="O305" s="1" t="s">
        <v>25</v>
      </c>
      <c r="P305" s="1" t="s">
        <v>25</v>
      </c>
      <c r="Q305" s="1" t="s">
        <v>25</v>
      </c>
      <c r="R305" s="70" t="str">
        <f t="shared" si="29"/>
        <v>5045903</v>
      </c>
      <c r="S305" t="str">
        <f>VLOOKUP(A305,Data_NV!$A:$C,3,0)</f>
        <v>Nguyễn Hữu Phước</v>
      </c>
      <c r="T305" t="str">
        <f>VLOOKUP(A305,Data_NV!$A:$E,4,0)</f>
        <v>Vận Hành</v>
      </c>
      <c r="U305" s="67">
        <f>DATEVALUE(Table2[[#This Row],[Ngày]])</f>
        <v>45903</v>
      </c>
      <c r="V305" t="str">
        <f>VLOOKUP(A305,Data_NV!$A:$E,5,0)</f>
        <v>Đang làm việc</v>
      </c>
      <c r="W305" s="11">
        <f>VLOOKUP(A305,Data_NV!$A:$I,8,0)</f>
        <v>0.3125</v>
      </c>
      <c r="X305" s="11">
        <f>VLOOKUP(A305,Data_NV!$A:$I,9,0)</f>
        <v>0.6875</v>
      </c>
      <c r="Y305" s="11">
        <f>IFERROR(TIMEVALUE(Table2[[#This Row],[Vào]]),0)</f>
        <v>0.3112847222222222</v>
      </c>
      <c r="Z305" s="11">
        <f>IFERROR(TIMEVALUE(Table2[[#This Row],[Ra]]),0)</f>
        <v>0</v>
      </c>
      <c r="AA305" t="str">
        <f t="shared" ref="AA305:AA332" si="32">IF(OR(AND(Y305=0,Z305=0),AG305="Không chấm công do vi phạm quá 3 lần"),"",IF(OR(AG305="Trừ 1/2 ngày lương",AF305="Trừ 1/2 ngày lương",AB305&gt;=60),"1/2","x"))</f>
        <v>x</v>
      </c>
      <c r="AB305" s="14">
        <f t="shared" si="30"/>
        <v>0</v>
      </c>
      <c r="AC305" s="14" t="str">
        <f>IF(VLOOKUP(A305,Data_NV!$A:$I,7,0)="Không","",IF(OR(AND(Y305=0,Z305=0),AND(Y305&lt;&gt;0,Z305&lt;&gt;0)),"","Quên chấm công"))</f>
        <v/>
      </c>
      <c r="AD305" s="14">
        <f>IF(VLOOKUP(A305,Data_NV!$A:$I,7,0)="Không",0,IF(AND(Y305=0,Z305=0),0,IF(X305&lt;=Z305,0,ROUNDDOWN((X305-Z305)*24*60,0))))</f>
        <v>0</v>
      </c>
      <c r="AE305" s="14">
        <f>IF(VLOOKUP(A305,Data_NV!$A:$I,6,0)="Không",0,IF(Z305&lt;=X305,0,ROUNDDOWN((Z305-X305)*24*60,0)))</f>
        <v>0</v>
      </c>
      <c r="AF305" s="29">
        <f t="shared" si="31"/>
        <v>0</v>
      </c>
      <c r="AG305" s="30" t="str">
        <f>IF(AC305="","",IF(COUNTIFS($AC$3:AC305,"Quên chấm công",$S$3:S305,S305)&gt;3,"Không chấm công do vi phạm quá 3 lần",IF(COUNTIFS($AC$3:AC305,"Quên chấm công",$S$3:S305,S305)&gt;2,"Trừ toàn bộ chuyên cần tháng do vi phạm lần 3",IF(COUNTIFS($AC$3:AC305,"Quên chấm công",$S$3:S305,S305)&gt;1,"Trừ 1/2 ngày lương",50000))))</f>
        <v/>
      </c>
      <c r="AH305" s="14" t="str">
        <f>IF(COUNTIFS($AF$3:AF305,"&gt;0",$S$3:S305,S305)&gt;3,"Trừ toàn bộ chuyên cần tháng","")</f>
        <v/>
      </c>
      <c r="AI305" s="14"/>
      <c r="AJ305" s="14"/>
    </row>
    <row r="306" spans="1:36" x14ac:dyDescent="0.25">
      <c r="A306" s="4" t="s">
        <v>590</v>
      </c>
      <c r="B306" s="1" t="s">
        <v>591</v>
      </c>
      <c r="C306" s="1" t="s">
        <v>20</v>
      </c>
      <c r="D306" s="1" t="s">
        <v>35</v>
      </c>
      <c r="E306" s="1" t="s">
        <v>22</v>
      </c>
      <c r="F306" s="1" t="s">
        <v>23</v>
      </c>
      <c r="G306" s="1" t="s">
        <v>12</v>
      </c>
      <c r="H306" s="12" t="s">
        <v>593</v>
      </c>
      <c r="I306" s="1" t="s">
        <v>24</v>
      </c>
      <c r="J306" s="1" t="s">
        <v>25</v>
      </c>
      <c r="K306" s="1" t="s">
        <v>25</v>
      </c>
      <c r="L306" s="1" t="s">
        <v>26</v>
      </c>
      <c r="M306" s="1" t="s">
        <v>25</v>
      </c>
      <c r="N306" s="1" t="s">
        <v>25</v>
      </c>
      <c r="O306" s="1" t="s">
        <v>25</v>
      </c>
      <c r="P306" s="1" t="s">
        <v>25</v>
      </c>
      <c r="Q306" s="1" t="s">
        <v>25</v>
      </c>
      <c r="R306" s="70" t="str">
        <f t="shared" si="29"/>
        <v>5045904</v>
      </c>
      <c r="S306" t="str">
        <f>VLOOKUP(A306,Data_NV!$A:$C,3,0)</f>
        <v>Nguyễn Hữu Phước</v>
      </c>
      <c r="T306" t="str">
        <f>VLOOKUP(A306,Data_NV!$A:$E,4,0)</f>
        <v>Vận Hành</v>
      </c>
      <c r="U306" s="67">
        <f>DATEVALUE(Table2[[#This Row],[Ngày]])</f>
        <v>45904</v>
      </c>
      <c r="V306" t="str">
        <f>VLOOKUP(A306,Data_NV!$A:$E,5,0)</f>
        <v>Đang làm việc</v>
      </c>
      <c r="W306" s="11">
        <f>VLOOKUP(A306,Data_NV!$A:$I,8,0)</f>
        <v>0.3125</v>
      </c>
      <c r="X306" s="11">
        <f>VLOOKUP(A306,Data_NV!$A:$I,9,0)</f>
        <v>0.6875</v>
      </c>
      <c r="Y306" s="11">
        <f>IFERROR(TIMEVALUE(Table2[[#This Row],[Vào]]),0)</f>
        <v>0.31237268518518518</v>
      </c>
      <c r="Z306" s="11">
        <f>IFERROR(TIMEVALUE(Table2[[#This Row],[Ra]]),0)</f>
        <v>0</v>
      </c>
      <c r="AA306" t="str">
        <f t="shared" si="32"/>
        <v>x</v>
      </c>
      <c r="AB306" s="14">
        <f t="shared" si="30"/>
        <v>0</v>
      </c>
      <c r="AC306" s="14" t="str">
        <f>IF(VLOOKUP(A306,Data_NV!$A:$I,7,0)="Không","",IF(OR(AND(Y306=0,Z306=0),AND(Y306&lt;&gt;0,Z306&lt;&gt;0)),"","Quên chấm công"))</f>
        <v/>
      </c>
      <c r="AD306" s="14">
        <f>IF(VLOOKUP(A306,Data_NV!$A:$I,7,0)="Không",0,IF(AND(Y306=0,Z306=0),0,IF(X306&lt;=Z306,0,ROUNDDOWN((X306-Z306)*24*60,0))))</f>
        <v>0</v>
      </c>
      <c r="AE306" s="14">
        <f>IF(VLOOKUP(A306,Data_NV!$A:$I,6,0)="Không",0,IF(Z306&lt;=X306,0,ROUNDDOWN((Z306-X306)*24*60,0)))</f>
        <v>0</v>
      </c>
      <c r="AF306" s="29">
        <f t="shared" si="31"/>
        <v>0</v>
      </c>
      <c r="AG306" s="30" t="str">
        <f>IF(AC306="","",IF(COUNTIFS($AC$3:AC306,"Quên chấm công",$S$3:S306,S306)&gt;3,"Không chấm công do vi phạm quá 3 lần",IF(COUNTIFS($AC$3:AC306,"Quên chấm công",$S$3:S306,S306)&gt;2,"Trừ toàn bộ chuyên cần tháng do vi phạm lần 3",IF(COUNTIFS($AC$3:AC306,"Quên chấm công",$S$3:S306,S306)&gt;1,"Trừ 1/2 ngày lương",50000))))</f>
        <v/>
      </c>
      <c r="AH306" s="14" t="str">
        <f>IF(COUNTIFS($AF$3:AF306,"&gt;0",$S$3:S306,S306)&gt;3,"Trừ toàn bộ chuyên cần tháng","")</f>
        <v/>
      </c>
      <c r="AI306" s="14"/>
      <c r="AJ306" s="14"/>
    </row>
    <row r="307" spans="1:36" x14ac:dyDescent="0.25">
      <c r="A307" s="4" t="s">
        <v>590</v>
      </c>
      <c r="B307" s="1" t="s">
        <v>591</v>
      </c>
      <c r="C307" s="1" t="s">
        <v>20</v>
      </c>
      <c r="D307" s="1" t="s">
        <v>37</v>
      </c>
      <c r="E307" s="1" t="s">
        <v>22</v>
      </c>
      <c r="F307" s="1" t="s">
        <v>23</v>
      </c>
      <c r="G307" s="1" t="s">
        <v>12</v>
      </c>
      <c r="H307" s="12" t="s">
        <v>594</v>
      </c>
      <c r="I307" s="1" t="s">
        <v>24</v>
      </c>
      <c r="J307" s="1" t="s">
        <v>25</v>
      </c>
      <c r="K307" s="1" t="s">
        <v>25</v>
      </c>
      <c r="L307" s="1" t="s">
        <v>26</v>
      </c>
      <c r="M307" s="1" t="s">
        <v>25</v>
      </c>
      <c r="N307" s="1" t="s">
        <v>25</v>
      </c>
      <c r="O307" s="1" t="s">
        <v>25</v>
      </c>
      <c r="P307" s="1" t="s">
        <v>25</v>
      </c>
      <c r="Q307" s="1" t="s">
        <v>25</v>
      </c>
      <c r="R307" s="70" t="str">
        <f t="shared" si="29"/>
        <v>5045905</v>
      </c>
      <c r="S307" t="str">
        <f>VLOOKUP(A307,Data_NV!$A:$C,3,0)</f>
        <v>Nguyễn Hữu Phước</v>
      </c>
      <c r="T307" t="str">
        <f>VLOOKUP(A307,Data_NV!$A:$E,4,0)</f>
        <v>Vận Hành</v>
      </c>
      <c r="U307" s="67">
        <f>DATEVALUE(Table2[[#This Row],[Ngày]])</f>
        <v>45905</v>
      </c>
      <c r="V307" t="str">
        <f>VLOOKUP(A307,Data_NV!$A:$E,5,0)</f>
        <v>Đang làm việc</v>
      </c>
      <c r="W307" s="11">
        <f>VLOOKUP(A307,Data_NV!$A:$I,8,0)</f>
        <v>0.3125</v>
      </c>
      <c r="X307" s="11">
        <f>VLOOKUP(A307,Data_NV!$A:$I,9,0)</f>
        <v>0.6875</v>
      </c>
      <c r="Y307" s="11">
        <f>IFERROR(TIMEVALUE(Table2[[#This Row],[Vào]]),0)</f>
        <v>0.31390046296296298</v>
      </c>
      <c r="Z307" s="11">
        <f>IFERROR(TIMEVALUE(Table2[[#This Row],[Ra]]),0)</f>
        <v>0</v>
      </c>
      <c r="AA307" t="str">
        <f t="shared" si="32"/>
        <v>x</v>
      </c>
      <c r="AB307" s="14">
        <f t="shared" si="30"/>
        <v>2</v>
      </c>
      <c r="AC307" s="14" t="str">
        <f>IF(VLOOKUP(A307,Data_NV!$A:$I,7,0)="Không","",IF(OR(AND(Y307=0,Z307=0),AND(Y307&lt;&gt;0,Z307&lt;&gt;0)),"","Quên chấm công"))</f>
        <v/>
      </c>
      <c r="AD307" s="14">
        <f>IF(VLOOKUP(A307,Data_NV!$A:$I,7,0)="Không",0,IF(AND(Y307=0,Z307=0),0,IF(X307&lt;=Z307,0,ROUNDDOWN((X307-Z307)*24*60,0))))</f>
        <v>0</v>
      </c>
      <c r="AE307" s="14">
        <f>IF(VLOOKUP(A307,Data_NV!$A:$I,6,0)="Không",0,IF(Z307&lt;=X307,0,ROUNDDOWN((Z307-X307)*24*60,0)))</f>
        <v>0</v>
      </c>
      <c r="AF307" s="29">
        <f t="shared" si="31"/>
        <v>0</v>
      </c>
      <c r="AG307" s="30" t="str">
        <f>IF(AC307="","",IF(COUNTIFS($AC$3:AC307,"Quên chấm công",$S$3:S307,S307)&gt;3,"Không chấm công do vi phạm quá 3 lần",IF(COUNTIFS($AC$3:AC307,"Quên chấm công",$S$3:S307,S307)&gt;2,"Trừ toàn bộ chuyên cần tháng do vi phạm lần 3",IF(COUNTIFS($AC$3:AC307,"Quên chấm công",$S$3:S307,S307)&gt;1,"Trừ 1/2 ngày lương",50000))))</f>
        <v/>
      </c>
      <c r="AH307" s="14" t="str">
        <f>IF(COUNTIFS($AF$3:AF307,"&gt;0",$S$3:S307,S307)&gt;3,"Trừ toàn bộ chuyên cần tháng","")</f>
        <v/>
      </c>
      <c r="AI307" s="14"/>
      <c r="AJ307" s="14"/>
    </row>
    <row r="308" spans="1:36" x14ac:dyDescent="0.25">
      <c r="A308" s="4" t="s">
        <v>590</v>
      </c>
      <c r="B308" s="1" t="s">
        <v>591</v>
      </c>
      <c r="C308" s="1" t="s">
        <v>20</v>
      </c>
      <c r="D308" s="1" t="s">
        <v>42</v>
      </c>
      <c r="E308" s="1" t="s">
        <v>22</v>
      </c>
      <c r="F308" s="1" t="s">
        <v>23</v>
      </c>
      <c r="G308" s="1" t="s">
        <v>12</v>
      </c>
      <c r="H308" s="12" t="s">
        <v>595</v>
      </c>
      <c r="I308" s="1" t="s">
        <v>24</v>
      </c>
      <c r="J308" s="1" t="s">
        <v>25</v>
      </c>
      <c r="K308" s="1" t="s">
        <v>25</v>
      </c>
      <c r="L308" s="1" t="s">
        <v>26</v>
      </c>
      <c r="M308" s="1" t="s">
        <v>25</v>
      </c>
      <c r="N308" s="1" t="s">
        <v>25</v>
      </c>
      <c r="O308" s="1" t="s">
        <v>25</v>
      </c>
      <c r="P308" s="1" t="s">
        <v>25</v>
      </c>
      <c r="Q308" s="1" t="s">
        <v>25</v>
      </c>
      <c r="R308" s="70" t="str">
        <f t="shared" si="29"/>
        <v>5045906</v>
      </c>
      <c r="S308" t="str">
        <f>VLOOKUP(A308,Data_NV!$A:$C,3,0)</f>
        <v>Nguyễn Hữu Phước</v>
      </c>
      <c r="T308" t="str">
        <f>VLOOKUP(A308,Data_NV!$A:$E,4,0)</f>
        <v>Vận Hành</v>
      </c>
      <c r="U308" s="67">
        <f>DATEVALUE(Table2[[#This Row],[Ngày]])</f>
        <v>45906</v>
      </c>
      <c r="V308" t="str">
        <f>VLOOKUP(A308,Data_NV!$A:$E,5,0)</f>
        <v>Đang làm việc</v>
      </c>
      <c r="W308" s="11">
        <f>VLOOKUP(A308,Data_NV!$A:$I,8,0)</f>
        <v>0.3125</v>
      </c>
      <c r="X308" s="11">
        <f>VLOOKUP(A308,Data_NV!$A:$I,9,0)</f>
        <v>0.6875</v>
      </c>
      <c r="Y308" s="11">
        <f>IFERROR(TIMEVALUE(Table2[[#This Row],[Vào]]),0)</f>
        <v>0.31510416666666669</v>
      </c>
      <c r="Z308" s="11">
        <f>IFERROR(TIMEVALUE(Table2[[#This Row],[Ra]]),0)</f>
        <v>0</v>
      </c>
      <c r="AA308" t="str">
        <f t="shared" si="32"/>
        <v>x</v>
      </c>
      <c r="AB308" s="14">
        <f t="shared" si="30"/>
        <v>3</v>
      </c>
      <c r="AC308" s="14" t="str">
        <f>IF(VLOOKUP(A308,Data_NV!$A:$I,7,0)="Không","",IF(OR(AND(Y308=0,Z308=0),AND(Y308&lt;&gt;0,Z308&lt;&gt;0)),"","Quên chấm công"))</f>
        <v/>
      </c>
      <c r="AD308" s="14">
        <f>IF(VLOOKUP(A308,Data_NV!$A:$I,7,0)="Không",0,IF(AND(Y308=0,Z308=0),0,IF(X308&lt;=Z308,0,ROUNDDOWN((X308-Z308)*24*60,0))))</f>
        <v>0</v>
      </c>
      <c r="AE308" s="14">
        <f>IF(VLOOKUP(A308,Data_NV!$A:$I,6,0)="Không",0,IF(Z308&lt;=X308,0,ROUNDDOWN((Z308-X308)*24*60,0)))</f>
        <v>0</v>
      </c>
      <c r="AF308" s="29">
        <f t="shared" si="31"/>
        <v>0</v>
      </c>
      <c r="AG308" s="30" t="str">
        <f>IF(AC308="","",IF(COUNTIFS($AC$3:AC308,"Quên chấm công",$S$3:S308,S308)&gt;3,"Không chấm công do vi phạm quá 3 lần",IF(COUNTIFS($AC$3:AC308,"Quên chấm công",$S$3:S308,S308)&gt;2,"Trừ toàn bộ chuyên cần tháng do vi phạm lần 3",IF(COUNTIFS($AC$3:AC308,"Quên chấm công",$S$3:S308,S308)&gt;1,"Trừ 1/2 ngày lương",50000))))</f>
        <v/>
      </c>
      <c r="AH308" s="14" t="str">
        <f>IF(COUNTIFS($AF$3:AF308,"&gt;0",$S$3:S308,S308)&gt;3,"Trừ toàn bộ chuyên cần tháng","")</f>
        <v/>
      </c>
      <c r="AI308" s="14"/>
      <c r="AJ308" s="14"/>
    </row>
    <row r="309" spans="1:36" x14ac:dyDescent="0.25">
      <c r="A309" s="4" t="s">
        <v>590</v>
      </c>
      <c r="B309" s="1" t="s">
        <v>591</v>
      </c>
      <c r="C309" s="1" t="s">
        <v>20</v>
      </c>
      <c r="D309" s="1" t="s">
        <v>47</v>
      </c>
      <c r="E309" s="1" t="s">
        <v>22</v>
      </c>
      <c r="F309" s="1" t="s">
        <v>23</v>
      </c>
      <c r="G309" s="1" t="s">
        <v>12</v>
      </c>
      <c r="H309" s="12" t="s">
        <v>24</v>
      </c>
      <c r="I309" s="1" t="s">
        <v>24</v>
      </c>
      <c r="J309" s="1" t="s">
        <v>25</v>
      </c>
      <c r="K309" s="1" t="s">
        <v>25</v>
      </c>
      <c r="L309" s="1" t="s">
        <v>26</v>
      </c>
      <c r="M309" s="1" t="s">
        <v>25</v>
      </c>
      <c r="N309" s="1" t="s">
        <v>25</v>
      </c>
      <c r="O309" s="1" t="s">
        <v>25</v>
      </c>
      <c r="P309" s="1" t="s">
        <v>25</v>
      </c>
      <c r="Q309" s="1" t="s">
        <v>25</v>
      </c>
      <c r="R309" s="70" t="str">
        <f t="shared" si="29"/>
        <v>5045907</v>
      </c>
      <c r="S309" t="str">
        <f>VLOOKUP(A309,Data_NV!$A:$C,3,0)</f>
        <v>Nguyễn Hữu Phước</v>
      </c>
      <c r="T309" t="str">
        <f>VLOOKUP(A309,Data_NV!$A:$E,4,0)</f>
        <v>Vận Hành</v>
      </c>
      <c r="U309" s="67">
        <f>DATEVALUE(Table2[[#This Row],[Ngày]])</f>
        <v>45907</v>
      </c>
      <c r="V309" t="str">
        <f>VLOOKUP(A309,Data_NV!$A:$E,5,0)</f>
        <v>Đang làm việc</v>
      </c>
      <c r="W309" s="11">
        <f>VLOOKUP(A309,Data_NV!$A:$I,8,0)</f>
        <v>0.3125</v>
      </c>
      <c r="X309" s="11">
        <f>VLOOKUP(A309,Data_NV!$A:$I,9,0)</f>
        <v>0.6875</v>
      </c>
      <c r="Y309" s="11">
        <f>IFERROR(TIMEVALUE(Table2[[#This Row],[Vào]]),0)</f>
        <v>0</v>
      </c>
      <c r="Z309" s="11">
        <f>IFERROR(TIMEVALUE(Table2[[#This Row],[Ra]]),0)</f>
        <v>0</v>
      </c>
      <c r="AA309" t="str">
        <f t="shared" si="32"/>
        <v/>
      </c>
      <c r="AB309" s="14">
        <f t="shared" si="30"/>
        <v>0</v>
      </c>
      <c r="AC309" s="14" t="str">
        <f>IF(VLOOKUP(A309,Data_NV!$A:$I,7,0)="Không","",IF(OR(AND(Y309=0,Z309=0),AND(Y309&lt;&gt;0,Z309&lt;&gt;0)),"","Quên chấm công"))</f>
        <v/>
      </c>
      <c r="AD309" s="14">
        <f>IF(VLOOKUP(A309,Data_NV!$A:$I,7,0)="Không",0,IF(AND(Y309=0,Z309=0),0,IF(X309&lt;=Z309,0,ROUNDDOWN((X309-Z309)*24*60,0))))</f>
        <v>0</v>
      </c>
      <c r="AE309" s="14">
        <f>IF(VLOOKUP(A309,Data_NV!$A:$I,6,0)="Không",0,IF(Z309&lt;=X309,0,ROUNDDOWN((Z309-X309)*24*60,0)))</f>
        <v>0</v>
      </c>
      <c r="AF309" s="29">
        <f t="shared" si="31"/>
        <v>0</v>
      </c>
      <c r="AG309" s="30" t="str">
        <f>IF(AC309="","",IF(COUNTIFS($AC$3:AC309,"Quên chấm công",$S$3:S309,S309)&gt;3,"Không chấm công do vi phạm quá 3 lần",IF(COUNTIFS($AC$3:AC309,"Quên chấm công",$S$3:S309,S309)&gt;2,"Trừ toàn bộ chuyên cần tháng do vi phạm lần 3",IF(COUNTIFS($AC$3:AC309,"Quên chấm công",$S$3:S309,S309)&gt;1,"Trừ 1/2 ngày lương",50000))))</f>
        <v/>
      </c>
      <c r="AH309" s="14" t="str">
        <f>IF(COUNTIFS($AF$3:AF309,"&gt;0",$S$3:S309,S309)&gt;3,"Trừ toàn bộ chuyên cần tháng","")</f>
        <v/>
      </c>
      <c r="AI309" s="14"/>
      <c r="AJ309" s="14"/>
    </row>
    <row r="310" spans="1:36" x14ac:dyDescent="0.25">
      <c r="A310" s="4" t="s">
        <v>590</v>
      </c>
      <c r="B310" s="1" t="s">
        <v>591</v>
      </c>
      <c r="C310" s="1" t="s">
        <v>20</v>
      </c>
      <c r="D310" s="1" t="s">
        <v>48</v>
      </c>
      <c r="E310" s="1" t="s">
        <v>22</v>
      </c>
      <c r="F310" s="1" t="s">
        <v>23</v>
      </c>
      <c r="G310" s="1" t="s">
        <v>12</v>
      </c>
      <c r="H310" s="12" t="s">
        <v>596</v>
      </c>
      <c r="I310" s="1" t="s">
        <v>24</v>
      </c>
      <c r="J310" s="1" t="s">
        <v>25</v>
      </c>
      <c r="K310" s="1" t="s">
        <v>25</v>
      </c>
      <c r="L310" s="1" t="s">
        <v>26</v>
      </c>
      <c r="M310" s="1" t="s">
        <v>25</v>
      </c>
      <c r="N310" s="1" t="s">
        <v>25</v>
      </c>
      <c r="O310" s="1" t="s">
        <v>25</v>
      </c>
      <c r="P310" s="1" t="s">
        <v>25</v>
      </c>
      <c r="Q310" s="1" t="s">
        <v>25</v>
      </c>
      <c r="R310" s="70" t="str">
        <f t="shared" si="29"/>
        <v>5045908</v>
      </c>
      <c r="S310" t="str">
        <f>VLOOKUP(A310,Data_NV!$A:$C,3,0)</f>
        <v>Nguyễn Hữu Phước</v>
      </c>
      <c r="T310" t="str">
        <f>VLOOKUP(A310,Data_NV!$A:$E,4,0)</f>
        <v>Vận Hành</v>
      </c>
      <c r="U310" s="67">
        <f>DATEVALUE(Table2[[#This Row],[Ngày]])</f>
        <v>45908</v>
      </c>
      <c r="V310" t="str">
        <f>VLOOKUP(A310,Data_NV!$A:$E,5,0)</f>
        <v>Đang làm việc</v>
      </c>
      <c r="W310" s="11">
        <f>VLOOKUP(A310,Data_NV!$A:$I,8,0)</f>
        <v>0.3125</v>
      </c>
      <c r="X310" s="11">
        <f>VLOOKUP(A310,Data_NV!$A:$I,9,0)</f>
        <v>0.6875</v>
      </c>
      <c r="Y310" s="11">
        <f>IFERROR(TIMEVALUE(Table2[[#This Row],[Vào]]),0)</f>
        <v>0.31513888888888891</v>
      </c>
      <c r="Z310" s="11">
        <f>IFERROR(TIMEVALUE(Table2[[#This Row],[Ra]]),0)</f>
        <v>0</v>
      </c>
      <c r="AA310" t="str">
        <f t="shared" si="32"/>
        <v>x</v>
      </c>
      <c r="AB310" s="14">
        <f t="shared" si="30"/>
        <v>3</v>
      </c>
      <c r="AC310" s="14" t="str">
        <f>IF(VLOOKUP(A310,Data_NV!$A:$I,7,0)="Không","",IF(OR(AND(Y310=0,Z310=0),AND(Y310&lt;&gt;0,Z310&lt;&gt;0)),"","Quên chấm công"))</f>
        <v/>
      </c>
      <c r="AD310" s="14">
        <f>IF(VLOOKUP(A310,Data_NV!$A:$I,7,0)="Không",0,IF(AND(Y310=0,Z310=0),0,IF(X310&lt;=Z310,0,ROUNDDOWN((X310-Z310)*24*60,0))))</f>
        <v>0</v>
      </c>
      <c r="AE310" s="14">
        <f>IF(VLOOKUP(A310,Data_NV!$A:$I,6,0)="Không",0,IF(Z310&lt;=X310,0,ROUNDDOWN((Z310-X310)*24*60,0)))</f>
        <v>0</v>
      </c>
      <c r="AF310" s="29">
        <f t="shared" si="31"/>
        <v>0</v>
      </c>
      <c r="AG310" s="30" t="str">
        <f>IF(AC310="","",IF(COUNTIFS($AC$3:AC310,"Quên chấm công",$S$3:S310,S310)&gt;3,"Không chấm công do vi phạm quá 3 lần",IF(COUNTIFS($AC$3:AC310,"Quên chấm công",$S$3:S310,S310)&gt;2,"Trừ toàn bộ chuyên cần tháng do vi phạm lần 3",IF(COUNTIFS($AC$3:AC310,"Quên chấm công",$S$3:S310,S310)&gt;1,"Trừ 1/2 ngày lương",50000))))</f>
        <v/>
      </c>
      <c r="AH310" s="14" t="str">
        <f>IF(COUNTIFS($AF$3:AF310,"&gt;0",$S$3:S310,S310)&gt;3,"Trừ toàn bộ chuyên cần tháng","")</f>
        <v/>
      </c>
      <c r="AI310" s="14"/>
      <c r="AJ310" s="14"/>
    </row>
    <row r="311" spans="1:36" x14ac:dyDescent="0.25">
      <c r="A311" s="4" t="s">
        <v>590</v>
      </c>
      <c r="B311" s="1" t="s">
        <v>591</v>
      </c>
      <c r="C311" s="1" t="s">
        <v>20</v>
      </c>
      <c r="D311" s="1" t="s">
        <v>53</v>
      </c>
      <c r="E311" s="1" t="s">
        <v>22</v>
      </c>
      <c r="F311" s="1" t="s">
        <v>23</v>
      </c>
      <c r="G311" s="1" t="s">
        <v>12</v>
      </c>
      <c r="H311" s="12" t="s">
        <v>597</v>
      </c>
      <c r="I311" s="1" t="s">
        <v>24</v>
      </c>
      <c r="J311" s="1" t="s">
        <v>25</v>
      </c>
      <c r="K311" s="1" t="s">
        <v>25</v>
      </c>
      <c r="L311" s="1" t="s">
        <v>26</v>
      </c>
      <c r="M311" s="1" t="s">
        <v>25</v>
      </c>
      <c r="N311" s="1" t="s">
        <v>25</v>
      </c>
      <c r="O311" s="1" t="s">
        <v>25</v>
      </c>
      <c r="P311" s="1" t="s">
        <v>25</v>
      </c>
      <c r="Q311" s="1" t="s">
        <v>25</v>
      </c>
      <c r="R311" s="70" t="str">
        <f t="shared" si="29"/>
        <v>5045909</v>
      </c>
      <c r="S311" t="str">
        <f>VLOOKUP(A311,Data_NV!$A:$C,3,0)</f>
        <v>Nguyễn Hữu Phước</v>
      </c>
      <c r="T311" t="str">
        <f>VLOOKUP(A311,Data_NV!$A:$E,4,0)</f>
        <v>Vận Hành</v>
      </c>
      <c r="U311" s="67">
        <f>DATEVALUE(Table2[[#This Row],[Ngày]])</f>
        <v>45909</v>
      </c>
      <c r="V311" t="str">
        <f>VLOOKUP(A311,Data_NV!$A:$E,5,0)</f>
        <v>Đang làm việc</v>
      </c>
      <c r="W311" s="11">
        <f>VLOOKUP(A311,Data_NV!$A:$I,8,0)</f>
        <v>0.3125</v>
      </c>
      <c r="X311" s="11">
        <f>VLOOKUP(A311,Data_NV!$A:$I,9,0)</f>
        <v>0.6875</v>
      </c>
      <c r="Y311" s="11">
        <f>IFERROR(TIMEVALUE(Table2[[#This Row],[Vào]]),0)</f>
        <v>0.3150115740740741</v>
      </c>
      <c r="Z311" s="11">
        <f>IFERROR(TIMEVALUE(Table2[[#This Row],[Ra]]),0)</f>
        <v>0</v>
      </c>
      <c r="AA311" t="str">
        <f t="shared" si="32"/>
        <v>x</v>
      </c>
      <c r="AB311" s="14">
        <f t="shared" si="30"/>
        <v>3</v>
      </c>
      <c r="AC311" s="14" t="str">
        <f>IF(VLOOKUP(A311,Data_NV!$A:$I,7,0)="Không","",IF(OR(AND(Y311=0,Z311=0),AND(Y311&lt;&gt;0,Z311&lt;&gt;0)),"","Quên chấm công"))</f>
        <v/>
      </c>
      <c r="AD311" s="14">
        <f>IF(VLOOKUP(A311,Data_NV!$A:$I,7,0)="Không",0,IF(AND(Y311=0,Z311=0),0,IF(X311&lt;=Z311,0,ROUNDDOWN((X311-Z311)*24*60,0))))</f>
        <v>0</v>
      </c>
      <c r="AE311" s="14">
        <f>IF(VLOOKUP(A311,Data_NV!$A:$I,6,0)="Không",0,IF(Z311&lt;=X311,0,ROUNDDOWN((Z311-X311)*24*60,0)))</f>
        <v>0</v>
      </c>
      <c r="AF311" s="29">
        <f t="shared" si="31"/>
        <v>0</v>
      </c>
      <c r="AG311" s="30" t="str">
        <f>IF(AC311="","",IF(COUNTIFS($AC$3:AC311,"Quên chấm công",$S$3:S311,S311)&gt;3,"Không chấm công do vi phạm quá 3 lần",IF(COUNTIFS($AC$3:AC311,"Quên chấm công",$S$3:S311,S311)&gt;2,"Trừ toàn bộ chuyên cần tháng do vi phạm lần 3",IF(COUNTIFS($AC$3:AC311,"Quên chấm công",$S$3:S311,S311)&gt;1,"Trừ 1/2 ngày lương",50000))))</f>
        <v/>
      </c>
      <c r="AH311" s="14" t="str">
        <f>IF(COUNTIFS($AF$3:AF311,"&gt;0",$S$3:S311,S311)&gt;3,"Trừ toàn bộ chuyên cần tháng","")</f>
        <v/>
      </c>
      <c r="AI311" s="14"/>
      <c r="AJ311" s="14"/>
    </row>
    <row r="312" spans="1:36" x14ac:dyDescent="0.25">
      <c r="A312" s="4" t="s">
        <v>590</v>
      </c>
      <c r="B312" s="1" t="s">
        <v>591</v>
      </c>
      <c r="C312" s="1" t="s">
        <v>20</v>
      </c>
      <c r="D312" s="1" t="s">
        <v>58</v>
      </c>
      <c r="E312" s="1" t="s">
        <v>22</v>
      </c>
      <c r="F312" s="1" t="s">
        <v>23</v>
      </c>
      <c r="G312" s="1" t="s">
        <v>12</v>
      </c>
      <c r="H312" s="12" t="s">
        <v>598</v>
      </c>
      <c r="I312" s="1" t="s">
        <v>24</v>
      </c>
      <c r="J312" s="1" t="s">
        <v>25</v>
      </c>
      <c r="K312" s="1" t="s">
        <v>25</v>
      </c>
      <c r="L312" s="1" t="s">
        <v>26</v>
      </c>
      <c r="M312" s="1" t="s">
        <v>25</v>
      </c>
      <c r="N312" s="1" t="s">
        <v>25</v>
      </c>
      <c r="O312" s="1" t="s">
        <v>25</v>
      </c>
      <c r="P312" s="1" t="s">
        <v>25</v>
      </c>
      <c r="Q312" s="1" t="s">
        <v>25</v>
      </c>
      <c r="R312" s="70" t="str">
        <f t="shared" si="29"/>
        <v>5045910</v>
      </c>
      <c r="S312" t="str">
        <f>VLOOKUP(A312,Data_NV!$A:$C,3,0)</f>
        <v>Nguyễn Hữu Phước</v>
      </c>
      <c r="T312" t="str">
        <f>VLOOKUP(A312,Data_NV!$A:$E,4,0)</f>
        <v>Vận Hành</v>
      </c>
      <c r="U312" s="67">
        <f>DATEVALUE(Table2[[#This Row],[Ngày]])</f>
        <v>45910</v>
      </c>
      <c r="V312" t="str">
        <f>VLOOKUP(A312,Data_NV!$A:$E,5,0)</f>
        <v>Đang làm việc</v>
      </c>
      <c r="W312" s="11">
        <f>VLOOKUP(A312,Data_NV!$A:$I,8,0)</f>
        <v>0.3125</v>
      </c>
      <c r="X312" s="11">
        <f>VLOOKUP(A312,Data_NV!$A:$I,9,0)</f>
        <v>0.6875</v>
      </c>
      <c r="Y312" s="11">
        <f>IFERROR(TIMEVALUE(Table2[[#This Row],[Vào]]),0)</f>
        <v>0.30928240740740742</v>
      </c>
      <c r="Z312" s="11">
        <f>IFERROR(TIMEVALUE(Table2[[#This Row],[Ra]]),0)</f>
        <v>0</v>
      </c>
      <c r="AA312" t="str">
        <f t="shared" si="32"/>
        <v>x</v>
      </c>
      <c r="AB312" s="14">
        <f t="shared" si="30"/>
        <v>0</v>
      </c>
      <c r="AC312" s="14" t="str">
        <f>IF(VLOOKUP(A312,Data_NV!$A:$I,7,0)="Không","",IF(OR(AND(Y312=0,Z312=0),AND(Y312&lt;&gt;0,Z312&lt;&gt;0)),"","Quên chấm công"))</f>
        <v/>
      </c>
      <c r="AD312" s="14">
        <f>IF(VLOOKUP(A312,Data_NV!$A:$I,7,0)="Không",0,IF(AND(Y312=0,Z312=0),0,IF(X312&lt;=Z312,0,ROUNDDOWN((X312-Z312)*24*60,0))))</f>
        <v>0</v>
      </c>
      <c r="AE312" s="14">
        <f>IF(VLOOKUP(A312,Data_NV!$A:$I,6,0)="Không",0,IF(Z312&lt;=X312,0,ROUNDDOWN((Z312-X312)*24*60,0)))</f>
        <v>0</v>
      </c>
      <c r="AF312" s="29">
        <f t="shared" si="31"/>
        <v>0</v>
      </c>
      <c r="AG312" s="30" t="str">
        <f>IF(AC312="","",IF(COUNTIFS($AC$3:AC312,"Quên chấm công",$S$3:S312,S312)&gt;3,"Không chấm công do vi phạm quá 3 lần",IF(COUNTIFS($AC$3:AC312,"Quên chấm công",$S$3:S312,S312)&gt;2,"Trừ toàn bộ chuyên cần tháng do vi phạm lần 3",IF(COUNTIFS($AC$3:AC312,"Quên chấm công",$S$3:S312,S312)&gt;1,"Trừ 1/2 ngày lương",50000))))</f>
        <v/>
      </c>
      <c r="AH312" s="14" t="str">
        <f>IF(COUNTIFS($AF$3:AF312,"&gt;0",$S$3:S312,S312)&gt;3,"Trừ toàn bộ chuyên cần tháng","")</f>
        <v/>
      </c>
      <c r="AI312" s="14"/>
      <c r="AJ312" s="14"/>
    </row>
    <row r="313" spans="1:36" x14ac:dyDescent="0.25">
      <c r="A313" s="4" t="s">
        <v>590</v>
      </c>
      <c r="B313" s="1" t="s">
        <v>591</v>
      </c>
      <c r="C313" s="1" t="s">
        <v>20</v>
      </c>
      <c r="D313" s="1" t="s">
        <v>63</v>
      </c>
      <c r="E313" s="1" t="s">
        <v>22</v>
      </c>
      <c r="F313" s="1" t="s">
        <v>23</v>
      </c>
      <c r="G313" s="1" t="s">
        <v>12</v>
      </c>
      <c r="H313" s="12" t="s">
        <v>599</v>
      </c>
      <c r="I313" s="1" t="s">
        <v>24</v>
      </c>
      <c r="J313" s="1" t="s">
        <v>25</v>
      </c>
      <c r="K313" s="1" t="s">
        <v>25</v>
      </c>
      <c r="L313" s="1" t="s">
        <v>26</v>
      </c>
      <c r="M313" s="1" t="s">
        <v>25</v>
      </c>
      <c r="N313" s="1" t="s">
        <v>25</v>
      </c>
      <c r="O313" s="1" t="s">
        <v>25</v>
      </c>
      <c r="P313" s="1" t="s">
        <v>25</v>
      </c>
      <c r="Q313" s="1" t="s">
        <v>25</v>
      </c>
      <c r="R313" s="70" t="str">
        <f t="shared" si="29"/>
        <v>5045911</v>
      </c>
      <c r="S313" t="str">
        <f>VLOOKUP(A313,Data_NV!$A:$C,3,0)</f>
        <v>Nguyễn Hữu Phước</v>
      </c>
      <c r="T313" t="str">
        <f>VLOOKUP(A313,Data_NV!$A:$E,4,0)</f>
        <v>Vận Hành</v>
      </c>
      <c r="U313" s="67">
        <f>DATEVALUE(Table2[[#This Row],[Ngày]])</f>
        <v>45911</v>
      </c>
      <c r="V313" t="str">
        <f>VLOOKUP(A313,Data_NV!$A:$E,5,0)</f>
        <v>Đang làm việc</v>
      </c>
      <c r="W313" s="11">
        <f>VLOOKUP(A313,Data_NV!$A:$I,8,0)</f>
        <v>0.3125</v>
      </c>
      <c r="X313" s="11">
        <f>VLOOKUP(A313,Data_NV!$A:$I,9,0)</f>
        <v>0.6875</v>
      </c>
      <c r="Y313" s="11">
        <f>IFERROR(TIMEVALUE(Table2[[#This Row],[Vào]]),0)</f>
        <v>0.3121990740740741</v>
      </c>
      <c r="Z313" s="11">
        <f>IFERROR(TIMEVALUE(Table2[[#This Row],[Ra]]),0)</f>
        <v>0</v>
      </c>
      <c r="AA313" t="str">
        <f t="shared" si="32"/>
        <v>x</v>
      </c>
      <c r="AB313" s="14">
        <f t="shared" si="30"/>
        <v>0</v>
      </c>
      <c r="AC313" s="14" t="str">
        <f>IF(VLOOKUP(A313,Data_NV!$A:$I,7,0)="Không","",IF(OR(AND(Y313=0,Z313=0),AND(Y313&lt;&gt;0,Z313&lt;&gt;0)),"","Quên chấm công"))</f>
        <v/>
      </c>
      <c r="AD313" s="14">
        <f>IF(VLOOKUP(A313,Data_NV!$A:$I,7,0)="Không",0,IF(AND(Y313=0,Z313=0),0,IF(X313&lt;=Z313,0,ROUNDDOWN((X313-Z313)*24*60,0))))</f>
        <v>0</v>
      </c>
      <c r="AE313" s="14">
        <f>IF(VLOOKUP(A313,Data_NV!$A:$I,6,0)="Không",0,IF(Z313&lt;=X313,0,ROUNDDOWN((Z313-X313)*24*60,0)))</f>
        <v>0</v>
      </c>
      <c r="AF313" s="29">
        <f t="shared" si="31"/>
        <v>0</v>
      </c>
      <c r="AG313" s="30" t="str">
        <f>IF(AC313="","",IF(COUNTIFS($AC$3:AC313,"Quên chấm công",$S$3:S313,S313)&gt;3,"Không chấm công do vi phạm quá 3 lần",IF(COUNTIFS($AC$3:AC313,"Quên chấm công",$S$3:S313,S313)&gt;2,"Trừ toàn bộ chuyên cần tháng do vi phạm lần 3",IF(COUNTIFS($AC$3:AC313,"Quên chấm công",$S$3:S313,S313)&gt;1,"Trừ 1/2 ngày lương",50000))))</f>
        <v/>
      </c>
      <c r="AH313" s="14" t="str">
        <f>IF(COUNTIFS($AF$3:AF313,"&gt;0",$S$3:S313,S313)&gt;3,"Trừ toàn bộ chuyên cần tháng","")</f>
        <v/>
      </c>
      <c r="AI313" s="14"/>
      <c r="AJ313" s="14"/>
    </row>
    <row r="314" spans="1:36" x14ac:dyDescent="0.25">
      <c r="A314" s="4" t="s">
        <v>590</v>
      </c>
      <c r="B314" s="1" t="s">
        <v>591</v>
      </c>
      <c r="C314" s="1" t="s">
        <v>20</v>
      </c>
      <c r="D314" s="1" t="s">
        <v>67</v>
      </c>
      <c r="E314" s="1" t="s">
        <v>22</v>
      </c>
      <c r="F314" s="1" t="s">
        <v>23</v>
      </c>
      <c r="G314" s="1" t="s">
        <v>12</v>
      </c>
      <c r="H314" s="12" t="s">
        <v>600</v>
      </c>
      <c r="I314" s="1" t="s">
        <v>24</v>
      </c>
      <c r="J314" s="1" t="s">
        <v>25</v>
      </c>
      <c r="K314" s="1" t="s">
        <v>25</v>
      </c>
      <c r="L314" s="1" t="s">
        <v>26</v>
      </c>
      <c r="M314" s="1" t="s">
        <v>25</v>
      </c>
      <c r="N314" s="1" t="s">
        <v>25</v>
      </c>
      <c r="O314" s="1" t="s">
        <v>25</v>
      </c>
      <c r="P314" s="1" t="s">
        <v>25</v>
      </c>
      <c r="Q314" s="1" t="s">
        <v>25</v>
      </c>
      <c r="R314" s="70" t="str">
        <f t="shared" si="29"/>
        <v>5045912</v>
      </c>
      <c r="S314" t="str">
        <f>VLOOKUP(A314,Data_NV!$A:$C,3,0)</f>
        <v>Nguyễn Hữu Phước</v>
      </c>
      <c r="T314" t="str">
        <f>VLOOKUP(A314,Data_NV!$A:$E,4,0)</f>
        <v>Vận Hành</v>
      </c>
      <c r="U314" s="67">
        <f>DATEVALUE(Table2[[#This Row],[Ngày]])</f>
        <v>45912</v>
      </c>
      <c r="V314" t="str">
        <f>VLOOKUP(A314,Data_NV!$A:$E,5,0)</f>
        <v>Đang làm việc</v>
      </c>
      <c r="W314" s="11">
        <f>VLOOKUP(A314,Data_NV!$A:$I,8,0)</f>
        <v>0.3125</v>
      </c>
      <c r="X314" s="11">
        <f>VLOOKUP(A314,Data_NV!$A:$I,9,0)</f>
        <v>0.6875</v>
      </c>
      <c r="Y314" s="11">
        <f>IFERROR(TIMEVALUE(Table2[[#This Row],[Vào]]),0)</f>
        <v>0.31790509259259259</v>
      </c>
      <c r="Z314" s="11">
        <f>IFERROR(TIMEVALUE(Table2[[#This Row],[Ra]]),0)</f>
        <v>0</v>
      </c>
      <c r="AA314" t="str">
        <f t="shared" si="32"/>
        <v>x</v>
      </c>
      <c r="AB314" s="14">
        <f t="shared" si="30"/>
        <v>7</v>
      </c>
      <c r="AC314" s="14" t="str">
        <f>IF(VLOOKUP(A314,Data_NV!$A:$I,7,0)="Không","",IF(OR(AND(Y314=0,Z314=0),AND(Y314&lt;&gt;0,Z314&lt;&gt;0)),"","Quên chấm công"))</f>
        <v/>
      </c>
      <c r="AD314" s="14">
        <f>IF(VLOOKUP(A314,Data_NV!$A:$I,7,0)="Không",0,IF(AND(Y314=0,Z314=0),0,IF(X314&lt;=Z314,0,ROUNDDOWN((X314-Z314)*24*60,0))))</f>
        <v>0</v>
      </c>
      <c r="AE314" s="14">
        <f>IF(VLOOKUP(A314,Data_NV!$A:$I,6,0)="Không",0,IF(Z314&lt;=X314,0,ROUNDDOWN((Z314-X314)*24*60,0)))</f>
        <v>0</v>
      </c>
      <c r="AF314" s="29">
        <f t="shared" si="31"/>
        <v>30000</v>
      </c>
      <c r="AG314" s="30" t="str">
        <f>IF(AC314="","",IF(COUNTIFS($AC$3:AC314,"Quên chấm công",$S$3:S314,S314)&gt;3,"Không chấm công do vi phạm quá 3 lần",IF(COUNTIFS($AC$3:AC314,"Quên chấm công",$S$3:S314,S314)&gt;2,"Trừ toàn bộ chuyên cần tháng do vi phạm lần 3",IF(COUNTIFS($AC$3:AC314,"Quên chấm công",$S$3:S314,S314)&gt;1,"Trừ 1/2 ngày lương",50000))))</f>
        <v/>
      </c>
      <c r="AH314" s="14" t="str">
        <f>IF(COUNTIFS($AF$3:AF314,"&gt;0",$S$3:S314,S314)&gt;3,"Trừ toàn bộ chuyên cần tháng","")</f>
        <v/>
      </c>
      <c r="AI314" s="14"/>
      <c r="AJ314" s="14"/>
    </row>
    <row r="315" spans="1:36" x14ac:dyDescent="0.25">
      <c r="A315" s="4" t="s">
        <v>590</v>
      </c>
      <c r="B315" s="1" t="s">
        <v>591</v>
      </c>
      <c r="C315" s="1" t="s">
        <v>20</v>
      </c>
      <c r="D315" s="1" t="s">
        <v>69</v>
      </c>
      <c r="E315" s="1" t="s">
        <v>22</v>
      </c>
      <c r="F315" s="1" t="s">
        <v>23</v>
      </c>
      <c r="G315" s="1" t="s">
        <v>12</v>
      </c>
      <c r="H315" s="12" t="s">
        <v>601</v>
      </c>
      <c r="I315" s="1" t="s">
        <v>24</v>
      </c>
      <c r="J315" s="1" t="s">
        <v>25</v>
      </c>
      <c r="K315" s="1" t="s">
        <v>25</v>
      </c>
      <c r="L315" s="1" t="s">
        <v>26</v>
      </c>
      <c r="M315" s="1" t="s">
        <v>25</v>
      </c>
      <c r="N315" s="1" t="s">
        <v>25</v>
      </c>
      <c r="O315" s="1" t="s">
        <v>25</v>
      </c>
      <c r="P315" s="1" t="s">
        <v>25</v>
      </c>
      <c r="Q315" s="1" t="s">
        <v>25</v>
      </c>
      <c r="R315" s="70" t="str">
        <f t="shared" si="29"/>
        <v>5045913</v>
      </c>
      <c r="S315" t="str">
        <f>VLOOKUP(A315,Data_NV!$A:$C,3,0)</f>
        <v>Nguyễn Hữu Phước</v>
      </c>
      <c r="T315" t="str">
        <f>VLOOKUP(A315,Data_NV!$A:$E,4,0)</f>
        <v>Vận Hành</v>
      </c>
      <c r="U315" s="67">
        <f>DATEVALUE(Table2[[#This Row],[Ngày]])</f>
        <v>45913</v>
      </c>
      <c r="V315" t="str">
        <f>VLOOKUP(A315,Data_NV!$A:$E,5,0)</f>
        <v>Đang làm việc</v>
      </c>
      <c r="W315" s="11">
        <f>VLOOKUP(A315,Data_NV!$A:$I,8,0)</f>
        <v>0.3125</v>
      </c>
      <c r="X315" s="11">
        <f>VLOOKUP(A315,Data_NV!$A:$I,9,0)</f>
        <v>0.6875</v>
      </c>
      <c r="Y315" s="11">
        <f>IFERROR(TIMEVALUE(Table2[[#This Row],[Vào]]),0)</f>
        <v>0.31164351851851851</v>
      </c>
      <c r="Z315" s="11">
        <f>IFERROR(TIMEVALUE(Table2[[#This Row],[Ra]]),0)</f>
        <v>0</v>
      </c>
      <c r="AA315" t="str">
        <f t="shared" si="32"/>
        <v>x</v>
      </c>
      <c r="AB315" s="14">
        <f t="shared" si="30"/>
        <v>0</v>
      </c>
      <c r="AC315" s="14" t="str">
        <f>IF(VLOOKUP(A315,Data_NV!$A:$I,7,0)="Không","",IF(OR(AND(Y315=0,Z315=0),AND(Y315&lt;&gt;0,Z315&lt;&gt;0)),"","Quên chấm công"))</f>
        <v/>
      </c>
      <c r="AD315" s="14">
        <f>IF(VLOOKUP(A315,Data_NV!$A:$I,7,0)="Không",0,IF(AND(Y315=0,Z315=0),0,IF(X315&lt;=Z315,0,ROUNDDOWN((X315-Z315)*24*60,0))))</f>
        <v>0</v>
      </c>
      <c r="AE315" s="14">
        <f>IF(VLOOKUP(A315,Data_NV!$A:$I,6,0)="Không",0,IF(Z315&lt;=X315,0,ROUNDDOWN((Z315-X315)*24*60,0)))</f>
        <v>0</v>
      </c>
      <c r="AF315" s="29">
        <f t="shared" si="31"/>
        <v>0</v>
      </c>
      <c r="AG315" s="30" t="str">
        <f>IF(AC315="","",IF(COUNTIFS($AC$3:AC315,"Quên chấm công",$S$3:S315,S315)&gt;3,"Không chấm công do vi phạm quá 3 lần",IF(COUNTIFS($AC$3:AC315,"Quên chấm công",$S$3:S315,S315)&gt;2,"Trừ toàn bộ chuyên cần tháng do vi phạm lần 3",IF(COUNTIFS($AC$3:AC315,"Quên chấm công",$S$3:S315,S315)&gt;1,"Trừ 1/2 ngày lương",50000))))</f>
        <v/>
      </c>
      <c r="AH315" s="14" t="str">
        <f>IF(COUNTIFS($AF$3:AF315,"&gt;0",$S$3:S315,S315)&gt;3,"Trừ toàn bộ chuyên cần tháng","")</f>
        <v/>
      </c>
      <c r="AI315" s="14"/>
      <c r="AJ315" s="14"/>
    </row>
    <row r="316" spans="1:36" x14ac:dyDescent="0.25">
      <c r="A316" s="4" t="s">
        <v>590</v>
      </c>
      <c r="B316" s="1" t="s">
        <v>591</v>
      </c>
      <c r="C316" s="1" t="s">
        <v>20</v>
      </c>
      <c r="D316" s="1" t="s">
        <v>74</v>
      </c>
      <c r="E316" s="1" t="s">
        <v>22</v>
      </c>
      <c r="F316" s="1" t="s">
        <v>23</v>
      </c>
      <c r="G316" s="1" t="s">
        <v>12</v>
      </c>
      <c r="H316" s="12" t="s">
        <v>24</v>
      </c>
      <c r="I316" s="1" t="s">
        <v>24</v>
      </c>
      <c r="J316" s="1" t="s">
        <v>25</v>
      </c>
      <c r="K316" s="1" t="s">
        <v>25</v>
      </c>
      <c r="L316" s="1" t="s">
        <v>26</v>
      </c>
      <c r="M316" s="1" t="s">
        <v>25</v>
      </c>
      <c r="N316" s="1" t="s">
        <v>25</v>
      </c>
      <c r="O316" s="1" t="s">
        <v>25</v>
      </c>
      <c r="P316" s="1" t="s">
        <v>25</v>
      </c>
      <c r="Q316" s="1" t="s">
        <v>25</v>
      </c>
      <c r="R316" s="70" t="str">
        <f t="shared" si="29"/>
        <v>5045914</v>
      </c>
      <c r="S316" t="str">
        <f>VLOOKUP(A316,Data_NV!$A:$C,3,0)</f>
        <v>Nguyễn Hữu Phước</v>
      </c>
      <c r="T316" t="str">
        <f>VLOOKUP(A316,Data_NV!$A:$E,4,0)</f>
        <v>Vận Hành</v>
      </c>
      <c r="U316" s="67">
        <f>DATEVALUE(Table2[[#This Row],[Ngày]])</f>
        <v>45914</v>
      </c>
      <c r="V316" t="str">
        <f>VLOOKUP(A316,Data_NV!$A:$E,5,0)</f>
        <v>Đang làm việc</v>
      </c>
      <c r="W316" s="11">
        <f>VLOOKUP(A316,Data_NV!$A:$I,8,0)</f>
        <v>0.3125</v>
      </c>
      <c r="X316" s="11">
        <f>VLOOKUP(A316,Data_NV!$A:$I,9,0)</f>
        <v>0.6875</v>
      </c>
      <c r="Y316" s="11">
        <f>IFERROR(TIMEVALUE(Table2[[#This Row],[Vào]]),0)</f>
        <v>0</v>
      </c>
      <c r="Z316" s="11">
        <f>IFERROR(TIMEVALUE(Table2[[#This Row],[Ra]]),0)</f>
        <v>0</v>
      </c>
      <c r="AA316" t="str">
        <f t="shared" si="32"/>
        <v/>
      </c>
      <c r="AB316" s="14">
        <f t="shared" si="30"/>
        <v>0</v>
      </c>
      <c r="AC316" s="14" t="str">
        <f>IF(VLOOKUP(A316,Data_NV!$A:$I,7,0)="Không","",IF(OR(AND(Y316=0,Z316=0),AND(Y316&lt;&gt;0,Z316&lt;&gt;0)),"","Quên chấm công"))</f>
        <v/>
      </c>
      <c r="AD316" s="14">
        <f>IF(VLOOKUP(A316,Data_NV!$A:$I,7,0)="Không",0,IF(AND(Y316=0,Z316=0),0,IF(X316&lt;=Z316,0,ROUNDDOWN((X316-Z316)*24*60,0))))</f>
        <v>0</v>
      </c>
      <c r="AE316" s="14">
        <f>IF(VLOOKUP(A316,Data_NV!$A:$I,6,0)="Không",0,IF(Z316&lt;=X316,0,ROUNDDOWN((Z316-X316)*24*60,0)))</f>
        <v>0</v>
      </c>
      <c r="AF316" s="29">
        <f t="shared" si="31"/>
        <v>0</v>
      </c>
      <c r="AG316" s="30" t="str">
        <f>IF(AC316="","",IF(COUNTIFS($AC$3:AC316,"Quên chấm công",$S$3:S316,S316)&gt;3,"Không chấm công do vi phạm quá 3 lần",IF(COUNTIFS($AC$3:AC316,"Quên chấm công",$S$3:S316,S316)&gt;2,"Trừ toàn bộ chuyên cần tháng do vi phạm lần 3",IF(COUNTIFS($AC$3:AC316,"Quên chấm công",$S$3:S316,S316)&gt;1,"Trừ 1/2 ngày lương",50000))))</f>
        <v/>
      </c>
      <c r="AH316" s="14" t="str">
        <f>IF(COUNTIFS($AF$3:AF316,"&gt;0",$S$3:S316,S316)&gt;3,"Trừ toàn bộ chuyên cần tháng","")</f>
        <v/>
      </c>
      <c r="AI316" s="14"/>
      <c r="AJ316" s="14"/>
    </row>
    <row r="317" spans="1:36" x14ac:dyDescent="0.25">
      <c r="A317" s="4" t="s">
        <v>590</v>
      </c>
      <c r="B317" s="1" t="s">
        <v>591</v>
      </c>
      <c r="C317" s="1" t="s">
        <v>20</v>
      </c>
      <c r="D317" s="1" t="s">
        <v>75</v>
      </c>
      <c r="E317" s="1" t="s">
        <v>22</v>
      </c>
      <c r="F317" s="1" t="s">
        <v>23</v>
      </c>
      <c r="G317" s="1" t="s">
        <v>12</v>
      </c>
      <c r="H317" s="12" t="s">
        <v>602</v>
      </c>
      <c r="I317" s="1" t="s">
        <v>24</v>
      </c>
      <c r="J317" s="1" t="s">
        <v>312</v>
      </c>
      <c r="K317" s="1" t="s">
        <v>25</v>
      </c>
      <c r="L317" s="1" t="s">
        <v>26</v>
      </c>
      <c r="M317" s="1" t="s">
        <v>25</v>
      </c>
      <c r="N317" s="1" t="s">
        <v>25</v>
      </c>
      <c r="O317" s="1" t="s">
        <v>25</v>
      </c>
      <c r="P317" s="1" t="s">
        <v>25</v>
      </c>
      <c r="Q317" s="1" t="s">
        <v>25</v>
      </c>
      <c r="R317" s="70" t="str">
        <f t="shared" si="29"/>
        <v>5045915</v>
      </c>
      <c r="S317" t="str">
        <f>VLOOKUP(A317,Data_NV!$A:$C,3,0)</f>
        <v>Nguyễn Hữu Phước</v>
      </c>
      <c r="T317" t="str">
        <f>VLOOKUP(A317,Data_NV!$A:$E,4,0)</f>
        <v>Vận Hành</v>
      </c>
      <c r="U317" s="67">
        <f>DATEVALUE(Table2[[#This Row],[Ngày]])</f>
        <v>45915</v>
      </c>
      <c r="V317" t="str">
        <f>VLOOKUP(A317,Data_NV!$A:$E,5,0)</f>
        <v>Đang làm việc</v>
      </c>
      <c r="W317" s="11">
        <f>VLOOKUP(A317,Data_NV!$A:$I,8,0)</f>
        <v>0.3125</v>
      </c>
      <c r="X317" s="11">
        <f>VLOOKUP(A317,Data_NV!$A:$I,9,0)</f>
        <v>0.6875</v>
      </c>
      <c r="Y317" s="11">
        <f>IFERROR(TIMEVALUE(Table2[[#This Row],[Vào]]),0)</f>
        <v>0.35592592592592592</v>
      </c>
      <c r="Z317" s="11">
        <f>IFERROR(TIMEVALUE(Table2[[#This Row],[Ra]]),0)</f>
        <v>0</v>
      </c>
      <c r="AA317" t="str">
        <f t="shared" si="32"/>
        <v>1/2</v>
      </c>
      <c r="AB317" s="14">
        <f t="shared" si="30"/>
        <v>62</v>
      </c>
      <c r="AC317" s="14" t="str">
        <f>IF(VLOOKUP(A317,Data_NV!$A:$I,7,0)="Không","",IF(OR(AND(Y317=0,Z317=0),AND(Y317&lt;&gt;0,Z317&lt;&gt;0)),"","Quên chấm công"))</f>
        <v/>
      </c>
      <c r="AD317" s="14">
        <f>IF(VLOOKUP(A317,Data_NV!$A:$I,7,0)="Không",0,IF(AND(Y317=0,Z317=0),0,IF(X317&lt;=Z317,0,ROUNDDOWN((X317-Z317)*24*60,0))))</f>
        <v>0</v>
      </c>
      <c r="AE317" s="14">
        <f>IF(VLOOKUP(A317,Data_NV!$A:$I,6,0)="Không",0,IF(Z317&lt;=X317,0,ROUNDDOWN((Z317-X317)*24*60,0)))</f>
        <v>0</v>
      </c>
      <c r="AF317" s="29" t="str">
        <f t="shared" si="31"/>
        <v>Trừ 1/2 ngày lương</v>
      </c>
      <c r="AG317" s="30" t="str">
        <f>IF(AC317="","",IF(COUNTIFS($AC$3:AC317,"Quên chấm công",$S$3:S317,S317)&gt;3,"Không chấm công do vi phạm quá 3 lần",IF(COUNTIFS($AC$3:AC317,"Quên chấm công",$S$3:S317,S317)&gt;2,"Trừ toàn bộ chuyên cần tháng do vi phạm lần 3",IF(COUNTIFS($AC$3:AC317,"Quên chấm công",$S$3:S317,S317)&gt;1,"Trừ 1/2 ngày lương",50000))))</f>
        <v/>
      </c>
      <c r="AH317" s="14" t="str">
        <f>IF(COUNTIFS($AF$3:AF317,"&gt;0",$S$3:S317,S317)&gt;3,"Trừ toàn bộ chuyên cần tháng","")</f>
        <v/>
      </c>
      <c r="AI317" s="14"/>
      <c r="AJ317" s="14"/>
    </row>
    <row r="318" spans="1:36" x14ac:dyDescent="0.25">
      <c r="A318" s="4" t="s">
        <v>590</v>
      </c>
      <c r="B318" s="1" t="s">
        <v>591</v>
      </c>
      <c r="C318" s="1" t="s">
        <v>20</v>
      </c>
      <c r="D318" s="1" t="s">
        <v>80</v>
      </c>
      <c r="E318" s="1" t="s">
        <v>22</v>
      </c>
      <c r="F318" s="1" t="s">
        <v>23</v>
      </c>
      <c r="G318" s="1" t="s">
        <v>12</v>
      </c>
      <c r="H318" s="12" t="s">
        <v>603</v>
      </c>
      <c r="I318" s="1" t="s">
        <v>24</v>
      </c>
      <c r="J318" s="1" t="s">
        <v>25</v>
      </c>
      <c r="K318" s="1" t="s">
        <v>25</v>
      </c>
      <c r="L318" s="1" t="s">
        <v>26</v>
      </c>
      <c r="M318" s="1" t="s">
        <v>25</v>
      </c>
      <c r="N318" s="1" t="s">
        <v>25</v>
      </c>
      <c r="O318" s="1" t="s">
        <v>25</v>
      </c>
      <c r="P318" s="1" t="s">
        <v>25</v>
      </c>
      <c r="Q318" s="1" t="s">
        <v>25</v>
      </c>
      <c r="R318" s="70" t="str">
        <f t="shared" si="29"/>
        <v>5045916</v>
      </c>
      <c r="S318" t="str">
        <f>VLOOKUP(A318,Data_NV!$A:$C,3,0)</f>
        <v>Nguyễn Hữu Phước</v>
      </c>
      <c r="T318" t="str">
        <f>VLOOKUP(A318,Data_NV!$A:$E,4,0)</f>
        <v>Vận Hành</v>
      </c>
      <c r="U318" s="67">
        <f>DATEVALUE(Table2[[#This Row],[Ngày]])</f>
        <v>45916</v>
      </c>
      <c r="V318" t="str">
        <f>VLOOKUP(A318,Data_NV!$A:$E,5,0)</f>
        <v>Đang làm việc</v>
      </c>
      <c r="W318" s="11">
        <f>VLOOKUP(A318,Data_NV!$A:$I,8,0)</f>
        <v>0.3125</v>
      </c>
      <c r="X318" s="11">
        <f>VLOOKUP(A318,Data_NV!$A:$I,9,0)</f>
        <v>0.6875</v>
      </c>
      <c r="Y318" s="11">
        <f>IFERROR(TIMEVALUE(Table2[[#This Row],[Vào]]),0)</f>
        <v>0.3147800925925926</v>
      </c>
      <c r="Z318" s="11">
        <f>IFERROR(TIMEVALUE(Table2[[#This Row],[Ra]]),0)</f>
        <v>0</v>
      </c>
      <c r="AA318" t="str">
        <f t="shared" si="32"/>
        <v>x</v>
      </c>
      <c r="AB318" s="14">
        <f t="shared" si="30"/>
        <v>3</v>
      </c>
      <c r="AC318" s="14" t="str">
        <f>IF(VLOOKUP(A318,Data_NV!$A:$I,7,0)="Không","",IF(OR(AND(Y318=0,Z318=0),AND(Y318&lt;&gt;0,Z318&lt;&gt;0)),"","Quên chấm công"))</f>
        <v/>
      </c>
      <c r="AD318" s="14">
        <f>IF(VLOOKUP(A318,Data_NV!$A:$I,7,0)="Không",0,IF(AND(Y318=0,Z318=0),0,IF(X318&lt;=Z318,0,ROUNDDOWN((X318-Z318)*24*60,0))))</f>
        <v>0</v>
      </c>
      <c r="AE318" s="14">
        <f>IF(VLOOKUP(A318,Data_NV!$A:$I,6,0)="Không",0,IF(Z318&lt;=X318,0,ROUNDDOWN((Z318-X318)*24*60,0)))</f>
        <v>0</v>
      </c>
      <c r="AF318" s="29">
        <f t="shared" si="31"/>
        <v>0</v>
      </c>
      <c r="AG318" s="30" t="str">
        <f>IF(AC318="","",IF(COUNTIFS($AC$3:AC318,"Quên chấm công",$S$3:S318,S318)&gt;3,"Không chấm công do vi phạm quá 3 lần",IF(COUNTIFS($AC$3:AC318,"Quên chấm công",$S$3:S318,S318)&gt;2,"Trừ toàn bộ chuyên cần tháng do vi phạm lần 3",IF(COUNTIFS($AC$3:AC318,"Quên chấm công",$S$3:S318,S318)&gt;1,"Trừ 1/2 ngày lương",50000))))</f>
        <v/>
      </c>
      <c r="AH318" s="14" t="str">
        <f>IF(COUNTIFS($AF$3:AF318,"&gt;0",$S$3:S318,S318)&gt;3,"Trừ toàn bộ chuyên cần tháng","")</f>
        <v/>
      </c>
      <c r="AI318" s="14"/>
      <c r="AJ318" s="14"/>
    </row>
    <row r="319" spans="1:36" x14ac:dyDescent="0.25">
      <c r="A319" s="4" t="s">
        <v>590</v>
      </c>
      <c r="B319" s="1" t="s">
        <v>591</v>
      </c>
      <c r="C319" s="1" t="s">
        <v>20</v>
      </c>
      <c r="D319" s="1" t="s">
        <v>85</v>
      </c>
      <c r="E319" s="1" t="s">
        <v>22</v>
      </c>
      <c r="F319" s="1" t="s">
        <v>23</v>
      </c>
      <c r="G319" s="1" t="s">
        <v>12</v>
      </c>
      <c r="H319" s="12" t="s">
        <v>431</v>
      </c>
      <c r="I319" s="1" t="s">
        <v>24</v>
      </c>
      <c r="J319" s="1" t="s">
        <v>25</v>
      </c>
      <c r="K319" s="1" t="s">
        <v>25</v>
      </c>
      <c r="L319" s="1" t="s">
        <v>26</v>
      </c>
      <c r="M319" s="1" t="s">
        <v>25</v>
      </c>
      <c r="N319" s="1" t="s">
        <v>25</v>
      </c>
      <c r="O319" s="1" t="s">
        <v>25</v>
      </c>
      <c r="P319" s="1" t="s">
        <v>25</v>
      </c>
      <c r="Q319" s="1" t="s">
        <v>25</v>
      </c>
      <c r="R319" s="70" t="str">
        <f t="shared" si="29"/>
        <v>5045917</v>
      </c>
      <c r="S319" t="str">
        <f>VLOOKUP(A319,Data_NV!$A:$C,3,0)</f>
        <v>Nguyễn Hữu Phước</v>
      </c>
      <c r="T319" t="str">
        <f>VLOOKUP(A319,Data_NV!$A:$E,4,0)</f>
        <v>Vận Hành</v>
      </c>
      <c r="U319" s="67">
        <f>DATEVALUE(Table2[[#This Row],[Ngày]])</f>
        <v>45917</v>
      </c>
      <c r="V319" t="str">
        <f>VLOOKUP(A319,Data_NV!$A:$E,5,0)</f>
        <v>Đang làm việc</v>
      </c>
      <c r="W319" s="11">
        <f>VLOOKUP(A319,Data_NV!$A:$I,8,0)</f>
        <v>0.3125</v>
      </c>
      <c r="X319" s="11">
        <f>VLOOKUP(A319,Data_NV!$A:$I,9,0)</f>
        <v>0.6875</v>
      </c>
      <c r="Y319" s="11">
        <f>IFERROR(TIMEVALUE(Table2[[#This Row],[Vào]]),0)</f>
        <v>0.31244212962962964</v>
      </c>
      <c r="Z319" s="11">
        <f>IFERROR(TIMEVALUE(Table2[[#This Row],[Ra]]),0)</f>
        <v>0</v>
      </c>
      <c r="AA319" t="str">
        <f t="shared" si="32"/>
        <v>x</v>
      </c>
      <c r="AB319" s="14">
        <f t="shared" si="30"/>
        <v>0</v>
      </c>
      <c r="AC319" s="14" t="str">
        <f>IF(VLOOKUP(A319,Data_NV!$A:$I,7,0)="Không","",IF(OR(AND(Y319=0,Z319=0),AND(Y319&lt;&gt;0,Z319&lt;&gt;0)),"","Quên chấm công"))</f>
        <v/>
      </c>
      <c r="AD319" s="14">
        <f>IF(VLOOKUP(A319,Data_NV!$A:$I,7,0)="Không",0,IF(AND(Y319=0,Z319=0),0,IF(X319&lt;=Z319,0,ROUNDDOWN((X319-Z319)*24*60,0))))</f>
        <v>0</v>
      </c>
      <c r="AE319" s="14">
        <f>IF(VLOOKUP(A319,Data_NV!$A:$I,6,0)="Không",0,IF(Z319&lt;=X319,0,ROUNDDOWN((Z319-X319)*24*60,0)))</f>
        <v>0</v>
      </c>
      <c r="AF319" s="29">
        <f t="shared" si="31"/>
        <v>0</v>
      </c>
      <c r="AG319" s="30" t="str">
        <f>IF(AC319="","",IF(COUNTIFS($AC$3:AC319,"Quên chấm công",$S$3:S319,S319)&gt;3,"Không chấm công do vi phạm quá 3 lần",IF(COUNTIFS($AC$3:AC319,"Quên chấm công",$S$3:S319,S319)&gt;2,"Trừ toàn bộ chuyên cần tháng do vi phạm lần 3",IF(COUNTIFS($AC$3:AC319,"Quên chấm công",$S$3:S319,S319)&gt;1,"Trừ 1/2 ngày lương",50000))))</f>
        <v/>
      </c>
      <c r="AH319" s="14" t="str">
        <f>IF(COUNTIFS($AF$3:AF319,"&gt;0",$S$3:S319,S319)&gt;3,"Trừ toàn bộ chuyên cần tháng","")</f>
        <v/>
      </c>
      <c r="AI319" s="14"/>
      <c r="AJ319" s="14"/>
    </row>
    <row r="320" spans="1:36" x14ac:dyDescent="0.25">
      <c r="A320" s="4" t="s">
        <v>590</v>
      </c>
      <c r="B320" s="1" t="s">
        <v>591</v>
      </c>
      <c r="C320" s="1" t="s">
        <v>20</v>
      </c>
      <c r="D320" s="1" t="s">
        <v>90</v>
      </c>
      <c r="E320" s="1" t="s">
        <v>22</v>
      </c>
      <c r="F320" s="1" t="s">
        <v>23</v>
      </c>
      <c r="G320" s="1" t="s">
        <v>12</v>
      </c>
      <c r="H320" s="12" t="s">
        <v>604</v>
      </c>
      <c r="I320" s="1" t="s">
        <v>24</v>
      </c>
      <c r="J320" s="1" t="s">
        <v>25</v>
      </c>
      <c r="K320" s="1" t="s">
        <v>25</v>
      </c>
      <c r="L320" s="1" t="s">
        <v>26</v>
      </c>
      <c r="M320" s="1" t="s">
        <v>25</v>
      </c>
      <c r="N320" s="1" t="s">
        <v>25</v>
      </c>
      <c r="O320" s="1" t="s">
        <v>25</v>
      </c>
      <c r="P320" s="1" t="s">
        <v>25</v>
      </c>
      <c r="Q320" s="1" t="s">
        <v>25</v>
      </c>
      <c r="R320" s="70" t="str">
        <f t="shared" si="29"/>
        <v>5045918</v>
      </c>
      <c r="S320" t="str">
        <f>VLOOKUP(A320,Data_NV!$A:$C,3,0)</f>
        <v>Nguyễn Hữu Phước</v>
      </c>
      <c r="T320" t="str">
        <f>VLOOKUP(A320,Data_NV!$A:$E,4,0)</f>
        <v>Vận Hành</v>
      </c>
      <c r="U320" s="67">
        <f>DATEVALUE(Table2[[#This Row],[Ngày]])</f>
        <v>45918</v>
      </c>
      <c r="V320" t="str">
        <f>VLOOKUP(A320,Data_NV!$A:$E,5,0)</f>
        <v>Đang làm việc</v>
      </c>
      <c r="W320" s="11">
        <f>VLOOKUP(A320,Data_NV!$A:$I,8,0)</f>
        <v>0.3125</v>
      </c>
      <c r="X320" s="11">
        <f>VLOOKUP(A320,Data_NV!$A:$I,9,0)</f>
        <v>0.6875</v>
      </c>
      <c r="Y320" s="11">
        <f>IFERROR(TIMEVALUE(Table2[[#This Row],[Vào]]),0)</f>
        <v>0.3127199074074074</v>
      </c>
      <c r="Z320" s="11">
        <f>IFERROR(TIMEVALUE(Table2[[#This Row],[Ra]]),0)</f>
        <v>0</v>
      </c>
      <c r="AA320" t="str">
        <f t="shared" si="32"/>
        <v>x</v>
      </c>
      <c r="AB320" s="14">
        <f t="shared" si="30"/>
        <v>0</v>
      </c>
      <c r="AC320" s="14" t="str">
        <f>IF(VLOOKUP(A320,Data_NV!$A:$I,7,0)="Không","",IF(OR(AND(Y320=0,Z320=0),AND(Y320&lt;&gt;0,Z320&lt;&gt;0)),"","Quên chấm công"))</f>
        <v/>
      </c>
      <c r="AD320" s="14">
        <f>IF(VLOOKUP(A320,Data_NV!$A:$I,7,0)="Không",0,IF(AND(Y320=0,Z320=0),0,IF(X320&lt;=Z320,0,ROUNDDOWN((X320-Z320)*24*60,0))))</f>
        <v>0</v>
      </c>
      <c r="AE320" s="14">
        <f>IF(VLOOKUP(A320,Data_NV!$A:$I,6,0)="Không",0,IF(Z320&lt;=X320,0,ROUNDDOWN((Z320-X320)*24*60,0)))</f>
        <v>0</v>
      </c>
      <c r="AF320" s="29">
        <f t="shared" si="31"/>
        <v>0</v>
      </c>
      <c r="AG320" s="30" t="str">
        <f>IF(AC320="","",IF(COUNTIFS($AC$3:AC320,"Quên chấm công",$S$3:S320,S320)&gt;3,"Không chấm công do vi phạm quá 3 lần",IF(COUNTIFS($AC$3:AC320,"Quên chấm công",$S$3:S320,S320)&gt;2,"Trừ toàn bộ chuyên cần tháng do vi phạm lần 3",IF(COUNTIFS($AC$3:AC320,"Quên chấm công",$S$3:S320,S320)&gt;1,"Trừ 1/2 ngày lương",50000))))</f>
        <v/>
      </c>
      <c r="AH320" s="14" t="str">
        <f>IF(COUNTIFS($AF$3:AF320,"&gt;0",$S$3:S320,S320)&gt;3,"Trừ toàn bộ chuyên cần tháng","")</f>
        <v/>
      </c>
      <c r="AI320" s="14"/>
      <c r="AJ320" s="14"/>
    </row>
    <row r="321" spans="1:36" x14ac:dyDescent="0.25">
      <c r="A321" s="4" t="s">
        <v>590</v>
      </c>
      <c r="B321" s="1" t="s">
        <v>591</v>
      </c>
      <c r="C321" s="1" t="s">
        <v>20</v>
      </c>
      <c r="D321" s="1" t="s">
        <v>95</v>
      </c>
      <c r="E321" s="1" t="s">
        <v>22</v>
      </c>
      <c r="F321" s="1" t="s">
        <v>23</v>
      </c>
      <c r="G321" s="1" t="s">
        <v>12</v>
      </c>
      <c r="H321" s="12" t="s">
        <v>605</v>
      </c>
      <c r="I321" s="1" t="s">
        <v>24</v>
      </c>
      <c r="J321" s="1" t="s">
        <v>25</v>
      </c>
      <c r="K321" s="1" t="s">
        <v>25</v>
      </c>
      <c r="L321" s="1" t="s">
        <v>26</v>
      </c>
      <c r="M321" s="1" t="s">
        <v>25</v>
      </c>
      <c r="N321" s="1" t="s">
        <v>25</v>
      </c>
      <c r="O321" s="1" t="s">
        <v>25</v>
      </c>
      <c r="P321" s="1" t="s">
        <v>25</v>
      </c>
      <c r="Q321" s="1" t="s">
        <v>25</v>
      </c>
      <c r="R321" s="70" t="str">
        <f t="shared" si="29"/>
        <v>5045919</v>
      </c>
      <c r="S321" t="str">
        <f>VLOOKUP(A321,Data_NV!$A:$C,3,0)</f>
        <v>Nguyễn Hữu Phước</v>
      </c>
      <c r="T321" t="str">
        <f>VLOOKUP(A321,Data_NV!$A:$E,4,0)</f>
        <v>Vận Hành</v>
      </c>
      <c r="U321" s="67">
        <f>DATEVALUE(Table2[[#This Row],[Ngày]])</f>
        <v>45919</v>
      </c>
      <c r="V321" t="str">
        <f>VLOOKUP(A321,Data_NV!$A:$E,5,0)</f>
        <v>Đang làm việc</v>
      </c>
      <c r="W321" s="11">
        <f>VLOOKUP(A321,Data_NV!$A:$I,8,0)</f>
        <v>0.3125</v>
      </c>
      <c r="X321" s="11">
        <f>VLOOKUP(A321,Data_NV!$A:$I,9,0)</f>
        <v>0.6875</v>
      </c>
      <c r="Y321" s="11">
        <f>IFERROR(TIMEVALUE(Table2[[#This Row],[Vào]]),0)</f>
        <v>0.31160879629629629</v>
      </c>
      <c r="Z321" s="11">
        <f>IFERROR(TIMEVALUE(Table2[[#This Row],[Ra]]),0)</f>
        <v>0</v>
      </c>
      <c r="AA321" t="str">
        <f t="shared" si="32"/>
        <v>x</v>
      </c>
      <c r="AB321" s="14">
        <f t="shared" si="30"/>
        <v>0</v>
      </c>
      <c r="AC321" s="14" t="str">
        <f>IF(VLOOKUP(A321,Data_NV!$A:$I,7,0)="Không","",IF(OR(AND(Y321=0,Z321=0),AND(Y321&lt;&gt;0,Z321&lt;&gt;0)),"","Quên chấm công"))</f>
        <v/>
      </c>
      <c r="AD321" s="14">
        <f>IF(VLOOKUP(A321,Data_NV!$A:$I,7,0)="Không",0,IF(AND(Y321=0,Z321=0),0,IF(X321&lt;=Z321,0,ROUNDDOWN((X321-Z321)*24*60,0))))</f>
        <v>0</v>
      </c>
      <c r="AE321" s="14">
        <f>IF(VLOOKUP(A321,Data_NV!$A:$I,6,0)="Không",0,IF(Z321&lt;=X321,0,ROUNDDOWN((Z321-X321)*24*60,0)))</f>
        <v>0</v>
      </c>
      <c r="AF321" s="29">
        <f t="shared" si="31"/>
        <v>0</v>
      </c>
      <c r="AG321" s="30" t="str">
        <f>IF(AC321="","",IF(COUNTIFS($AC$3:AC321,"Quên chấm công",$S$3:S321,S321)&gt;3,"Không chấm công do vi phạm quá 3 lần",IF(COUNTIFS($AC$3:AC321,"Quên chấm công",$S$3:S321,S321)&gt;2,"Trừ toàn bộ chuyên cần tháng do vi phạm lần 3",IF(COUNTIFS($AC$3:AC321,"Quên chấm công",$S$3:S321,S321)&gt;1,"Trừ 1/2 ngày lương",50000))))</f>
        <v/>
      </c>
      <c r="AH321" s="14" t="str">
        <f>IF(COUNTIFS($AF$3:AF321,"&gt;0",$S$3:S321,S321)&gt;3,"Trừ toàn bộ chuyên cần tháng","")</f>
        <v/>
      </c>
      <c r="AI321" s="14"/>
      <c r="AJ321" s="14"/>
    </row>
    <row r="322" spans="1:36" x14ac:dyDescent="0.25">
      <c r="A322" s="4" t="s">
        <v>590</v>
      </c>
      <c r="B322" s="1" t="s">
        <v>591</v>
      </c>
      <c r="C322" s="1" t="s">
        <v>20</v>
      </c>
      <c r="D322" s="1" t="s">
        <v>100</v>
      </c>
      <c r="E322" s="1" t="s">
        <v>22</v>
      </c>
      <c r="F322" s="1" t="s">
        <v>23</v>
      </c>
      <c r="G322" s="1" t="s">
        <v>12</v>
      </c>
      <c r="H322" s="12" t="s">
        <v>606</v>
      </c>
      <c r="I322" s="1" t="s">
        <v>24</v>
      </c>
      <c r="J322" s="1" t="s">
        <v>25</v>
      </c>
      <c r="K322" s="1" t="s">
        <v>25</v>
      </c>
      <c r="L322" s="1" t="s">
        <v>26</v>
      </c>
      <c r="M322" s="1" t="s">
        <v>25</v>
      </c>
      <c r="N322" s="1" t="s">
        <v>25</v>
      </c>
      <c r="O322" s="1" t="s">
        <v>25</v>
      </c>
      <c r="P322" s="1" t="s">
        <v>25</v>
      </c>
      <c r="Q322" s="1" t="s">
        <v>25</v>
      </c>
      <c r="R322" s="70" t="str">
        <f t="shared" si="29"/>
        <v>5045920</v>
      </c>
      <c r="S322" t="str">
        <f>VLOOKUP(A322,Data_NV!$A:$C,3,0)</f>
        <v>Nguyễn Hữu Phước</v>
      </c>
      <c r="T322" t="str">
        <f>VLOOKUP(A322,Data_NV!$A:$E,4,0)</f>
        <v>Vận Hành</v>
      </c>
      <c r="U322" s="67">
        <f>DATEVALUE(Table2[[#This Row],[Ngày]])</f>
        <v>45920</v>
      </c>
      <c r="V322" t="str">
        <f>VLOOKUP(A322,Data_NV!$A:$E,5,0)</f>
        <v>Đang làm việc</v>
      </c>
      <c r="W322" s="11">
        <f>VLOOKUP(A322,Data_NV!$A:$I,8,0)</f>
        <v>0.3125</v>
      </c>
      <c r="X322" s="11">
        <f>VLOOKUP(A322,Data_NV!$A:$I,9,0)</f>
        <v>0.6875</v>
      </c>
      <c r="Y322" s="11">
        <f>IFERROR(TIMEVALUE(Table2[[#This Row],[Vào]]),0)</f>
        <v>0.30954861111111109</v>
      </c>
      <c r="Z322" s="11">
        <f>IFERROR(TIMEVALUE(Table2[[#This Row],[Ra]]),0)</f>
        <v>0</v>
      </c>
      <c r="AA322" t="str">
        <f t="shared" si="32"/>
        <v>x</v>
      </c>
      <c r="AB322" s="14">
        <f t="shared" si="30"/>
        <v>0</v>
      </c>
      <c r="AC322" s="14" t="str">
        <f>IF(VLOOKUP(A322,Data_NV!$A:$I,7,0)="Không","",IF(OR(AND(Y322=0,Z322=0),AND(Y322&lt;&gt;0,Z322&lt;&gt;0)),"","Quên chấm công"))</f>
        <v/>
      </c>
      <c r="AD322" s="14">
        <f>IF(VLOOKUP(A322,Data_NV!$A:$I,7,0)="Không",0,IF(AND(Y322=0,Z322=0),0,IF(X322&lt;=Z322,0,ROUNDDOWN((X322-Z322)*24*60,0))))</f>
        <v>0</v>
      </c>
      <c r="AE322" s="14">
        <f>IF(VLOOKUP(A322,Data_NV!$A:$I,6,0)="Không",0,IF(Z322&lt;=X322,0,ROUNDDOWN((Z322-X322)*24*60,0)))</f>
        <v>0</v>
      </c>
      <c r="AF322" s="29">
        <f t="shared" si="31"/>
        <v>0</v>
      </c>
      <c r="AG322" s="30" t="str">
        <f>IF(AC322="","",IF(COUNTIFS($AC$3:AC322,"Quên chấm công",$S$3:S322,S322)&gt;3,"Không chấm công do vi phạm quá 3 lần",IF(COUNTIFS($AC$3:AC322,"Quên chấm công",$S$3:S322,S322)&gt;2,"Trừ toàn bộ chuyên cần tháng do vi phạm lần 3",IF(COUNTIFS($AC$3:AC322,"Quên chấm công",$S$3:S322,S322)&gt;1,"Trừ 1/2 ngày lương",50000))))</f>
        <v/>
      </c>
      <c r="AH322" s="14" t="str">
        <f>IF(COUNTIFS($AF$3:AF322,"&gt;0",$S$3:S322,S322)&gt;3,"Trừ toàn bộ chuyên cần tháng","")</f>
        <v/>
      </c>
      <c r="AI322" s="14"/>
      <c r="AJ322" s="14"/>
    </row>
    <row r="323" spans="1:36" x14ac:dyDescent="0.25">
      <c r="A323" s="4" t="s">
        <v>590</v>
      </c>
      <c r="B323" s="1" t="s">
        <v>591</v>
      </c>
      <c r="C323" s="1" t="s">
        <v>20</v>
      </c>
      <c r="D323" s="1" t="s">
        <v>105</v>
      </c>
      <c r="E323" s="1" t="s">
        <v>22</v>
      </c>
      <c r="F323" s="1" t="s">
        <v>23</v>
      </c>
      <c r="G323" s="1" t="s">
        <v>12</v>
      </c>
      <c r="H323" s="12" t="s">
        <v>24</v>
      </c>
      <c r="I323" s="1" t="s">
        <v>24</v>
      </c>
      <c r="J323" s="1" t="s">
        <v>25</v>
      </c>
      <c r="K323" s="1" t="s">
        <v>25</v>
      </c>
      <c r="L323" s="1" t="s">
        <v>26</v>
      </c>
      <c r="M323" s="1" t="s">
        <v>25</v>
      </c>
      <c r="N323" s="1" t="s">
        <v>25</v>
      </c>
      <c r="O323" s="1" t="s">
        <v>25</v>
      </c>
      <c r="P323" s="1" t="s">
        <v>25</v>
      </c>
      <c r="Q323" s="1" t="s">
        <v>25</v>
      </c>
      <c r="R323" s="70" t="str">
        <f t="shared" si="29"/>
        <v>5045921</v>
      </c>
      <c r="S323" t="str">
        <f>VLOOKUP(A323,Data_NV!$A:$C,3,0)</f>
        <v>Nguyễn Hữu Phước</v>
      </c>
      <c r="T323" t="str">
        <f>VLOOKUP(A323,Data_NV!$A:$E,4,0)</f>
        <v>Vận Hành</v>
      </c>
      <c r="U323" s="67">
        <f>DATEVALUE(Table2[[#This Row],[Ngày]])</f>
        <v>45921</v>
      </c>
      <c r="V323" t="str">
        <f>VLOOKUP(A323,Data_NV!$A:$E,5,0)</f>
        <v>Đang làm việc</v>
      </c>
      <c r="W323" s="11">
        <f>VLOOKUP(A323,Data_NV!$A:$I,8,0)</f>
        <v>0.3125</v>
      </c>
      <c r="X323" s="11">
        <f>VLOOKUP(A323,Data_NV!$A:$I,9,0)</f>
        <v>0.6875</v>
      </c>
      <c r="Y323" s="11">
        <f>IFERROR(TIMEVALUE(Table2[[#This Row],[Vào]]),0)</f>
        <v>0</v>
      </c>
      <c r="Z323" s="11">
        <f>IFERROR(TIMEVALUE(Table2[[#This Row],[Ra]]),0)</f>
        <v>0</v>
      </c>
      <c r="AA323" t="str">
        <f t="shared" si="32"/>
        <v/>
      </c>
      <c r="AB323" s="14">
        <f t="shared" si="30"/>
        <v>0</v>
      </c>
      <c r="AC323" s="14" t="str">
        <f>IF(VLOOKUP(A323,Data_NV!$A:$I,7,0)="Không","",IF(OR(AND(Y323=0,Z323=0),AND(Y323&lt;&gt;0,Z323&lt;&gt;0)),"","Quên chấm công"))</f>
        <v/>
      </c>
      <c r="AD323" s="14">
        <f>IF(VLOOKUP(A323,Data_NV!$A:$I,7,0)="Không",0,IF(AND(Y323=0,Z323=0),0,IF(X323&lt;=Z323,0,ROUNDDOWN((X323-Z323)*24*60,0))))</f>
        <v>0</v>
      </c>
      <c r="AE323" s="14">
        <f>IF(VLOOKUP(A323,Data_NV!$A:$I,6,0)="Không",0,IF(Z323&lt;=X323,0,ROUNDDOWN((Z323-X323)*24*60,0)))</f>
        <v>0</v>
      </c>
      <c r="AF323" s="29">
        <f t="shared" si="31"/>
        <v>0</v>
      </c>
      <c r="AG323" s="30" t="str">
        <f>IF(AC323="","",IF(COUNTIFS($AC$3:AC323,"Quên chấm công",$S$3:S323,S323)&gt;3,"Không chấm công do vi phạm quá 3 lần",IF(COUNTIFS($AC$3:AC323,"Quên chấm công",$S$3:S323,S323)&gt;2,"Trừ toàn bộ chuyên cần tháng do vi phạm lần 3",IF(COUNTIFS($AC$3:AC323,"Quên chấm công",$S$3:S323,S323)&gt;1,"Trừ 1/2 ngày lương",50000))))</f>
        <v/>
      </c>
      <c r="AH323" s="14" t="str">
        <f>IF(COUNTIFS($AF$3:AF323,"&gt;0",$S$3:S323,S323)&gt;3,"Trừ toàn bộ chuyên cần tháng","")</f>
        <v/>
      </c>
      <c r="AI323" s="14"/>
      <c r="AJ323" s="14"/>
    </row>
    <row r="324" spans="1:36" x14ac:dyDescent="0.25">
      <c r="A324" s="4" t="s">
        <v>590</v>
      </c>
      <c r="B324" s="1" t="s">
        <v>591</v>
      </c>
      <c r="C324" s="1" t="s">
        <v>20</v>
      </c>
      <c r="D324" s="1" t="s">
        <v>106</v>
      </c>
      <c r="E324" s="1" t="s">
        <v>22</v>
      </c>
      <c r="F324" s="1" t="s">
        <v>23</v>
      </c>
      <c r="G324" s="1" t="s">
        <v>12</v>
      </c>
      <c r="H324" s="12" t="s">
        <v>607</v>
      </c>
      <c r="I324" s="1" t="s">
        <v>24</v>
      </c>
      <c r="J324" s="1" t="s">
        <v>25</v>
      </c>
      <c r="K324" s="1" t="s">
        <v>25</v>
      </c>
      <c r="L324" s="1" t="s">
        <v>26</v>
      </c>
      <c r="M324" s="1" t="s">
        <v>25</v>
      </c>
      <c r="N324" s="1" t="s">
        <v>25</v>
      </c>
      <c r="O324" s="1" t="s">
        <v>25</v>
      </c>
      <c r="P324" s="1" t="s">
        <v>25</v>
      </c>
      <c r="Q324" s="1" t="s">
        <v>25</v>
      </c>
      <c r="R324" s="70" t="str">
        <f t="shared" si="29"/>
        <v>5045922</v>
      </c>
      <c r="S324" t="str">
        <f>VLOOKUP(A324,Data_NV!$A:$C,3,0)</f>
        <v>Nguyễn Hữu Phước</v>
      </c>
      <c r="T324" t="str">
        <f>VLOOKUP(A324,Data_NV!$A:$E,4,0)</f>
        <v>Vận Hành</v>
      </c>
      <c r="U324" s="67">
        <f>DATEVALUE(Table2[[#This Row],[Ngày]])</f>
        <v>45922</v>
      </c>
      <c r="V324" t="str">
        <f>VLOOKUP(A324,Data_NV!$A:$E,5,0)</f>
        <v>Đang làm việc</v>
      </c>
      <c r="W324" s="11">
        <f>VLOOKUP(A324,Data_NV!$A:$I,8,0)</f>
        <v>0.3125</v>
      </c>
      <c r="X324" s="11">
        <f>VLOOKUP(A324,Data_NV!$A:$I,9,0)</f>
        <v>0.6875</v>
      </c>
      <c r="Y324" s="11">
        <f>IFERROR(TIMEVALUE(Table2[[#This Row],[Vào]]),0)</f>
        <v>0.31142361111111111</v>
      </c>
      <c r="Z324" s="11">
        <f>IFERROR(TIMEVALUE(Table2[[#This Row],[Ra]]),0)</f>
        <v>0</v>
      </c>
      <c r="AA324" t="str">
        <f t="shared" si="32"/>
        <v>x</v>
      </c>
      <c r="AB324" s="14">
        <f t="shared" si="30"/>
        <v>0</v>
      </c>
      <c r="AC324" s="14" t="str">
        <f>IF(VLOOKUP(A324,Data_NV!$A:$I,7,0)="Không","",IF(OR(AND(Y324=0,Z324=0),AND(Y324&lt;&gt;0,Z324&lt;&gt;0)),"","Quên chấm công"))</f>
        <v/>
      </c>
      <c r="AD324" s="14">
        <f>IF(VLOOKUP(A324,Data_NV!$A:$I,7,0)="Không",0,IF(AND(Y324=0,Z324=0),0,IF(X324&lt;=Z324,0,ROUNDDOWN((X324-Z324)*24*60,0))))</f>
        <v>0</v>
      </c>
      <c r="AE324" s="14">
        <f>IF(VLOOKUP(A324,Data_NV!$A:$I,6,0)="Không",0,IF(Z324&lt;=X324,0,ROUNDDOWN((Z324-X324)*24*60,0)))</f>
        <v>0</v>
      </c>
      <c r="AF324" s="29">
        <f t="shared" si="31"/>
        <v>0</v>
      </c>
      <c r="AG324" s="30" t="str">
        <f>IF(AC324="","",IF(COUNTIFS($AC$3:AC324,"Quên chấm công",$S$3:S324,S324)&gt;3,"Không chấm công do vi phạm quá 3 lần",IF(COUNTIFS($AC$3:AC324,"Quên chấm công",$S$3:S324,S324)&gt;2,"Trừ toàn bộ chuyên cần tháng do vi phạm lần 3",IF(COUNTIFS($AC$3:AC324,"Quên chấm công",$S$3:S324,S324)&gt;1,"Trừ 1/2 ngày lương",50000))))</f>
        <v/>
      </c>
      <c r="AH324" s="14" t="str">
        <f>IF(COUNTIFS($AF$3:AF324,"&gt;0",$S$3:S324,S324)&gt;3,"Trừ toàn bộ chuyên cần tháng","")</f>
        <v/>
      </c>
      <c r="AI324" s="14"/>
      <c r="AJ324" s="14"/>
    </row>
    <row r="325" spans="1:36" x14ac:dyDescent="0.25">
      <c r="A325" s="4" t="s">
        <v>590</v>
      </c>
      <c r="B325" s="1" t="s">
        <v>591</v>
      </c>
      <c r="C325" s="1" t="s">
        <v>20</v>
      </c>
      <c r="D325" s="1" t="s">
        <v>111</v>
      </c>
      <c r="E325" s="1" t="s">
        <v>22</v>
      </c>
      <c r="F325" s="1" t="s">
        <v>23</v>
      </c>
      <c r="G325" s="1" t="s">
        <v>12</v>
      </c>
      <c r="H325" s="12" t="s">
        <v>608</v>
      </c>
      <c r="I325" s="1" t="s">
        <v>24</v>
      </c>
      <c r="J325" s="1" t="s">
        <v>25</v>
      </c>
      <c r="K325" s="1" t="s">
        <v>25</v>
      </c>
      <c r="L325" s="1" t="s">
        <v>26</v>
      </c>
      <c r="M325" s="1" t="s">
        <v>25</v>
      </c>
      <c r="N325" s="1" t="s">
        <v>25</v>
      </c>
      <c r="O325" s="1" t="s">
        <v>25</v>
      </c>
      <c r="P325" s="1" t="s">
        <v>25</v>
      </c>
      <c r="Q325" s="1" t="s">
        <v>25</v>
      </c>
      <c r="R325" s="70" t="str">
        <f t="shared" si="29"/>
        <v>5045923</v>
      </c>
      <c r="S325" t="str">
        <f>VLOOKUP(A325,Data_NV!$A:$C,3,0)</f>
        <v>Nguyễn Hữu Phước</v>
      </c>
      <c r="T325" t="str">
        <f>VLOOKUP(A325,Data_NV!$A:$E,4,0)</f>
        <v>Vận Hành</v>
      </c>
      <c r="U325" s="67">
        <f>DATEVALUE(Table2[[#This Row],[Ngày]])</f>
        <v>45923</v>
      </c>
      <c r="V325" t="str">
        <f>VLOOKUP(A325,Data_NV!$A:$E,5,0)</f>
        <v>Đang làm việc</v>
      </c>
      <c r="W325" s="11">
        <f>VLOOKUP(A325,Data_NV!$A:$I,8,0)</f>
        <v>0.3125</v>
      </c>
      <c r="X325" s="11">
        <f>VLOOKUP(A325,Data_NV!$A:$I,9,0)</f>
        <v>0.6875</v>
      </c>
      <c r="Y325" s="11">
        <f>IFERROR(TIMEVALUE(Table2[[#This Row],[Vào]]),0)</f>
        <v>0.31527777777777777</v>
      </c>
      <c r="Z325" s="11">
        <f>IFERROR(TIMEVALUE(Table2[[#This Row],[Ra]]),0)</f>
        <v>0</v>
      </c>
      <c r="AA325" t="str">
        <f t="shared" si="32"/>
        <v>x</v>
      </c>
      <c r="AB325" s="14">
        <f t="shared" si="30"/>
        <v>3</v>
      </c>
      <c r="AC325" s="14" t="str">
        <f>IF(VLOOKUP(A325,Data_NV!$A:$I,7,0)="Không","",IF(OR(AND(Y325=0,Z325=0),AND(Y325&lt;&gt;0,Z325&lt;&gt;0)),"","Quên chấm công"))</f>
        <v/>
      </c>
      <c r="AD325" s="14">
        <f>IF(VLOOKUP(A325,Data_NV!$A:$I,7,0)="Không",0,IF(AND(Y325=0,Z325=0),0,IF(X325&lt;=Z325,0,ROUNDDOWN((X325-Z325)*24*60,0))))</f>
        <v>0</v>
      </c>
      <c r="AE325" s="14">
        <f>IF(VLOOKUP(A325,Data_NV!$A:$I,6,0)="Không",0,IF(Z325&lt;=X325,0,ROUNDDOWN((Z325-X325)*24*60,0)))</f>
        <v>0</v>
      </c>
      <c r="AF325" s="29">
        <f t="shared" si="31"/>
        <v>0</v>
      </c>
      <c r="AG325" s="30" t="str">
        <f>IF(AC325="","",IF(COUNTIFS($AC$3:AC325,"Quên chấm công",$S$3:S325,S325)&gt;3,"Không chấm công do vi phạm quá 3 lần",IF(COUNTIFS($AC$3:AC325,"Quên chấm công",$S$3:S325,S325)&gt;2,"Trừ toàn bộ chuyên cần tháng do vi phạm lần 3",IF(COUNTIFS($AC$3:AC325,"Quên chấm công",$S$3:S325,S325)&gt;1,"Trừ 1/2 ngày lương",50000))))</f>
        <v/>
      </c>
      <c r="AH325" s="14" t="str">
        <f>IF(COUNTIFS($AF$3:AF325,"&gt;0",$S$3:S325,S325)&gt;3,"Trừ toàn bộ chuyên cần tháng","")</f>
        <v/>
      </c>
      <c r="AI325" s="14"/>
      <c r="AJ325" s="14"/>
    </row>
    <row r="326" spans="1:36" x14ac:dyDescent="0.25">
      <c r="A326" s="4" t="s">
        <v>590</v>
      </c>
      <c r="B326" s="1" t="s">
        <v>591</v>
      </c>
      <c r="C326" s="1" t="s">
        <v>20</v>
      </c>
      <c r="D326" s="1" t="s">
        <v>116</v>
      </c>
      <c r="E326" s="1" t="s">
        <v>22</v>
      </c>
      <c r="F326" s="1" t="s">
        <v>23</v>
      </c>
      <c r="G326" s="1" t="s">
        <v>12</v>
      </c>
      <c r="H326" s="12" t="s">
        <v>609</v>
      </c>
      <c r="I326" s="1" t="s">
        <v>24</v>
      </c>
      <c r="J326" s="1" t="s">
        <v>25</v>
      </c>
      <c r="K326" s="1" t="s">
        <v>25</v>
      </c>
      <c r="L326" s="1" t="s">
        <v>26</v>
      </c>
      <c r="M326" s="1" t="s">
        <v>25</v>
      </c>
      <c r="N326" s="1" t="s">
        <v>25</v>
      </c>
      <c r="O326" s="1" t="s">
        <v>25</v>
      </c>
      <c r="P326" s="1" t="s">
        <v>25</v>
      </c>
      <c r="Q326" s="1" t="s">
        <v>25</v>
      </c>
      <c r="R326" s="70" t="str">
        <f t="shared" si="29"/>
        <v>5045924</v>
      </c>
      <c r="S326" t="str">
        <f>VLOOKUP(A326,Data_NV!$A:$C,3,0)</f>
        <v>Nguyễn Hữu Phước</v>
      </c>
      <c r="T326" t="str">
        <f>VLOOKUP(A326,Data_NV!$A:$E,4,0)</f>
        <v>Vận Hành</v>
      </c>
      <c r="U326" s="67">
        <f>DATEVALUE(Table2[[#This Row],[Ngày]])</f>
        <v>45924</v>
      </c>
      <c r="V326" t="str">
        <f>VLOOKUP(A326,Data_NV!$A:$E,5,0)</f>
        <v>Đang làm việc</v>
      </c>
      <c r="W326" s="11">
        <f>VLOOKUP(A326,Data_NV!$A:$I,8,0)</f>
        <v>0.3125</v>
      </c>
      <c r="X326" s="11">
        <f>VLOOKUP(A326,Data_NV!$A:$I,9,0)</f>
        <v>0.6875</v>
      </c>
      <c r="Y326" s="11">
        <f>IFERROR(TIMEVALUE(Table2[[#This Row],[Vào]]),0)</f>
        <v>0.31247685185185187</v>
      </c>
      <c r="Z326" s="11">
        <f>IFERROR(TIMEVALUE(Table2[[#This Row],[Ra]]),0)</f>
        <v>0</v>
      </c>
      <c r="AA326" t="str">
        <f t="shared" si="32"/>
        <v>x</v>
      </c>
      <c r="AB326" s="14">
        <f t="shared" si="30"/>
        <v>0</v>
      </c>
      <c r="AC326" s="14" t="str">
        <f>IF(VLOOKUP(A326,Data_NV!$A:$I,7,0)="Không","",IF(OR(AND(Y326=0,Z326=0),AND(Y326&lt;&gt;0,Z326&lt;&gt;0)),"","Quên chấm công"))</f>
        <v/>
      </c>
      <c r="AD326" s="14">
        <f>IF(VLOOKUP(A326,Data_NV!$A:$I,7,0)="Không",0,IF(AND(Y326=0,Z326=0),0,IF(X326&lt;=Z326,0,ROUNDDOWN((X326-Z326)*24*60,0))))</f>
        <v>0</v>
      </c>
      <c r="AE326" s="14">
        <f>IF(VLOOKUP(A326,Data_NV!$A:$I,6,0)="Không",0,IF(Z326&lt;=X326,0,ROUNDDOWN((Z326-X326)*24*60,0)))</f>
        <v>0</v>
      </c>
      <c r="AF326" s="29">
        <f t="shared" si="31"/>
        <v>0</v>
      </c>
      <c r="AG326" s="30" t="str">
        <f>IF(AC326="","",IF(COUNTIFS($AC$3:AC326,"Quên chấm công",$S$3:S326,S326)&gt;3,"Không chấm công do vi phạm quá 3 lần",IF(COUNTIFS($AC$3:AC326,"Quên chấm công",$S$3:S326,S326)&gt;2,"Trừ toàn bộ chuyên cần tháng do vi phạm lần 3",IF(COUNTIFS($AC$3:AC326,"Quên chấm công",$S$3:S326,S326)&gt;1,"Trừ 1/2 ngày lương",50000))))</f>
        <v/>
      </c>
      <c r="AH326" s="14" t="str">
        <f>IF(COUNTIFS($AF$3:AF326,"&gt;0",$S$3:S326,S326)&gt;3,"Trừ toàn bộ chuyên cần tháng","")</f>
        <v/>
      </c>
      <c r="AI326" s="14"/>
      <c r="AJ326" s="14"/>
    </row>
    <row r="327" spans="1:36" x14ac:dyDescent="0.25">
      <c r="A327" s="4" t="s">
        <v>590</v>
      </c>
      <c r="B327" s="1" t="s">
        <v>591</v>
      </c>
      <c r="C327" s="1" t="s">
        <v>20</v>
      </c>
      <c r="D327" s="1" t="s">
        <v>121</v>
      </c>
      <c r="E327" s="1" t="s">
        <v>22</v>
      </c>
      <c r="F327" s="1" t="s">
        <v>23</v>
      </c>
      <c r="G327" s="1" t="s">
        <v>12</v>
      </c>
      <c r="H327" s="12" t="s">
        <v>610</v>
      </c>
      <c r="I327" s="1" t="s">
        <v>24</v>
      </c>
      <c r="J327" s="1" t="s">
        <v>25</v>
      </c>
      <c r="K327" s="1" t="s">
        <v>25</v>
      </c>
      <c r="L327" s="1" t="s">
        <v>26</v>
      </c>
      <c r="M327" s="1" t="s">
        <v>25</v>
      </c>
      <c r="N327" s="1" t="s">
        <v>25</v>
      </c>
      <c r="O327" s="1" t="s">
        <v>25</v>
      </c>
      <c r="P327" s="1" t="s">
        <v>25</v>
      </c>
      <c r="Q327" s="1" t="s">
        <v>25</v>
      </c>
      <c r="R327" s="70" t="str">
        <f t="shared" si="29"/>
        <v>5045925</v>
      </c>
      <c r="S327" t="str">
        <f>VLOOKUP(A327,Data_NV!$A:$C,3,0)</f>
        <v>Nguyễn Hữu Phước</v>
      </c>
      <c r="T327" t="str">
        <f>VLOOKUP(A327,Data_NV!$A:$E,4,0)</f>
        <v>Vận Hành</v>
      </c>
      <c r="U327" s="67">
        <f>DATEVALUE(Table2[[#This Row],[Ngày]])</f>
        <v>45925</v>
      </c>
      <c r="V327" t="str">
        <f>VLOOKUP(A327,Data_NV!$A:$E,5,0)</f>
        <v>Đang làm việc</v>
      </c>
      <c r="W327" s="11">
        <f>VLOOKUP(A327,Data_NV!$A:$I,8,0)</f>
        <v>0.3125</v>
      </c>
      <c r="X327" s="11">
        <f>VLOOKUP(A327,Data_NV!$A:$I,9,0)</f>
        <v>0.6875</v>
      </c>
      <c r="Y327" s="11">
        <f>IFERROR(TIMEVALUE(Table2[[#This Row],[Vào]]),0)</f>
        <v>0.31188657407407405</v>
      </c>
      <c r="Z327" s="11">
        <f>IFERROR(TIMEVALUE(Table2[[#This Row],[Ra]]),0)</f>
        <v>0</v>
      </c>
      <c r="AA327" t="str">
        <f t="shared" si="32"/>
        <v>x</v>
      </c>
      <c r="AB327" s="14">
        <f t="shared" si="30"/>
        <v>0</v>
      </c>
      <c r="AC327" s="14" t="str">
        <f>IF(VLOOKUP(A327,Data_NV!$A:$I,7,0)="Không","",IF(OR(AND(Y327=0,Z327=0),AND(Y327&lt;&gt;0,Z327&lt;&gt;0)),"","Quên chấm công"))</f>
        <v/>
      </c>
      <c r="AD327" s="14">
        <f>IF(VLOOKUP(A327,Data_NV!$A:$I,7,0)="Không",0,IF(AND(Y327=0,Z327=0),0,IF(X327&lt;=Z327,0,ROUNDDOWN((X327-Z327)*24*60,0))))</f>
        <v>0</v>
      </c>
      <c r="AE327" s="14">
        <f>IF(VLOOKUP(A327,Data_NV!$A:$I,6,0)="Không",0,IF(Z327&lt;=X327,0,ROUNDDOWN((Z327-X327)*24*60,0)))</f>
        <v>0</v>
      </c>
      <c r="AF327" s="29">
        <f t="shared" si="31"/>
        <v>0</v>
      </c>
      <c r="AG327" s="30" t="str">
        <f>IF(AC327="","",IF(COUNTIFS($AC$3:AC327,"Quên chấm công",$S$3:S327,S327)&gt;3,"Không chấm công do vi phạm quá 3 lần",IF(COUNTIFS($AC$3:AC327,"Quên chấm công",$S$3:S327,S327)&gt;2,"Trừ toàn bộ chuyên cần tháng do vi phạm lần 3",IF(COUNTIFS($AC$3:AC327,"Quên chấm công",$S$3:S327,S327)&gt;1,"Trừ 1/2 ngày lương",50000))))</f>
        <v/>
      </c>
      <c r="AH327" s="14" t="str">
        <f>IF(COUNTIFS($AF$3:AF327,"&gt;0",$S$3:S327,S327)&gt;3,"Trừ toàn bộ chuyên cần tháng","")</f>
        <v/>
      </c>
      <c r="AI327" s="14"/>
      <c r="AJ327" s="14"/>
    </row>
    <row r="328" spans="1:36" x14ac:dyDescent="0.25">
      <c r="A328" s="4" t="s">
        <v>590</v>
      </c>
      <c r="B328" s="1" t="s">
        <v>591</v>
      </c>
      <c r="C328" s="1" t="s">
        <v>20</v>
      </c>
      <c r="D328" s="1" t="s">
        <v>123</v>
      </c>
      <c r="E328" s="1" t="s">
        <v>22</v>
      </c>
      <c r="F328" s="1" t="s">
        <v>23</v>
      </c>
      <c r="G328" s="1" t="s">
        <v>12</v>
      </c>
      <c r="H328" s="12" t="s">
        <v>611</v>
      </c>
      <c r="I328" s="1" t="s">
        <v>24</v>
      </c>
      <c r="J328" s="1" t="s">
        <v>25</v>
      </c>
      <c r="K328" s="1" t="s">
        <v>25</v>
      </c>
      <c r="L328" s="1" t="s">
        <v>26</v>
      </c>
      <c r="M328" s="1" t="s">
        <v>25</v>
      </c>
      <c r="N328" s="1" t="s">
        <v>25</v>
      </c>
      <c r="O328" s="1" t="s">
        <v>25</v>
      </c>
      <c r="P328" s="1" t="s">
        <v>25</v>
      </c>
      <c r="Q328" s="1" t="s">
        <v>25</v>
      </c>
      <c r="R328" s="70" t="str">
        <f t="shared" si="29"/>
        <v>5045926</v>
      </c>
      <c r="S328" t="str">
        <f>VLOOKUP(A328,Data_NV!$A:$C,3,0)</f>
        <v>Nguyễn Hữu Phước</v>
      </c>
      <c r="T328" t="str">
        <f>VLOOKUP(A328,Data_NV!$A:$E,4,0)</f>
        <v>Vận Hành</v>
      </c>
      <c r="U328" s="67">
        <f>DATEVALUE(Table2[[#This Row],[Ngày]])</f>
        <v>45926</v>
      </c>
      <c r="V328" t="str">
        <f>VLOOKUP(A328,Data_NV!$A:$E,5,0)</f>
        <v>Đang làm việc</v>
      </c>
      <c r="W328" s="11">
        <f>VLOOKUP(A328,Data_NV!$A:$I,8,0)</f>
        <v>0.3125</v>
      </c>
      <c r="X328" s="11">
        <f>VLOOKUP(A328,Data_NV!$A:$I,9,0)</f>
        <v>0.6875</v>
      </c>
      <c r="Y328" s="11">
        <f>IFERROR(TIMEVALUE(Table2[[#This Row],[Vào]]),0)</f>
        <v>0.31306712962962963</v>
      </c>
      <c r="Z328" s="11">
        <f>IFERROR(TIMEVALUE(Table2[[#This Row],[Ra]]),0)</f>
        <v>0</v>
      </c>
      <c r="AA328" t="str">
        <f t="shared" si="32"/>
        <v>x</v>
      </c>
      <c r="AB328" s="14">
        <f t="shared" si="30"/>
        <v>0</v>
      </c>
      <c r="AC328" s="14" t="str">
        <f>IF(VLOOKUP(A328,Data_NV!$A:$I,7,0)="Không","",IF(OR(AND(Y328=0,Z328=0),AND(Y328&lt;&gt;0,Z328&lt;&gt;0)),"","Quên chấm công"))</f>
        <v/>
      </c>
      <c r="AD328" s="14">
        <f>IF(VLOOKUP(A328,Data_NV!$A:$I,7,0)="Không",0,IF(AND(Y328=0,Z328=0),0,IF(X328&lt;=Z328,0,ROUNDDOWN((X328-Z328)*24*60,0))))</f>
        <v>0</v>
      </c>
      <c r="AE328" s="14">
        <f>IF(VLOOKUP(A328,Data_NV!$A:$I,6,0)="Không",0,IF(Z328&lt;=X328,0,ROUNDDOWN((Z328-X328)*24*60,0)))</f>
        <v>0</v>
      </c>
      <c r="AF328" s="29">
        <f t="shared" si="31"/>
        <v>0</v>
      </c>
      <c r="AG328" s="30" t="str">
        <f>IF(AC328="","",IF(COUNTIFS($AC$3:AC328,"Quên chấm công",$S$3:S328,S328)&gt;3,"Không chấm công do vi phạm quá 3 lần",IF(COUNTIFS($AC$3:AC328,"Quên chấm công",$S$3:S328,S328)&gt;2,"Trừ toàn bộ chuyên cần tháng do vi phạm lần 3",IF(COUNTIFS($AC$3:AC328,"Quên chấm công",$S$3:S328,S328)&gt;1,"Trừ 1/2 ngày lương",50000))))</f>
        <v/>
      </c>
      <c r="AH328" s="14" t="str">
        <f>IF(COUNTIFS($AF$3:AF328,"&gt;0",$S$3:S328,S328)&gt;3,"Trừ toàn bộ chuyên cần tháng","")</f>
        <v/>
      </c>
      <c r="AI328" s="14"/>
      <c r="AJ328" s="14"/>
    </row>
    <row r="329" spans="1:36" x14ac:dyDescent="0.25">
      <c r="A329" s="4" t="s">
        <v>590</v>
      </c>
      <c r="B329" s="1" t="s">
        <v>591</v>
      </c>
      <c r="C329" s="1" t="s">
        <v>20</v>
      </c>
      <c r="D329" s="1" t="s">
        <v>125</v>
      </c>
      <c r="E329" s="1" t="s">
        <v>22</v>
      </c>
      <c r="F329" s="1" t="s">
        <v>23</v>
      </c>
      <c r="G329" s="1" t="s">
        <v>12</v>
      </c>
      <c r="H329" s="12" t="s">
        <v>612</v>
      </c>
      <c r="I329" s="1" t="s">
        <v>24</v>
      </c>
      <c r="J329" s="1" t="s">
        <v>25</v>
      </c>
      <c r="K329" s="1" t="s">
        <v>25</v>
      </c>
      <c r="L329" s="1" t="s">
        <v>26</v>
      </c>
      <c r="M329" s="1" t="s">
        <v>25</v>
      </c>
      <c r="N329" s="1" t="s">
        <v>25</v>
      </c>
      <c r="O329" s="1" t="s">
        <v>25</v>
      </c>
      <c r="P329" s="1" t="s">
        <v>25</v>
      </c>
      <c r="Q329" s="1" t="s">
        <v>25</v>
      </c>
      <c r="R329" s="70" t="str">
        <f t="shared" si="29"/>
        <v>5045927</v>
      </c>
      <c r="S329" t="str">
        <f>VLOOKUP(A329,Data_NV!$A:$C,3,0)</f>
        <v>Nguyễn Hữu Phước</v>
      </c>
      <c r="T329" t="str">
        <f>VLOOKUP(A329,Data_NV!$A:$E,4,0)</f>
        <v>Vận Hành</v>
      </c>
      <c r="U329" s="67">
        <f>DATEVALUE(Table2[[#This Row],[Ngày]])</f>
        <v>45927</v>
      </c>
      <c r="V329" t="str">
        <f>VLOOKUP(A329,Data_NV!$A:$E,5,0)</f>
        <v>Đang làm việc</v>
      </c>
      <c r="W329" s="11">
        <f>VLOOKUP(A329,Data_NV!$A:$I,8,0)</f>
        <v>0.3125</v>
      </c>
      <c r="X329" s="11">
        <f>VLOOKUP(A329,Data_NV!$A:$I,9,0)</f>
        <v>0.6875</v>
      </c>
      <c r="Y329" s="11">
        <f>IFERROR(TIMEVALUE(Table2[[#This Row],[Vào]]),0)</f>
        <v>0.3137152777777778</v>
      </c>
      <c r="Z329" s="11">
        <f>IFERROR(TIMEVALUE(Table2[[#This Row],[Ra]]),0)</f>
        <v>0</v>
      </c>
      <c r="AA329" t="str">
        <f t="shared" si="32"/>
        <v>x</v>
      </c>
      <c r="AB329" s="14">
        <f t="shared" si="30"/>
        <v>1</v>
      </c>
      <c r="AC329" s="14" t="str">
        <f>IF(VLOOKUP(A329,Data_NV!$A:$I,7,0)="Không","",IF(OR(AND(Y329=0,Z329=0),AND(Y329&lt;&gt;0,Z329&lt;&gt;0)),"","Quên chấm công"))</f>
        <v/>
      </c>
      <c r="AD329" s="14">
        <f>IF(VLOOKUP(A329,Data_NV!$A:$I,7,0)="Không",0,IF(AND(Y329=0,Z329=0),0,IF(X329&lt;=Z329,0,ROUNDDOWN((X329-Z329)*24*60,0))))</f>
        <v>0</v>
      </c>
      <c r="AE329" s="14">
        <f>IF(VLOOKUP(A329,Data_NV!$A:$I,6,0)="Không",0,IF(Z329&lt;=X329,0,ROUNDDOWN((Z329-X329)*24*60,0)))</f>
        <v>0</v>
      </c>
      <c r="AF329" s="29">
        <f t="shared" si="31"/>
        <v>0</v>
      </c>
      <c r="AG329" s="30" t="str">
        <f>IF(AC329="","",IF(COUNTIFS($AC$3:AC329,"Quên chấm công",$S$3:S329,S329)&gt;3,"Không chấm công do vi phạm quá 3 lần",IF(COUNTIFS($AC$3:AC329,"Quên chấm công",$S$3:S329,S329)&gt;2,"Trừ toàn bộ chuyên cần tháng do vi phạm lần 3",IF(COUNTIFS($AC$3:AC329,"Quên chấm công",$S$3:S329,S329)&gt;1,"Trừ 1/2 ngày lương",50000))))</f>
        <v/>
      </c>
      <c r="AH329" s="14" t="str">
        <f>IF(COUNTIFS($AF$3:AF329,"&gt;0",$S$3:S329,S329)&gt;3,"Trừ toàn bộ chuyên cần tháng","")</f>
        <v/>
      </c>
      <c r="AI329" s="14"/>
      <c r="AJ329" s="14"/>
    </row>
    <row r="330" spans="1:36" x14ac:dyDescent="0.25">
      <c r="A330" s="4" t="s">
        <v>590</v>
      </c>
      <c r="B330" s="1" t="s">
        <v>591</v>
      </c>
      <c r="C330" s="1" t="s">
        <v>20</v>
      </c>
      <c r="D330" s="1" t="s">
        <v>130</v>
      </c>
      <c r="E330" s="1" t="s">
        <v>22</v>
      </c>
      <c r="F330" s="1" t="s">
        <v>23</v>
      </c>
      <c r="G330" s="1" t="s">
        <v>12</v>
      </c>
      <c r="H330" s="12" t="s">
        <v>24</v>
      </c>
      <c r="I330" s="1" t="s">
        <v>24</v>
      </c>
      <c r="J330" s="1" t="s">
        <v>25</v>
      </c>
      <c r="K330" s="1" t="s">
        <v>25</v>
      </c>
      <c r="L330" s="1" t="s">
        <v>26</v>
      </c>
      <c r="M330" s="1" t="s">
        <v>25</v>
      </c>
      <c r="N330" s="1" t="s">
        <v>25</v>
      </c>
      <c r="O330" s="1" t="s">
        <v>25</v>
      </c>
      <c r="P330" s="1" t="s">
        <v>25</v>
      </c>
      <c r="Q330" s="1" t="s">
        <v>25</v>
      </c>
      <c r="R330" s="70" t="str">
        <f t="shared" si="29"/>
        <v>5045928</v>
      </c>
      <c r="S330" t="str">
        <f>VLOOKUP(A330,Data_NV!$A:$C,3,0)</f>
        <v>Nguyễn Hữu Phước</v>
      </c>
      <c r="T330" t="str">
        <f>VLOOKUP(A330,Data_NV!$A:$E,4,0)</f>
        <v>Vận Hành</v>
      </c>
      <c r="U330" s="67">
        <f>DATEVALUE(Table2[[#This Row],[Ngày]])</f>
        <v>45928</v>
      </c>
      <c r="V330" t="str">
        <f>VLOOKUP(A330,Data_NV!$A:$E,5,0)</f>
        <v>Đang làm việc</v>
      </c>
      <c r="W330" s="11">
        <f>VLOOKUP(A330,Data_NV!$A:$I,8,0)</f>
        <v>0.3125</v>
      </c>
      <c r="X330" s="11">
        <f>VLOOKUP(A330,Data_NV!$A:$I,9,0)</f>
        <v>0.6875</v>
      </c>
      <c r="Y330" s="11">
        <f>IFERROR(TIMEVALUE(Table2[[#This Row],[Vào]]),0)</f>
        <v>0</v>
      </c>
      <c r="Z330" s="11">
        <f>IFERROR(TIMEVALUE(Table2[[#This Row],[Ra]]),0)</f>
        <v>0</v>
      </c>
      <c r="AA330" t="str">
        <f t="shared" si="32"/>
        <v/>
      </c>
      <c r="AB330" s="14">
        <f t="shared" si="30"/>
        <v>0</v>
      </c>
      <c r="AC330" s="14" t="str">
        <f>IF(VLOOKUP(A330,Data_NV!$A:$I,7,0)="Không","",IF(OR(AND(Y330=0,Z330=0),AND(Y330&lt;&gt;0,Z330&lt;&gt;0)),"","Quên chấm công"))</f>
        <v/>
      </c>
      <c r="AD330" s="14">
        <f>IF(VLOOKUP(A330,Data_NV!$A:$I,7,0)="Không",0,IF(AND(Y330=0,Z330=0),0,IF(X330&lt;=Z330,0,ROUNDDOWN((X330-Z330)*24*60,0))))</f>
        <v>0</v>
      </c>
      <c r="AE330" s="14">
        <f>IF(VLOOKUP(A330,Data_NV!$A:$I,6,0)="Không",0,IF(Z330&lt;=X330,0,ROUNDDOWN((Z330-X330)*24*60,0)))</f>
        <v>0</v>
      </c>
      <c r="AF330" s="29">
        <f t="shared" si="31"/>
        <v>0</v>
      </c>
      <c r="AG330" s="30" t="str">
        <f>IF(AC330="","",IF(COUNTIFS($AC$3:AC330,"Quên chấm công",$S$3:S330,S330)&gt;3,"Không chấm công do vi phạm quá 3 lần",IF(COUNTIFS($AC$3:AC330,"Quên chấm công",$S$3:S330,S330)&gt;2,"Trừ toàn bộ chuyên cần tháng do vi phạm lần 3",IF(COUNTIFS($AC$3:AC330,"Quên chấm công",$S$3:S330,S330)&gt;1,"Trừ 1/2 ngày lương",50000))))</f>
        <v/>
      </c>
      <c r="AH330" s="14" t="str">
        <f>IF(COUNTIFS($AF$3:AF330,"&gt;0",$S$3:S330,S330)&gt;3,"Trừ toàn bộ chuyên cần tháng","")</f>
        <v/>
      </c>
      <c r="AI330" s="14"/>
      <c r="AJ330" s="14"/>
    </row>
    <row r="331" spans="1:36" x14ac:dyDescent="0.25">
      <c r="A331" s="4" t="s">
        <v>590</v>
      </c>
      <c r="B331" s="1" t="s">
        <v>591</v>
      </c>
      <c r="C331" s="1" t="s">
        <v>20</v>
      </c>
      <c r="D331" s="1" t="s">
        <v>131</v>
      </c>
      <c r="E331" s="1" t="s">
        <v>22</v>
      </c>
      <c r="F331" s="1" t="s">
        <v>23</v>
      </c>
      <c r="G331" s="1" t="s">
        <v>12</v>
      </c>
      <c r="H331" s="12" t="s">
        <v>613</v>
      </c>
      <c r="I331" s="1" t="s">
        <v>24</v>
      </c>
      <c r="J331" s="1" t="s">
        <v>25</v>
      </c>
      <c r="K331" s="1" t="s">
        <v>25</v>
      </c>
      <c r="L331" s="1" t="s">
        <v>26</v>
      </c>
      <c r="M331" s="1" t="s">
        <v>25</v>
      </c>
      <c r="N331" s="1" t="s">
        <v>25</v>
      </c>
      <c r="O331" s="1" t="s">
        <v>25</v>
      </c>
      <c r="P331" s="1" t="s">
        <v>25</v>
      </c>
      <c r="Q331" s="1" t="s">
        <v>25</v>
      </c>
      <c r="R331" s="70" t="str">
        <f t="shared" si="29"/>
        <v>5045929</v>
      </c>
      <c r="S331" t="str">
        <f>VLOOKUP(A331,Data_NV!$A:$C,3,0)</f>
        <v>Nguyễn Hữu Phước</v>
      </c>
      <c r="T331" t="str">
        <f>VLOOKUP(A331,Data_NV!$A:$E,4,0)</f>
        <v>Vận Hành</v>
      </c>
      <c r="U331" s="67">
        <f>DATEVALUE(Table2[[#This Row],[Ngày]])</f>
        <v>45929</v>
      </c>
      <c r="V331" t="str">
        <f>VLOOKUP(A331,Data_NV!$A:$E,5,0)</f>
        <v>Đang làm việc</v>
      </c>
      <c r="W331" s="11">
        <f>VLOOKUP(A331,Data_NV!$A:$I,8,0)</f>
        <v>0.3125</v>
      </c>
      <c r="X331" s="11">
        <f>VLOOKUP(A331,Data_NV!$A:$I,9,0)</f>
        <v>0.6875</v>
      </c>
      <c r="Y331" s="11">
        <f>IFERROR(TIMEVALUE(Table2[[#This Row],[Vào]]),0)</f>
        <v>0.31156250000000002</v>
      </c>
      <c r="Z331" s="11">
        <f>IFERROR(TIMEVALUE(Table2[[#This Row],[Ra]]),0)</f>
        <v>0</v>
      </c>
      <c r="AA331" t="str">
        <f t="shared" si="32"/>
        <v>x</v>
      </c>
      <c r="AB331" s="14">
        <f t="shared" si="30"/>
        <v>0</v>
      </c>
      <c r="AC331" s="14" t="str">
        <f>IF(VLOOKUP(A331,Data_NV!$A:$I,7,0)="Không","",IF(OR(AND(Y331=0,Z331=0),AND(Y331&lt;&gt;0,Z331&lt;&gt;0)),"","Quên chấm công"))</f>
        <v/>
      </c>
      <c r="AD331" s="14">
        <f>IF(VLOOKUP(A331,Data_NV!$A:$I,7,0)="Không",0,IF(AND(Y331=0,Z331=0),0,IF(X331&lt;=Z331,0,ROUNDDOWN((X331-Z331)*24*60,0))))</f>
        <v>0</v>
      </c>
      <c r="AE331" s="14">
        <f>IF(VLOOKUP(A331,Data_NV!$A:$I,6,0)="Không",0,IF(Z331&lt;=X331,0,ROUNDDOWN((Z331-X331)*24*60,0)))</f>
        <v>0</v>
      </c>
      <c r="AF331" s="29">
        <f t="shared" si="31"/>
        <v>0</v>
      </c>
      <c r="AG331" s="30" t="str">
        <f>IF(AC331="","",IF(COUNTIFS($AC$3:AC331,"Quên chấm công",$S$3:S331,S331)&gt;3,"Không chấm công do vi phạm quá 3 lần",IF(COUNTIFS($AC$3:AC331,"Quên chấm công",$S$3:S331,S331)&gt;2,"Trừ toàn bộ chuyên cần tháng do vi phạm lần 3",IF(COUNTIFS($AC$3:AC331,"Quên chấm công",$S$3:S331,S331)&gt;1,"Trừ 1/2 ngày lương",50000))))</f>
        <v/>
      </c>
      <c r="AH331" s="14" t="str">
        <f>IF(COUNTIFS($AF$3:AF331,"&gt;0",$S$3:S331,S331)&gt;3,"Trừ toàn bộ chuyên cần tháng","")</f>
        <v/>
      </c>
      <c r="AI331" s="14"/>
      <c r="AJ331" s="14"/>
    </row>
    <row r="332" spans="1:36" x14ac:dyDescent="0.25">
      <c r="A332" s="4" t="s">
        <v>590</v>
      </c>
      <c r="B332" s="1" t="s">
        <v>591</v>
      </c>
      <c r="C332" s="1" t="s">
        <v>20</v>
      </c>
      <c r="D332" s="1" t="s">
        <v>136</v>
      </c>
      <c r="E332" s="1" t="s">
        <v>22</v>
      </c>
      <c r="F332" s="1" t="s">
        <v>23</v>
      </c>
      <c r="G332" s="1" t="s">
        <v>12</v>
      </c>
      <c r="H332" s="12" t="s">
        <v>614</v>
      </c>
      <c r="I332" s="1" t="s">
        <v>24</v>
      </c>
      <c r="J332" s="1" t="s">
        <v>25</v>
      </c>
      <c r="K332" s="1" t="s">
        <v>25</v>
      </c>
      <c r="L332" s="1" t="s">
        <v>26</v>
      </c>
      <c r="M332" s="1" t="s">
        <v>25</v>
      </c>
      <c r="N332" s="1" t="s">
        <v>25</v>
      </c>
      <c r="O332" s="1" t="s">
        <v>25</v>
      </c>
      <c r="P332" s="1" t="s">
        <v>25</v>
      </c>
      <c r="Q332" s="1" t="s">
        <v>25</v>
      </c>
      <c r="R332" s="70" t="str">
        <f t="shared" si="29"/>
        <v>5045930</v>
      </c>
      <c r="S332" t="str">
        <f>VLOOKUP(A332,Data_NV!$A:$C,3,0)</f>
        <v>Nguyễn Hữu Phước</v>
      </c>
      <c r="T332" t="str">
        <f>VLOOKUP(A332,Data_NV!$A:$E,4,0)</f>
        <v>Vận Hành</v>
      </c>
      <c r="U332" s="67">
        <f>DATEVALUE(Table2[[#This Row],[Ngày]])</f>
        <v>45930</v>
      </c>
      <c r="V332" t="str">
        <f>VLOOKUP(A332,Data_NV!$A:$E,5,0)</f>
        <v>Đang làm việc</v>
      </c>
      <c r="W332" s="11">
        <f>VLOOKUP(A332,Data_NV!$A:$I,8,0)</f>
        <v>0.3125</v>
      </c>
      <c r="X332" s="11">
        <f>VLOOKUP(A332,Data_NV!$A:$I,9,0)</f>
        <v>0.6875</v>
      </c>
      <c r="Y332" s="11">
        <f>IFERROR(TIMEVALUE(Table2[[#This Row],[Vào]]),0)</f>
        <v>0.3165972222222222</v>
      </c>
      <c r="Z332" s="11">
        <f>IFERROR(TIMEVALUE(Table2[[#This Row],[Ra]]),0)</f>
        <v>0</v>
      </c>
      <c r="AA332" t="str">
        <f t="shared" si="32"/>
        <v>x</v>
      </c>
      <c r="AB332" s="14">
        <f t="shared" si="30"/>
        <v>5</v>
      </c>
      <c r="AC332" s="14" t="str">
        <f>IF(VLOOKUP(A332,Data_NV!$A:$I,7,0)="Không","",IF(OR(AND(Y332=0,Z332=0),AND(Y332&lt;&gt;0,Z332&lt;&gt;0)),"","Quên chấm công"))</f>
        <v/>
      </c>
      <c r="AD332" s="14">
        <f>IF(VLOOKUP(A332,Data_NV!$A:$I,7,0)="Không",0,IF(AND(Y332=0,Z332=0),0,IF(X332&lt;=Z332,0,ROUNDDOWN((X332-Z332)*24*60,0))))</f>
        <v>0</v>
      </c>
      <c r="AE332" s="14">
        <f>IF(VLOOKUP(A332,Data_NV!$A:$I,6,0)="Không",0,IF(Z332&lt;=X332,0,ROUNDDOWN((Z332-X332)*24*60,0)))</f>
        <v>0</v>
      </c>
      <c r="AF332" s="29">
        <f t="shared" si="31"/>
        <v>0</v>
      </c>
      <c r="AG332" s="30" t="str">
        <f>IF(AC332="","",IF(COUNTIFS($AC$3:AC332,"Quên chấm công",$S$3:S332,S332)&gt;3,"Không chấm công do vi phạm quá 3 lần",IF(COUNTIFS($AC$3:AC332,"Quên chấm công",$S$3:S332,S332)&gt;2,"Trừ toàn bộ chuyên cần tháng do vi phạm lần 3",IF(COUNTIFS($AC$3:AC332,"Quên chấm công",$S$3:S332,S332)&gt;1,"Trừ 1/2 ngày lương",50000))))</f>
        <v/>
      </c>
      <c r="AH332" s="14" t="str">
        <f>IF(COUNTIFS($AF$3:AF332,"&gt;0",$S$3:S332,S332)&gt;3,"Trừ toàn bộ chuyên cần tháng","")</f>
        <v/>
      </c>
      <c r="AI332" s="14"/>
      <c r="AJ332" s="14"/>
    </row>
    <row r="333" spans="1:36" x14ac:dyDescent="0.25">
      <c r="A333" s="4" t="s">
        <v>628</v>
      </c>
      <c r="B333" s="1" t="s">
        <v>629</v>
      </c>
      <c r="C333" s="1" t="s">
        <v>20</v>
      </c>
      <c r="D333" s="1" t="s">
        <v>21</v>
      </c>
      <c r="E333" s="1" t="s">
        <v>22</v>
      </c>
      <c r="F333" s="1" t="s">
        <v>23</v>
      </c>
      <c r="G333" s="1" t="s">
        <v>12</v>
      </c>
      <c r="H333" s="12" t="s">
        <v>24</v>
      </c>
      <c r="I333" s="1" t="s">
        <v>24</v>
      </c>
      <c r="J333" s="1" t="s">
        <v>25</v>
      </c>
      <c r="K333" s="1" t="s">
        <v>25</v>
      </c>
      <c r="L333" s="1" t="s">
        <v>26</v>
      </c>
      <c r="M333" s="1" t="s">
        <v>25</v>
      </c>
      <c r="N333" s="1" t="s">
        <v>25</v>
      </c>
      <c r="O333" s="1" t="s">
        <v>25</v>
      </c>
      <c r="P333" s="1" t="s">
        <v>25</v>
      </c>
      <c r="Q333" s="1" t="s">
        <v>25</v>
      </c>
      <c r="R333" s="70" t="str">
        <f t="shared" ref="R333:R362" si="33">A333&amp;U333</f>
        <v>5945901</v>
      </c>
      <c r="S333" t="str">
        <f>VLOOKUP(A333,Data_NV!$A:$C,3,0)</f>
        <v>Nguyễn Thanh Phương</v>
      </c>
      <c r="T333" t="str">
        <f>VLOOKUP(A333,Data_NV!$A:$E,4,0)</f>
        <v>Vận Hành</v>
      </c>
      <c r="U333" s="67">
        <f>DATEVALUE(Table2[[#This Row],[Ngày]])</f>
        <v>45901</v>
      </c>
      <c r="V333" t="str">
        <f>VLOOKUP(A333,Data_NV!$A:$E,5,0)</f>
        <v>Đang làm việc</v>
      </c>
      <c r="W333" s="11">
        <f>VLOOKUP(A333,Data_NV!$A:$I,8,0)</f>
        <v>0.3125</v>
      </c>
      <c r="X333" s="11">
        <f>VLOOKUP(A333,Data_NV!$A:$I,9,0)</f>
        <v>0.6875</v>
      </c>
      <c r="Y333" s="11">
        <f>IFERROR(TIMEVALUE(Table2[[#This Row],[Vào]]),0)</f>
        <v>0</v>
      </c>
      <c r="Z333" s="11">
        <f>IFERROR(TIMEVALUE(Table2[[#This Row],[Ra]]),0)</f>
        <v>0</v>
      </c>
      <c r="AA333" s="10" t="s">
        <v>771</v>
      </c>
      <c r="AB333" s="14">
        <f t="shared" ref="AB333:AB362" si="34">IF(Y333&lt;=W333,0,ROUNDDOWN((Y333-W333)*24*60,0))</f>
        <v>0</v>
      </c>
      <c r="AC333" s="14" t="str">
        <f>IF(VLOOKUP(A333,Data_NV!$A:$I,7,0)="Không","",IF(OR(AND(Y333=0,Z333=0),AND(Y333&lt;&gt;0,Z333&lt;&gt;0)),"","Quên chấm công"))</f>
        <v/>
      </c>
      <c r="AD333" s="14">
        <f>IF(VLOOKUP(A333,Data_NV!$A:$I,7,0)="Không",0,IF(AND(Y333=0,Z333=0),0,IF(X333&lt;=Z333,0,ROUNDDOWN((X333-Z333)*24*60,0))))</f>
        <v>0</v>
      </c>
      <c r="AE333" s="14">
        <f>IF(VLOOKUP(A333,Data_NV!$A:$I,6,0)="Không",0,IF(Z333&lt;=X333,0,ROUNDDOWN((Z333-X333)*24*60,0)))</f>
        <v>0</v>
      </c>
      <c r="AF333" s="29">
        <f t="shared" ref="AF333:AF362" si="35">IF(AB333&gt;60,"Trừ 1/2 ngày lương",IF(AB333&gt;15,50000,IF(AB333&gt;6,30000,0)))</f>
        <v>0</v>
      </c>
      <c r="AG333" s="30" t="str">
        <f>IF(AC333="","",IF(COUNTIFS($AC$3:AC333,"Quên chấm công",$S$3:S333,S333)&gt;3,"Không chấm công do vi phạm quá 3 lần",IF(COUNTIFS($AC$3:AC333,"Quên chấm công",$S$3:S333,S333)&gt;2,"Trừ toàn bộ chuyên cần tháng do vi phạm lần 3",IF(COUNTIFS($AC$3:AC333,"Quên chấm công",$S$3:S333,S333)&gt;1,"Trừ 1/2 ngày lương",50000))))</f>
        <v/>
      </c>
      <c r="AH333" s="14" t="str">
        <f>IF(COUNTIFS($AF$3:AF333,"&gt;0",$S$3:S333,S333)&gt;3,"Trừ toàn bộ chuyên cần tháng","")</f>
        <v/>
      </c>
      <c r="AI333" s="14"/>
      <c r="AJ333" s="14"/>
    </row>
    <row r="334" spans="1:36" x14ac:dyDescent="0.25">
      <c r="A334" s="4" t="s">
        <v>628</v>
      </c>
      <c r="B334" s="1" t="s">
        <v>629</v>
      </c>
      <c r="C334" s="1" t="s">
        <v>20</v>
      </c>
      <c r="D334" s="1" t="s">
        <v>27</v>
      </c>
      <c r="E334" s="1" t="s">
        <v>22</v>
      </c>
      <c r="F334" s="1" t="s">
        <v>23</v>
      </c>
      <c r="G334" s="1" t="s">
        <v>12</v>
      </c>
      <c r="H334" s="12" t="s">
        <v>24</v>
      </c>
      <c r="I334" s="1" t="s">
        <v>24</v>
      </c>
      <c r="J334" s="1" t="s">
        <v>25</v>
      </c>
      <c r="K334" s="1" t="s">
        <v>25</v>
      </c>
      <c r="L334" s="1" t="s">
        <v>26</v>
      </c>
      <c r="M334" s="1" t="s">
        <v>25</v>
      </c>
      <c r="N334" s="1" t="s">
        <v>25</v>
      </c>
      <c r="O334" s="1" t="s">
        <v>25</v>
      </c>
      <c r="P334" s="1" t="s">
        <v>25</v>
      </c>
      <c r="Q334" s="1" t="s">
        <v>25</v>
      </c>
      <c r="R334" s="70" t="str">
        <f t="shared" si="33"/>
        <v>5945902</v>
      </c>
      <c r="S334" t="str">
        <f>VLOOKUP(A334,Data_NV!$A:$C,3,0)</f>
        <v>Nguyễn Thanh Phương</v>
      </c>
      <c r="T334" t="str">
        <f>VLOOKUP(A334,Data_NV!$A:$E,4,0)</f>
        <v>Vận Hành</v>
      </c>
      <c r="U334" s="67">
        <f>DATEVALUE(Table2[[#This Row],[Ngày]])</f>
        <v>45902</v>
      </c>
      <c r="V334" t="str">
        <f>VLOOKUP(A334,Data_NV!$A:$E,5,0)</f>
        <v>Đang làm việc</v>
      </c>
      <c r="W334" s="11">
        <f>VLOOKUP(A334,Data_NV!$A:$I,8,0)</f>
        <v>0.3125</v>
      </c>
      <c r="X334" s="11">
        <f>VLOOKUP(A334,Data_NV!$A:$I,9,0)</f>
        <v>0.6875</v>
      </c>
      <c r="Y334" s="11">
        <f>IFERROR(TIMEVALUE(Table2[[#This Row],[Vào]]),0)</f>
        <v>0</v>
      </c>
      <c r="Z334" s="11">
        <f>IFERROR(TIMEVALUE(Table2[[#This Row],[Ra]]),0)</f>
        <v>0</v>
      </c>
      <c r="AA334" s="10" t="s">
        <v>771</v>
      </c>
      <c r="AB334" s="14">
        <f t="shared" si="34"/>
        <v>0</v>
      </c>
      <c r="AC334" s="14" t="str">
        <f>IF(VLOOKUP(A334,Data_NV!$A:$I,7,0)="Không","",IF(OR(AND(Y334=0,Z334=0),AND(Y334&lt;&gt;0,Z334&lt;&gt;0)),"","Quên chấm công"))</f>
        <v/>
      </c>
      <c r="AD334" s="14">
        <f>IF(VLOOKUP(A334,Data_NV!$A:$I,7,0)="Không",0,IF(AND(Y334=0,Z334=0),0,IF(X334&lt;=Z334,0,ROUNDDOWN((X334-Z334)*24*60,0))))</f>
        <v>0</v>
      </c>
      <c r="AE334" s="14">
        <f>IF(VLOOKUP(A334,Data_NV!$A:$I,6,0)="Không",0,IF(Z334&lt;=X334,0,ROUNDDOWN((Z334-X334)*24*60,0)))</f>
        <v>0</v>
      </c>
      <c r="AF334" s="29">
        <f t="shared" si="35"/>
        <v>0</v>
      </c>
      <c r="AG334" s="30" t="str">
        <f>IF(AC334="","",IF(COUNTIFS($AC$3:AC334,"Quên chấm công",$S$3:S334,S334)&gt;3,"Không chấm công do vi phạm quá 3 lần",IF(COUNTIFS($AC$3:AC334,"Quên chấm công",$S$3:S334,S334)&gt;2,"Trừ toàn bộ chuyên cần tháng do vi phạm lần 3",IF(COUNTIFS($AC$3:AC334,"Quên chấm công",$S$3:S334,S334)&gt;1,"Trừ 1/2 ngày lương",50000))))</f>
        <v/>
      </c>
      <c r="AH334" s="14" t="str">
        <f>IF(COUNTIFS($AF$3:AF334,"&gt;0",$S$3:S334,S334)&gt;3,"Trừ toàn bộ chuyên cần tháng","")</f>
        <v/>
      </c>
      <c r="AI334" s="14"/>
      <c r="AJ334" s="14"/>
    </row>
    <row r="335" spans="1:36" x14ac:dyDescent="0.25">
      <c r="A335" s="4" t="s">
        <v>628</v>
      </c>
      <c r="B335" s="1" t="s">
        <v>629</v>
      </c>
      <c r="C335" s="1" t="s">
        <v>20</v>
      </c>
      <c r="D335" s="1" t="s">
        <v>28</v>
      </c>
      <c r="E335" s="1" t="s">
        <v>22</v>
      </c>
      <c r="F335" s="1" t="s">
        <v>23</v>
      </c>
      <c r="G335" s="1" t="s">
        <v>12</v>
      </c>
      <c r="H335" s="12" t="s">
        <v>630</v>
      </c>
      <c r="I335" s="1" t="s">
        <v>24</v>
      </c>
      <c r="J335" s="1" t="s">
        <v>25</v>
      </c>
      <c r="K335" s="1" t="s">
        <v>25</v>
      </c>
      <c r="L335" s="1" t="s">
        <v>26</v>
      </c>
      <c r="M335" s="1" t="s">
        <v>25</v>
      </c>
      <c r="N335" s="1" t="s">
        <v>25</v>
      </c>
      <c r="O335" s="1" t="s">
        <v>25</v>
      </c>
      <c r="P335" s="1" t="s">
        <v>25</v>
      </c>
      <c r="Q335" s="1" t="s">
        <v>25</v>
      </c>
      <c r="R335" s="70" t="str">
        <f t="shared" si="33"/>
        <v>5945903</v>
      </c>
      <c r="S335" t="str">
        <f>VLOOKUP(A335,Data_NV!$A:$C,3,0)</f>
        <v>Nguyễn Thanh Phương</v>
      </c>
      <c r="T335" t="str">
        <f>VLOOKUP(A335,Data_NV!$A:$E,4,0)</f>
        <v>Vận Hành</v>
      </c>
      <c r="U335" s="67">
        <f>DATEVALUE(Table2[[#This Row],[Ngày]])</f>
        <v>45903</v>
      </c>
      <c r="V335" t="str">
        <f>VLOOKUP(A335,Data_NV!$A:$E,5,0)</f>
        <v>Đang làm việc</v>
      </c>
      <c r="W335" s="11">
        <f>VLOOKUP(A335,Data_NV!$A:$I,8,0)</f>
        <v>0.3125</v>
      </c>
      <c r="X335" s="11">
        <f>VLOOKUP(A335,Data_NV!$A:$I,9,0)</f>
        <v>0.6875</v>
      </c>
      <c r="Y335" s="11">
        <f>IFERROR(TIMEVALUE(Table2[[#This Row],[Vào]]),0)</f>
        <v>0.30451388888888886</v>
      </c>
      <c r="Z335" s="11">
        <f>IFERROR(TIMEVALUE(Table2[[#This Row],[Ra]]),0)</f>
        <v>0</v>
      </c>
      <c r="AA335" t="str">
        <f t="shared" ref="AA335:AA362" si="36">IF(OR(AND(Y335=0,Z335=0),AG335="Không chấm công do vi phạm quá 3 lần"),"",IF(OR(AG335="Trừ 1/2 ngày lương",AF335="Trừ 1/2 ngày lương",AB335&gt;=60),"1/2","x"))</f>
        <v>x</v>
      </c>
      <c r="AB335" s="14">
        <f t="shared" si="34"/>
        <v>0</v>
      </c>
      <c r="AC335" s="14" t="str">
        <f>IF(VLOOKUP(A335,Data_NV!$A:$I,7,0)="Không","",IF(OR(AND(Y335=0,Z335=0),AND(Y335&lt;&gt;0,Z335&lt;&gt;0)),"","Quên chấm công"))</f>
        <v/>
      </c>
      <c r="AD335" s="14">
        <f>IF(VLOOKUP(A335,Data_NV!$A:$I,7,0)="Không",0,IF(AND(Y335=0,Z335=0),0,IF(X335&lt;=Z335,0,ROUNDDOWN((X335-Z335)*24*60,0))))</f>
        <v>0</v>
      </c>
      <c r="AE335" s="14">
        <f>IF(VLOOKUP(A335,Data_NV!$A:$I,6,0)="Không",0,IF(Z335&lt;=X335,0,ROUNDDOWN((Z335-X335)*24*60,0)))</f>
        <v>0</v>
      </c>
      <c r="AF335" s="29">
        <f t="shared" si="35"/>
        <v>0</v>
      </c>
      <c r="AG335" s="30" t="str">
        <f>IF(AC335="","",IF(COUNTIFS($AC$3:AC335,"Quên chấm công",$S$3:S335,S335)&gt;3,"Không chấm công do vi phạm quá 3 lần",IF(COUNTIFS($AC$3:AC335,"Quên chấm công",$S$3:S335,S335)&gt;2,"Trừ toàn bộ chuyên cần tháng do vi phạm lần 3",IF(COUNTIFS($AC$3:AC335,"Quên chấm công",$S$3:S335,S335)&gt;1,"Trừ 1/2 ngày lương",50000))))</f>
        <v/>
      </c>
      <c r="AH335" s="14" t="str">
        <f>IF(COUNTIFS($AF$3:AF335,"&gt;0",$S$3:S335,S335)&gt;3,"Trừ toàn bộ chuyên cần tháng","")</f>
        <v/>
      </c>
      <c r="AI335" s="14"/>
      <c r="AJ335" s="14"/>
    </row>
    <row r="336" spans="1:36" x14ac:dyDescent="0.25">
      <c r="A336" s="4" t="s">
        <v>628</v>
      </c>
      <c r="B336" s="1" t="s">
        <v>629</v>
      </c>
      <c r="C336" s="1" t="s">
        <v>20</v>
      </c>
      <c r="D336" s="1" t="s">
        <v>35</v>
      </c>
      <c r="E336" s="1" t="s">
        <v>22</v>
      </c>
      <c r="F336" s="1" t="s">
        <v>23</v>
      </c>
      <c r="G336" s="1" t="s">
        <v>12</v>
      </c>
      <c r="H336" s="12" t="s">
        <v>631</v>
      </c>
      <c r="I336" s="1" t="s">
        <v>24</v>
      </c>
      <c r="J336" s="1" t="s">
        <v>25</v>
      </c>
      <c r="K336" s="1" t="s">
        <v>25</v>
      </c>
      <c r="L336" s="1" t="s">
        <v>26</v>
      </c>
      <c r="M336" s="1" t="s">
        <v>25</v>
      </c>
      <c r="N336" s="1" t="s">
        <v>25</v>
      </c>
      <c r="O336" s="1" t="s">
        <v>25</v>
      </c>
      <c r="P336" s="1" t="s">
        <v>25</v>
      </c>
      <c r="Q336" s="1" t="s">
        <v>25</v>
      </c>
      <c r="R336" s="70" t="str">
        <f t="shared" si="33"/>
        <v>5945904</v>
      </c>
      <c r="S336" t="str">
        <f>VLOOKUP(A336,Data_NV!$A:$C,3,0)</f>
        <v>Nguyễn Thanh Phương</v>
      </c>
      <c r="T336" t="str">
        <f>VLOOKUP(A336,Data_NV!$A:$E,4,0)</f>
        <v>Vận Hành</v>
      </c>
      <c r="U336" s="67">
        <f>DATEVALUE(Table2[[#This Row],[Ngày]])</f>
        <v>45904</v>
      </c>
      <c r="V336" t="str">
        <f>VLOOKUP(A336,Data_NV!$A:$E,5,0)</f>
        <v>Đang làm việc</v>
      </c>
      <c r="W336" s="11">
        <f>VLOOKUP(A336,Data_NV!$A:$I,8,0)</f>
        <v>0.3125</v>
      </c>
      <c r="X336" s="11">
        <f>VLOOKUP(A336,Data_NV!$A:$I,9,0)</f>
        <v>0.6875</v>
      </c>
      <c r="Y336" s="11">
        <f>IFERROR(TIMEVALUE(Table2[[#This Row],[Vào]]),0)</f>
        <v>0.30751157407407409</v>
      </c>
      <c r="Z336" s="11">
        <f>IFERROR(TIMEVALUE(Table2[[#This Row],[Ra]]),0)</f>
        <v>0</v>
      </c>
      <c r="AA336" t="str">
        <f t="shared" si="36"/>
        <v>x</v>
      </c>
      <c r="AB336" s="14">
        <f t="shared" si="34"/>
        <v>0</v>
      </c>
      <c r="AC336" s="14" t="str">
        <f>IF(VLOOKUP(A336,Data_NV!$A:$I,7,0)="Không","",IF(OR(AND(Y336=0,Z336=0),AND(Y336&lt;&gt;0,Z336&lt;&gt;0)),"","Quên chấm công"))</f>
        <v/>
      </c>
      <c r="AD336" s="14">
        <f>IF(VLOOKUP(A336,Data_NV!$A:$I,7,0)="Không",0,IF(AND(Y336=0,Z336=0),0,IF(X336&lt;=Z336,0,ROUNDDOWN((X336-Z336)*24*60,0))))</f>
        <v>0</v>
      </c>
      <c r="AE336" s="14">
        <f>IF(VLOOKUP(A336,Data_NV!$A:$I,6,0)="Không",0,IF(Z336&lt;=X336,0,ROUNDDOWN((Z336-X336)*24*60,0)))</f>
        <v>0</v>
      </c>
      <c r="AF336" s="29">
        <f t="shared" si="35"/>
        <v>0</v>
      </c>
      <c r="AG336" s="30" t="str">
        <f>IF(AC336="","",IF(COUNTIFS($AC$3:AC336,"Quên chấm công",$S$3:S336,S336)&gt;3,"Không chấm công do vi phạm quá 3 lần",IF(COUNTIFS($AC$3:AC336,"Quên chấm công",$S$3:S336,S336)&gt;2,"Trừ toàn bộ chuyên cần tháng do vi phạm lần 3",IF(COUNTIFS($AC$3:AC336,"Quên chấm công",$S$3:S336,S336)&gt;1,"Trừ 1/2 ngày lương",50000))))</f>
        <v/>
      </c>
      <c r="AH336" s="14" t="str">
        <f>IF(COUNTIFS($AF$3:AF336,"&gt;0",$S$3:S336,S336)&gt;3,"Trừ toàn bộ chuyên cần tháng","")</f>
        <v/>
      </c>
      <c r="AI336" s="14"/>
      <c r="AJ336" s="14"/>
    </row>
    <row r="337" spans="1:36" x14ac:dyDescent="0.25">
      <c r="A337" s="4" t="s">
        <v>628</v>
      </c>
      <c r="B337" s="1" t="s">
        <v>629</v>
      </c>
      <c r="C337" s="1" t="s">
        <v>20</v>
      </c>
      <c r="D337" s="1" t="s">
        <v>37</v>
      </c>
      <c r="E337" s="1" t="s">
        <v>22</v>
      </c>
      <c r="F337" s="1" t="s">
        <v>23</v>
      </c>
      <c r="G337" s="1" t="s">
        <v>12</v>
      </c>
      <c r="H337" s="12" t="s">
        <v>632</v>
      </c>
      <c r="I337" s="1" t="s">
        <v>24</v>
      </c>
      <c r="J337" s="1" t="s">
        <v>25</v>
      </c>
      <c r="K337" s="1" t="s">
        <v>25</v>
      </c>
      <c r="L337" s="1" t="s">
        <v>26</v>
      </c>
      <c r="M337" s="1" t="s">
        <v>25</v>
      </c>
      <c r="N337" s="1" t="s">
        <v>25</v>
      </c>
      <c r="O337" s="1" t="s">
        <v>25</v>
      </c>
      <c r="P337" s="1" t="s">
        <v>25</v>
      </c>
      <c r="Q337" s="1" t="s">
        <v>25</v>
      </c>
      <c r="R337" s="70" t="str">
        <f t="shared" si="33"/>
        <v>5945905</v>
      </c>
      <c r="S337" t="str">
        <f>VLOOKUP(A337,Data_NV!$A:$C,3,0)</f>
        <v>Nguyễn Thanh Phương</v>
      </c>
      <c r="T337" t="str">
        <f>VLOOKUP(A337,Data_NV!$A:$E,4,0)</f>
        <v>Vận Hành</v>
      </c>
      <c r="U337" s="67">
        <f>DATEVALUE(Table2[[#This Row],[Ngày]])</f>
        <v>45905</v>
      </c>
      <c r="V337" t="str">
        <f>VLOOKUP(A337,Data_NV!$A:$E,5,0)</f>
        <v>Đang làm việc</v>
      </c>
      <c r="W337" s="11">
        <f>VLOOKUP(A337,Data_NV!$A:$I,8,0)</f>
        <v>0.3125</v>
      </c>
      <c r="X337" s="11">
        <f>VLOOKUP(A337,Data_NV!$A:$I,9,0)</f>
        <v>0.6875</v>
      </c>
      <c r="Y337" s="11">
        <f>IFERROR(TIMEVALUE(Table2[[#This Row],[Vào]]),0)</f>
        <v>0.30905092592592592</v>
      </c>
      <c r="Z337" s="11">
        <f>IFERROR(TIMEVALUE(Table2[[#This Row],[Ra]]),0)</f>
        <v>0</v>
      </c>
      <c r="AA337" t="str">
        <f t="shared" si="36"/>
        <v>x</v>
      </c>
      <c r="AB337" s="14">
        <f t="shared" si="34"/>
        <v>0</v>
      </c>
      <c r="AC337" s="14" t="str">
        <f>IF(VLOOKUP(A337,Data_NV!$A:$I,7,0)="Không","",IF(OR(AND(Y337=0,Z337=0),AND(Y337&lt;&gt;0,Z337&lt;&gt;0)),"","Quên chấm công"))</f>
        <v/>
      </c>
      <c r="AD337" s="14">
        <f>IF(VLOOKUP(A337,Data_NV!$A:$I,7,0)="Không",0,IF(AND(Y337=0,Z337=0),0,IF(X337&lt;=Z337,0,ROUNDDOWN((X337-Z337)*24*60,0))))</f>
        <v>0</v>
      </c>
      <c r="AE337" s="14">
        <f>IF(VLOOKUP(A337,Data_NV!$A:$I,6,0)="Không",0,IF(Z337&lt;=X337,0,ROUNDDOWN((Z337-X337)*24*60,0)))</f>
        <v>0</v>
      </c>
      <c r="AF337" s="29">
        <f t="shared" si="35"/>
        <v>0</v>
      </c>
      <c r="AG337" s="30" t="str">
        <f>IF(AC337="","",IF(COUNTIFS($AC$3:AC337,"Quên chấm công",$S$3:S337,S337)&gt;3,"Không chấm công do vi phạm quá 3 lần",IF(COUNTIFS($AC$3:AC337,"Quên chấm công",$S$3:S337,S337)&gt;2,"Trừ toàn bộ chuyên cần tháng do vi phạm lần 3",IF(COUNTIFS($AC$3:AC337,"Quên chấm công",$S$3:S337,S337)&gt;1,"Trừ 1/2 ngày lương",50000))))</f>
        <v/>
      </c>
      <c r="AH337" s="14" t="str">
        <f>IF(COUNTIFS($AF$3:AF337,"&gt;0",$S$3:S337,S337)&gt;3,"Trừ toàn bộ chuyên cần tháng","")</f>
        <v/>
      </c>
      <c r="AI337" s="14"/>
      <c r="AJ337" s="14"/>
    </row>
    <row r="338" spans="1:36" x14ac:dyDescent="0.25">
      <c r="A338" s="4" t="s">
        <v>628</v>
      </c>
      <c r="B338" s="1" t="s">
        <v>629</v>
      </c>
      <c r="C338" s="1" t="s">
        <v>20</v>
      </c>
      <c r="D338" s="1" t="s">
        <v>42</v>
      </c>
      <c r="E338" s="1" t="s">
        <v>22</v>
      </c>
      <c r="F338" s="1" t="s">
        <v>23</v>
      </c>
      <c r="G338" s="1" t="s">
        <v>12</v>
      </c>
      <c r="H338" s="12" t="s">
        <v>633</v>
      </c>
      <c r="I338" s="1" t="s">
        <v>24</v>
      </c>
      <c r="J338" s="1" t="s">
        <v>25</v>
      </c>
      <c r="K338" s="1" t="s">
        <v>25</v>
      </c>
      <c r="L338" s="1" t="s">
        <v>26</v>
      </c>
      <c r="M338" s="1" t="s">
        <v>25</v>
      </c>
      <c r="N338" s="1" t="s">
        <v>25</v>
      </c>
      <c r="O338" s="1" t="s">
        <v>25</v>
      </c>
      <c r="P338" s="1" t="s">
        <v>25</v>
      </c>
      <c r="Q338" s="1" t="s">
        <v>25</v>
      </c>
      <c r="R338" s="70" t="str">
        <f t="shared" si="33"/>
        <v>5945906</v>
      </c>
      <c r="S338" t="str">
        <f>VLOOKUP(A338,Data_NV!$A:$C,3,0)</f>
        <v>Nguyễn Thanh Phương</v>
      </c>
      <c r="T338" t="str">
        <f>VLOOKUP(A338,Data_NV!$A:$E,4,0)</f>
        <v>Vận Hành</v>
      </c>
      <c r="U338" s="67">
        <f>DATEVALUE(Table2[[#This Row],[Ngày]])</f>
        <v>45906</v>
      </c>
      <c r="V338" t="str">
        <f>VLOOKUP(A338,Data_NV!$A:$E,5,0)</f>
        <v>Đang làm việc</v>
      </c>
      <c r="W338" s="11">
        <f>VLOOKUP(A338,Data_NV!$A:$I,8,0)</f>
        <v>0.3125</v>
      </c>
      <c r="X338" s="11">
        <f>VLOOKUP(A338,Data_NV!$A:$I,9,0)</f>
        <v>0.6875</v>
      </c>
      <c r="Y338" s="11">
        <f>IFERROR(TIMEVALUE(Table2[[#This Row],[Vào]]),0)</f>
        <v>0.30862268518518521</v>
      </c>
      <c r="Z338" s="11">
        <f>IFERROR(TIMEVALUE(Table2[[#This Row],[Ra]]),0)</f>
        <v>0</v>
      </c>
      <c r="AA338" t="str">
        <f t="shared" si="36"/>
        <v>x</v>
      </c>
      <c r="AB338" s="14">
        <f t="shared" si="34"/>
        <v>0</v>
      </c>
      <c r="AC338" s="14" t="str">
        <f>IF(VLOOKUP(A338,Data_NV!$A:$I,7,0)="Không","",IF(OR(AND(Y338=0,Z338=0),AND(Y338&lt;&gt;0,Z338&lt;&gt;0)),"","Quên chấm công"))</f>
        <v/>
      </c>
      <c r="AD338" s="14">
        <f>IF(VLOOKUP(A338,Data_NV!$A:$I,7,0)="Không",0,IF(AND(Y338=0,Z338=0),0,IF(X338&lt;=Z338,0,ROUNDDOWN((X338-Z338)*24*60,0))))</f>
        <v>0</v>
      </c>
      <c r="AE338" s="14">
        <f>IF(VLOOKUP(A338,Data_NV!$A:$I,6,0)="Không",0,IF(Z338&lt;=X338,0,ROUNDDOWN((Z338-X338)*24*60,0)))</f>
        <v>0</v>
      </c>
      <c r="AF338" s="29">
        <f t="shared" si="35"/>
        <v>0</v>
      </c>
      <c r="AG338" s="30" t="str">
        <f>IF(AC338="","",IF(COUNTIFS($AC$3:AC338,"Quên chấm công",$S$3:S338,S338)&gt;3,"Không chấm công do vi phạm quá 3 lần",IF(COUNTIFS($AC$3:AC338,"Quên chấm công",$S$3:S338,S338)&gt;2,"Trừ toàn bộ chuyên cần tháng do vi phạm lần 3",IF(COUNTIFS($AC$3:AC338,"Quên chấm công",$S$3:S338,S338)&gt;1,"Trừ 1/2 ngày lương",50000))))</f>
        <v/>
      </c>
      <c r="AH338" s="14" t="str">
        <f>IF(COUNTIFS($AF$3:AF338,"&gt;0",$S$3:S338,S338)&gt;3,"Trừ toàn bộ chuyên cần tháng","")</f>
        <v/>
      </c>
      <c r="AI338" s="14"/>
      <c r="AJ338" s="14"/>
    </row>
    <row r="339" spans="1:36" x14ac:dyDescent="0.25">
      <c r="A339" s="4" t="s">
        <v>628</v>
      </c>
      <c r="B339" s="1" t="s">
        <v>629</v>
      </c>
      <c r="C339" s="1" t="s">
        <v>20</v>
      </c>
      <c r="D339" s="1" t="s">
        <v>47</v>
      </c>
      <c r="E339" s="1" t="s">
        <v>22</v>
      </c>
      <c r="F339" s="1" t="s">
        <v>23</v>
      </c>
      <c r="G339" s="1" t="s">
        <v>12</v>
      </c>
      <c r="H339" s="12" t="s">
        <v>24</v>
      </c>
      <c r="I339" s="1" t="s">
        <v>24</v>
      </c>
      <c r="J339" s="1" t="s">
        <v>25</v>
      </c>
      <c r="K339" s="1" t="s">
        <v>25</v>
      </c>
      <c r="L339" s="1" t="s">
        <v>26</v>
      </c>
      <c r="M339" s="1" t="s">
        <v>25</v>
      </c>
      <c r="N339" s="1" t="s">
        <v>25</v>
      </c>
      <c r="O339" s="1" t="s">
        <v>25</v>
      </c>
      <c r="P339" s="1" t="s">
        <v>25</v>
      </c>
      <c r="Q339" s="1" t="s">
        <v>25</v>
      </c>
      <c r="R339" s="70" t="str">
        <f t="shared" si="33"/>
        <v>5945907</v>
      </c>
      <c r="S339" t="str">
        <f>VLOOKUP(A339,Data_NV!$A:$C,3,0)</f>
        <v>Nguyễn Thanh Phương</v>
      </c>
      <c r="T339" t="str">
        <f>VLOOKUP(A339,Data_NV!$A:$E,4,0)</f>
        <v>Vận Hành</v>
      </c>
      <c r="U339" s="67">
        <f>DATEVALUE(Table2[[#This Row],[Ngày]])</f>
        <v>45907</v>
      </c>
      <c r="V339" t="str">
        <f>VLOOKUP(A339,Data_NV!$A:$E,5,0)</f>
        <v>Đang làm việc</v>
      </c>
      <c r="W339" s="11">
        <f>VLOOKUP(A339,Data_NV!$A:$I,8,0)</f>
        <v>0.3125</v>
      </c>
      <c r="X339" s="11">
        <f>VLOOKUP(A339,Data_NV!$A:$I,9,0)</f>
        <v>0.6875</v>
      </c>
      <c r="Y339" s="11">
        <f>IFERROR(TIMEVALUE(Table2[[#This Row],[Vào]]),0)</f>
        <v>0</v>
      </c>
      <c r="Z339" s="11">
        <f>IFERROR(TIMEVALUE(Table2[[#This Row],[Ra]]),0)</f>
        <v>0</v>
      </c>
      <c r="AA339" t="str">
        <f t="shared" si="36"/>
        <v/>
      </c>
      <c r="AB339" s="14">
        <f t="shared" si="34"/>
        <v>0</v>
      </c>
      <c r="AC339" s="14" t="str">
        <f>IF(VLOOKUP(A339,Data_NV!$A:$I,7,0)="Không","",IF(OR(AND(Y339=0,Z339=0),AND(Y339&lt;&gt;0,Z339&lt;&gt;0)),"","Quên chấm công"))</f>
        <v/>
      </c>
      <c r="AD339" s="14">
        <f>IF(VLOOKUP(A339,Data_NV!$A:$I,7,0)="Không",0,IF(AND(Y339=0,Z339=0),0,IF(X339&lt;=Z339,0,ROUNDDOWN((X339-Z339)*24*60,0))))</f>
        <v>0</v>
      </c>
      <c r="AE339" s="14">
        <f>IF(VLOOKUP(A339,Data_NV!$A:$I,6,0)="Không",0,IF(Z339&lt;=X339,0,ROUNDDOWN((Z339-X339)*24*60,0)))</f>
        <v>0</v>
      </c>
      <c r="AF339" s="29">
        <f t="shared" si="35"/>
        <v>0</v>
      </c>
      <c r="AG339" s="30" t="str">
        <f>IF(AC339="","",IF(COUNTIFS($AC$3:AC339,"Quên chấm công",$S$3:S339,S339)&gt;3,"Không chấm công do vi phạm quá 3 lần",IF(COUNTIFS($AC$3:AC339,"Quên chấm công",$S$3:S339,S339)&gt;2,"Trừ toàn bộ chuyên cần tháng do vi phạm lần 3",IF(COUNTIFS($AC$3:AC339,"Quên chấm công",$S$3:S339,S339)&gt;1,"Trừ 1/2 ngày lương",50000))))</f>
        <v/>
      </c>
      <c r="AH339" s="14" t="str">
        <f>IF(COUNTIFS($AF$3:AF339,"&gt;0",$S$3:S339,S339)&gt;3,"Trừ toàn bộ chuyên cần tháng","")</f>
        <v/>
      </c>
      <c r="AI339" s="14"/>
      <c r="AJ339" s="14"/>
    </row>
    <row r="340" spans="1:36" x14ac:dyDescent="0.25">
      <c r="A340" s="4" t="s">
        <v>628</v>
      </c>
      <c r="B340" s="1" t="s">
        <v>629</v>
      </c>
      <c r="C340" s="1" t="s">
        <v>20</v>
      </c>
      <c r="D340" s="1" t="s">
        <v>48</v>
      </c>
      <c r="E340" s="1" t="s">
        <v>22</v>
      </c>
      <c r="F340" s="1" t="s">
        <v>23</v>
      </c>
      <c r="G340" s="1" t="s">
        <v>12</v>
      </c>
      <c r="H340" s="12" t="s">
        <v>634</v>
      </c>
      <c r="I340" s="1" t="s">
        <v>24</v>
      </c>
      <c r="J340" s="1" t="s">
        <v>25</v>
      </c>
      <c r="K340" s="1" t="s">
        <v>25</v>
      </c>
      <c r="L340" s="1" t="s">
        <v>26</v>
      </c>
      <c r="M340" s="1" t="s">
        <v>25</v>
      </c>
      <c r="N340" s="1" t="s">
        <v>25</v>
      </c>
      <c r="O340" s="1" t="s">
        <v>25</v>
      </c>
      <c r="P340" s="1" t="s">
        <v>25</v>
      </c>
      <c r="Q340" s="1" t="s">
        <v>25</v>
      </c>
      <c r="R340" s="70" t="str">
        <f t="shared" si="33"/>
        <v>5945908</v>
      </c>
      <c r="S340" t="str">
        <f>VLOOKUP(A340,Data_NV!$A:$C,3,0)</f>
        <v>Nguyễn Thanh Phương</v>
      </c>
      <c r="T340" t="str">
        <f>VLOOKUP(A340,Data_NV!$A:$E,4,0)</f>
        <v>Vận Hành</v>
      </c>
      <c r="U340" s="67">
        <f>DATEVALUE(Table2[[#This Row],[Ngày]])</f>
        <v>45908</v>
      </c>
      <c r="V340" t="str">
        <f>VLOOKUP(A340,Data_NV!$A:$E,5,0)</f>
        <v>Đang làm việc</v>
      </c>
      <c r="W340" s="11">
        <f>VLOOKUP(A340,Data_NV!$A:$I,8,0)</f>
        <v>0.3125</v>
      </c>
      <c r="X340" s="11">
        <f>VLOOKUP(A340,Data_NV!$A:$I,9,0)</f>
        <v>0.6875</v>
      </c>
      <c r="Y340" s="11">
        <f>IFERROR(TIMEVALUE(Table2[[#This Row],[Vào]]),0)</f>
        <v>0.30972222222222223</v>
      </c>
      <c r="Z340" s="11">
        <f>IFERROR(TIMEVALUE(Table2[[#This Row],[Ra]]),0)</f>
        <v>0</v>
      </c>
      <c r="AA340" t="str">
        <f t="shared" si="36"/>
        <v>x</v>
      </c>
      <c r="AB340" s="14">
        <f t="shared" si="34"/>
        <v>0</v>
      </c>
      <c r="AC340" s="14" t="str">
        <f>IF(VLOOKUP(A340,Data_NV!$A:$I,7,0)="Không","",IF(OR(AND(Y340=0,Z340=0),AND(Y340&lt;&gt;0,Z340&lt;&gt;0)),"","Quên chấm công"))</f>
        <v/>
      </c>
      <c r="AD340" s="14">
        <f>IF(VLOOKUP(A340,Data_NV!$A:$I,7,0)="Không",0,IF(AND(Y340=0,Z340=0),0,IF(X340&lt;=Z340,0,ROUNDDOWN((X340-Z340)*24*60,0))))</f>
        <v>0</v>
      </c>
      <c r="AE340" s="14">
        <f>IF(VLOOKUP(A340,Data_NV!$A:$I,6,0)="Không",0,IF(Z340&lt;=X340,0,ROUNDDOWN((Z340-X340)*24*60,0)))</f>
        <v>0</v>
      </c>
      <c r="AF340" s="29">
        <f t="shared" si="35"/>
        <v>0</v>
      </c>
      <c r="AG340" s="30" t="str">
        <f>IF(AC340="","",IF(COUNTIFS($AC$3:AC340,"Quên chấm công",$S$3:S340,S340)&gt;3,"Không chấm công do vi phạm quá 3 lần",IF(COUNTIFS($AC$3:AC340,"Quên chấm công",$S$3:S340,S340)&gt;2,"Trừ toàn bộ chuyên cần tháng do vi phạm lần 3",IF(COUNTIFS($AC$3:AC340,"Quên chấm công",$S$3:S340,S340)&gt;1,"Trừ 1/2 ngày lương",50000))))</f>
        <v/>
      </c>
      <c r="AH340" s="14" t="str">
        <f>IF(COUNTIFS($AF$3:AF340,"&gt;0",$S$3:S340,S340)&gt;3,"Trừ toàn bộ chuyên cần tháng","")</f>
        <v/>
      </c>
      <c r="AI340" s="14"/>
      <c r="AJ340" s="14"/>
    </row>
    <row r="341" spans="1:36" x14ac:dyDescent="0.25">
      <c r="A341" s="4" t="s">
        <v>628</v>
      </c>
      <c r="B341" s="1" t="s">
        <v>629</v>
      </c>
      <c r="C341" s="1" t="s">
        <v>20</v>
      </c>
      <c r="D341" s="1" t="s">
        <v>53</v>
      </c>
      <c r="E341" s="1" t="s">
        <v>22</v>
      </c>
      <c r="F341" s="1" t="s">
        <v>23</v>
      </c>
      <c r="G341" s="1" t="s">
        <v>12</v>
      </c>
      <c r="H341" s="12" t="s">
        <v>635</v>
      </c>
      <c r="I341" s="1" t="s">
        <v>24</v>
      </c>
      <c r="J341" s="1" t="s">
        <v>25</v>
      </c>
      <c r="K341" s="1" t="s">
        <v>25</v>
      </c>
      <c r="L341" s="1" t="s">
        <v>26</v>
      </c>
      <c r="M341" s="1" t="s">
        <v>25</v>
      </c>
      <c r="N341" s="1" t="s">
        <v>25</v>
      </c>
      <c r="O341" s="1" t="s">
        <v>25</v>
      </c>
      <c r="P341" s="1" t="s">
        <v>25</v>
      </c>
      <c r="Q341" s="1" t="s">
        <v>25</v>
      </c>
      <c r="R341" s="70" t="str">
        <f t="shared" si="33"/>
        <v>5945909</v>
      </c>
      <c r="S341" t="str">
        <f>VLOOKUP(A341,Data_NV!$A:$C,3,0)</f>
        <v>Nguyễn Thanh Phương</v>
      </c>
      <c r="T341" t="str">
        <f>VLOOKUP(A341,Data_NV!$A:$E,4,0)</f>
        <v>Vận Hành</v>
      </c>
      <c r="U341" s="67">
        <f>DATEVALUE(Table2[[#This Row],[Ngày]])</f>
        <v>45909</v>
      </c>
      <c r="V341" t="str">
        <f>VLOOKUP(A341,Data_NV!$A:$E,5,0)</f>
        <v>Đang làm việc</v>
      </c>
      <c r="W341" s="11">
        <f>VLOOKUP(A341,Data_NV!$A:$I,8,0)</f>
        <v>0.3125</v>
      </c>
      <c r="X341" s="11">
        <f>VLOOKUP(A341,Data_NV!$A:$I,9,0)</f>
        <v>0.6875</v>
      </c>
      <c r="Y341" s="11">
        <f>IFERROR(TIMEVALUE(Table2[[#This Row],[Vào]]),0)</f>
        <v>0.30631944444444442</v>
      </c>
      <c r="Z341" s="11">
        <f>IFERROR(TIMEVALUE(Table2[[#This Row],[Ra]]),0)</f>
        <v>0</v>
      </c>
      <c r="AA341" t="str">
        <f t="shared" si="36"/>
        <v>x</v>
      </c>
      <c r="AB341" s="14">
        <f t="shared" si="34"/>
        <v>0</v>
      </c>
      <c r="AC341" s="14" t="str">
        <f>IF(VLOOKUP(A341,Data_NV!$A:$I,7,0)="Không","",IF(OR(AND(Y341=0,Z341=0),AND(Y341&lt;&gt;0,Z341&lt;&gt;0)),"","Quên chấm công"))</f>
        <v/>
      </c>
      <c r="AD341" s="14">
        <f>IF(VLOOKUP(A341,Data_NV!$A:$I,7,0)="Không",0,IF(AND(Y341=0,Z341=0),0,IF(X341&lt;=Z341,0,ROUNDDOWN((X341-Z341)*24*60,0))))</f>
        <v>0</v>
      </c>
      <c r="AE341" s="14">
        <f>IF(VLOOKUP(A341,Data_NV!$A:$I,6,0)="Không",0,IF(Z341&lt;=X341,0,ROUNDDOWN((Z341-X341)*24*60,0)))</f>
        <v>0</v>
      </c>
      <c r="AF341" s="29">
        <f t="shared" si="35"/>
        <v>0</v>
      </c>
      <c r="AG341" s="30" t="str">
        <f>IF(AC341="","",IF(COUNTIFS($AC$3:AC341,"Quên chấm công",$S$3:S341,S341)&gt;3,"Không chấm công do vi phạm quá 3 lần",IF(COUNTIFS($AC$3:AC341,"Quên chấm công",$S$3:S341,S341)&gt;2,"Trừ toàn bộ chuyên cần tháng do vi phạm lần 3",IF(COUNTIFS($AC$3:AC341,"Quên chấm công",$S$3:S341,S341)&gt;1,"Trừ 1/2 ngày lương",50000))))</f>
        <v/>
      </c>
      <c r="AH341" s="14" t="str">
        <f>IF(COUNTIFS($AF$3:AF341,"&gt;0",$S$3:S341,S341)&gt;3,"Trừ toàn bộ chuyên cần tháng","")</f>
        <v/>
      </c>
      <c r="AI341" s="14"/>
      <c r="AJ341" s="14"/>
    </row>
    <row r="342" spans="1:36" x14ac:dyDescent="0.25">
      <c r="A342" s="4" t="s">
        <v>628</v>
      </c>
      <c r="B342" s="1" t="s">
        <v>629</v>
      </c>
      <c r="C342" s="1" t="s">
        <v>20</v>
      </c>
      <c r="D342" s="1" t="s">
        <v>58</v>
      </c>
      <c r="E342" s="1" t="s">
        <v>22</v>
      </c>
      <c r="F342" s="1" t="s">
        <v>23</v>
      </c>
      <c r="G342" s="1" t="s">
        <v>12</v>
      </c>
      <c r="H342" s="12" t="s">
        <v>636</v>
      </c>
      <c r="I342" s="1" t="s">
        <v>24</v>
      </c>
      <c r="J342" s="1" t="s">
        <v>25</v>
      </c>
      <c r="K342" s="1" t="s">
        <v>25</v>
      </c>
      <c r="L342" s="1" t="s">
        <v>26</v>
      </c>
      <c r="M342" s="1" t="s">
        <v>25</v>
      </c>
      <c r="N342" s="1" t="s">
        <v>25</v>
      </c>
      <c r="O342" s="1" t="s">
        <v>25</v>
      </c>
      <c r="P342" s="1" t="s">
        <v>25</v>
      </c>
      <c r="Q342" s="1" t="s">
        <v>25</v>
      </c>
      <c r="R342" s="70" t="str">
        <f t="shared" si="33"/>
        <v>5945910</v>
      </c>
      <c r="S342" t="str">
        <f>VLOOKUP(A342,Data_NV!$A:$C,3,0)</f>
        <v>Nguyễn Thanh Phương</v>
      </c>
      <c r="T342" t="str">
        <f>VLOOKUP(A342,Data_NV!$A:$E,4,0)</f>
        <v>Vận Hành</v>
      </c>
      <c r="U342" s="67">
        <f>DATEVALUE(Table2[[#This Row],[Ngày]])</f>
        <v>45910</v>
      </c>
      <c r="V342" t="str">
        <f>VLOOKUP(A342,Data_NV!$A:$E,5,0)</f>
        <v>Đang làm việc</v>
      </c>
      <c r="W342" s="11">
        <f>VLOOKUP(A342,Data_NV!$A:$I,8,0)</f>
        <v>0.3125</v>
      </c>
      <c r="X342" s="11">
        <f>VLOOKUP(A342,Data_NV!$A:$I,9,0)</f>
        <v>0.6875</v>
      </c>
      <c r="Y342" s="11">
        <f>IFERROR(TIMEVALUE(Table2[[#This Row],[Vào]]),0)</f>
        <v>0.30371527777777779</v>
      </c>
      <c r="Z342" s="11">
        <f>IFERROR(TIMEVALUE(Table2[[#This Row],[Ra]]),0)</f>
        <v>0</v>
      </c>
      <c r="AA342" t="str">
        <f t="shared" si="36"/>
        <v>x</v>
      </c>
      <c r="AB342" s="14">
        <f t="shared" si="34"/>
        <v>0</v>
      </c>
      <c r="AC342" s="14" t="str">
        <f>IF(VLOOKUP(A342,Data_NV!$A:$I,7,0)="Không","",IF(OR(AND(Y342=0,Z342=0),AND(Y342&lt;&gt;0,Z342&lt;&gt;0)),"","Quên chấm công"))</f>
        <v/>
      </c>
      <c r="AD342" s="14">
        <f>IF(VLOOKUP(A342,Data_NV!$A:$I,7,0)="Không",0,IF(AND(Y342=0,Z342=0),0,IF(X342&lt;=Z342,0,ROUNDDOWN((X342-Z342)*24*60,0))))</f>
        <v>0</v>
      </c>
      <c r="AE342" s="14">
        <f>IF(VLOOKUP(A342,Data_NV!$A:$I,6,0)="Không",0,IF(Z342&lt;=X342,0,ROUNDDOWN((Z342-X342)*24*60,0)))</f>
        <v>0</v>
      </c>
      <c r="AF342" s="29">
        <f t="shared" si="35"/>
        <v>0</v>
      </c>
      <c r="AG342" s="30" t="str">
        <f>IF(AC342="","",IF(COUNTIFS($AC$3:AC342,"Quên chấm công",$S$3:S342,S342)&gt;3,"Không chấm công do vi phạm quá 3 lần",IF(COUNTIFS($AC$3:AC342,"Quên chấm công",$S$3:S342,S342)&gt;2,"Trừ toàn bộ chuyên cần tháng do vi phạm lần 3",IF(COUNTIFS($AC$3:AC342,"Quên chấm công",$S$3:S342,S342)&gt;1,"Trừ 1/2 ngày lương",50000))))</f>
        <v/>
      </c>
      <c r="AH342" s="14" t="str">
        <f>IF(COUNTIFS($AF$3:AF342,"&gt;0",$S$3:S342,S342)&gt;3,"Trừ toàn bộ chuyên cần tháng","")</f>
        <v/>
      </c>
      <c r="AI342" s="14"/>
      <c r="AJ342" s="14"/>
    </row>
    <row r="343" spans="1:36" x14ac:dyDescent="0.25">
      <c r="A343" s="4" t="s">
        <v>628</v>
      </c>
      <c r="B343" s="1" t="s">
        <v>629</v>
      </c>
      <c r="C343" s="1" t="s">
        <v>20</v>
      </c>
      <c r="D343" s="1" t="s">
        <v>63</v>
      </c>
      <c r="E343" s="1" t="s">
        <v>22</v>
      </c>
      <c r="F343" s="1" t="s">
        <v>23</v>
      </c>
      <c r="G343" s="1" t="s">
        <v>12</v>
      </c>
      <c r="H343" s="12" t="s">
        <v>24</v>
      </c>
      <c r="I343" s="1" t="s">
        <v>24</v>
      </c>
      <c r="J343" s="1" t="s">
        <v>25</v>
      </c>
      <c r="K343" s="1" t="s">
        <v>25</v>
      </c>
      <c r="L343" s="1" t="s">
        <v>26</v>
      </c>
      <c r="M343" s="1" t="s">
        <v>25</v>
      </c>
      <c r="N343" s="1" t="s">
        <v>25</v>
      </c>
      <c r="O343" s="1" t="s">
        <v>25</v>
      </c>
      <c r="P343" s="1" t="s">
        <v>25</v>
      </c>
      <c r="Q343" s="1" t="s">
        <v>25</v>
      </c>
      <c r="R343" s="70" t="str">
        <f t="shared" si="33"/>
        <v>5945911</v>
      </c>
      <c r="S343" t="str">
        <f>VLOOKUP(A343,Data_NV!$A:$C,3,0)</f>
        <v>Nguyễn Thanh Phương</v>
      </c>
      <c r="T343" t="str">
        <f>VLOOKUP(A343,Data_NV!$A:$E,4,0)</f>
        <v>Vận Hành</v>
      </c>
      <c r="U343" s="67">
        <f>DATEVALUE(Table2[[#This Row],[Ngày]])</f>
        <v>45911</v>
      </c>
      <c r="V343" t="str">
        <f>VLOOKUP(A343,Data_NV!$A:$E,5,0)</f>
        <v>Đang làm việc</v>
      </c>
      <c r="W343" s="11">
        <f>VLOOKUP(A343,Data_NV!$A:$I,8,0)</f>
        <v>0.3125</v>
      </c>
      <c r="X343" s="11">
        <f>VLOOKUP(A343,Data_NV!$A:$I,9,0)</f>
        <v>0.6875</v>
      </c>
      <c r="Y343" s="11">
        <f>IFERROR(TIMEVALUE(Table2[[#This Row],[Vào]]),0)</f>
        <v>0</v>
      </c>
      <c r="Z343" s="11">
        <f>IFERROR(TIMEVALUE(Table2[[#This Row],[Ra]]),0)</f>
        <v>0</v>
      </c>
      <c r="AA343" t="str">
        <f t="shared" si="36"/>
        <v/>
      </c>
      <c r="AB343" s="14">
        <f t="shared" si="34"/>
        <v>0</v>
      </c>
      <c r="AC343" s="14" t="str">
        <f>IF(VLOOKUP(A343,Data_NV!$A:$I,7,0)="Không","",IF(OR(AND(Y343=0,Z343=0),AND(Y343&lt;&gt;0,Z343&lt;&gt;0)),"","Quên chấm công"))</f>
        <v/>
      </c>
      <c r="AD343" s="14">
        <f>IF(VLOOKUP(A343,Data_NV!$A:$I,7,0)="Không",0,IF(AND(Y343=0,Z343=0),0,IF(X343&lt;=Z343,0,ROUNDDOWN((X343-Z343)*24*60,0))))</f>
        <v>0</v>
      </c>
      <c r="AE343" s="14">
        <f>IF(VLOOKUP(A343,Data_NV!$A:$I,6,0)="Không",0,IF(Z343&lt;=X343,0,ROUNDDOWN((Z343-X343)*24*60,0)))</f>
        <v>0</v>
      </c>
      <c r="AF343" s="29">
        <f t="shared" si="35"/>
        <v>0</v>
      </c>
      <c r="AG343" s="30" t="str">
        <f>IF(AC343="","",IF(COUNTIFS($AC$3:AC343,"Quên chấm công",$S$3:S343,S343)&gt;3,"Không chấm công do vi phạm quá 3 lần",IF(COUNTIFS($AC$3:AC343,"Quên chấm công",$S$3:S343,S343)&gt;2,"Trừ toàn bộ chuyên cần tháng do vi phạm lần 3",IF(COUNTIFS($AC$3:AC343,"Quên chấm công",$S$3:S343,S343)&gt;1,"Trừ 1/2 ngày lương",50000))))</f>
        <v/>
      </c>
      <c r="AH343" s="14" t="str">
        <f>IF(COUNTIFS($AF$3:AF343,"&gt;0",$S$3:S343,S343)&gt;3,"Trừ toàn bộ chuyên cần tháng","")</f>
        <v/>
      </c>
      <c r="AI343" s="14"/>
      <c r="AJ343" s="14"/>
    </row>
    <row r="344" spans="1:36" x14ac:dyDescent="0.25">
      <c r="A344" s="4" t="s">
        <v>628</v>
      </c>
      <c r="B344" s="1" t="s">
        <v>629</v>
      </c>
      <c r="C344" s="1" t="s">
        <v>20</v>
      </c>
      <c r="D344" s="1" t="s">
        <v>67</v>
      </c>
      <c r="E344" s="1" t="s">
        <v>22</v>
      </c>
      <c r="F344" s="1" t="s">
        <v>23</v>
      </c>
      <c r="G344" s="1" t="s">
        <v>12</v>
      </c>
      <c r="H344" s="12" t="s">
        <v>637</v>
      </c>
      <c r="I344" s="1" t="s">
        <v>24</v>
      </c>
      <c r="J344" s="1" t="s">
        <v>25</v>
      </c>
      <c r="K344" s="1" t="s">
        <v>25</v>
      </c>
      <c r="L344" s="1" t="s">
        <v>26</v>
      </c>
      <c r="M344" s="1" t="s">
        <v>25</v>
      </c>
      <c r="N344" s="1" t="s">
        <v>25</v>
      </c>
      <c r="O344" s="1" t="s">
        <v>25</v>
      </c>
      <c r="P344" s="1" t="s">
        <v>25</v>
      </c>
      <c r="Q344" s="1" t="s">
        <v>25</v>
      </c>
      <c r="R344" s="70" t="str">
        <f t="shared" si="33"/>
        <v>5945912</v>
      </c>
      <c r="S344" t="str">
        <f>VLOOKUP(A344,Data_NV!$A:$C,3,0)</f>
        <v>Nguyễn Thanh Phương</v>
      </c>
      <c r="T344" t="str">
        <f>VLOOKUP(A344,Data_NV!$A:$E,4,0)</f>
        <v>Vận Hành</v>
      </c>
      <c r="U344" s="67">
        <f>DATEVALUE(Table2[[#This Row],[Ngày]])</f>
        <v>45912</v>
      </c>
      <c r="V344" t="str">
        <f>VLOOKUP(A344,Data_NV!$A:$E,5,0)</f>
        <v>Đang làm việc</v>
      </c>
      <c r="W344" s="11">
        <f>VLOOKUP(A344,Data_NV!$A:$I,8,0)</f>
        <v>0.3125</v>
      </c>
      <c r="X344" s="11">
        <f>VLOOKUP(A344,Data_NV!$A:$I,9,0)</f>
        <v>0.6875</v>
      </c>
      <c r="Y344" s="11">
        <f>IFERROR(TIMEVALUE(Table2[[#This Row],[Vào]]),0)</f>
        <v>0.30834490740740739</v>
      </c>
      <c r="Z344" s="11">
        <f>IFERROR(TIMEVALUE(Table2[[#This Row],[Ra]]),0)</f>
        <v>0</v>
      </c>
      <c r="AA344" t="str">
        <f t="shared" si="36"/>
        <v>x</v>
      </c>
      <c r="AB344" s="14">
        <f t="shared" si="34"/>
        <v>0</v>
      </c>
      <c r="AC344" s="14" t="str">
        <f>IF(VLOOKUP(A344,Data_NV!$A:$I,7,0)="Không","",IF(OR(AND(Y344=0,Z344=0),AND(Y344&lt;&gt;0,Z344&lt;&gt;0)),"","Quên chấm công"))</f>
        <v/>
      </c>
      <c r="AD344" s="14">
        <f>IF(VLOOKUP(A344,Data_NV!$A:$I,7,0)="Không",0,IF(AND(Y344=0,Z344=0),0,IF(X344&lt;=Z344,0,ROUNDDOWN((X344-Z344)*24*60,0))))</f>
        <v>0</v>
      </c>
      <c r="AE344" s="14">
        <f>IF(VLOOKUP(A344,Data_NV!$A:$I,6,0)="Không",0,IF(Z344&lt;=X344,0,ROUNDDOWN((Z344-X344)*24*60,0)))</f>
        <v>0</v>
      </c>
      <c r="AF344" s="29">
        <f t="shared" si="35"/>
        <v>0</v>
      </c>
      <c r="AG344" s="30" t="str">
        <f>IF(AC344="","",IF(COUNTIFS($AC$3:AC344,"Quên chấm công",$S$3:S344,S344)&gt;3,"Không chấm công do vi phạm quá 3 lần",IF(COUNTIFS($AC$3:AC344,"Quên chấm công",$S$3:S344,S344)&gt;2,"Trừ toàn bộ chuyên cần tháng do vi phạm lần 3",IF(COUNTIFS($AC$3:AC344,"Quên chấm công",$S$3:S344,S344)&gt;1,"Trừ 1/2 ngày lương",50000))))</f>
        <v/>
      </c>
      <c r="AH344" s="14" t="str">
        <f>IF(COUNTIFS($AF$3:AF344,"&gt;0",$S$3:S344,S344)&gt;3,"Trừ toàn bộ chuyên cần tháng","")</f>
        <v/>
      </c>
      <c r="AI344" s="14"/>
      <c r="AJ344" s="14"/>
    </row>
    <row r="345" spans="1:36" x14ac:dyDescent="0.25">
      <c r="A345" s="4" t="s">
        <v>628</v>
      </c>
      <c r="B345" s="1" t="s">
        <v>629</v>
      </c>
      <c r="C345" s="1" t="s">
        <v>20</v>
      </c>
      <c r="D345" s="1" t="s">
        <v>69</v>
      </c>
      <c r="E345" s="1" t="s">
        <v>22</v>
      </c>
      <c r="F345" s="1" t="s">
        <v>23</v>
      </c>
      <c r="G345" s="1" t="s">
        <v>12</v>
      </c>
      <c r="H345" s="12" t="s">
        <v>638</v>
      </c>
      <c r="I345" s="1" t="s">
        <v>24</v>
      </c>
      <c r="J345" s="1" t="s">
        <v>25</v>
      </c>
      <c r="K345" s="1" t="s">
        <v>25</v>
      </c>
      <c r="L345" s="1" t="s">
        <v>26</v>
      </c>
      <c r="M345" s="1" t="s">
        <v>25</v>
      </c>
      <c r="N345" s="1" t="s">
        <v>25</v>
      </c>
      <c r="O345" s="1" t="s">
        <v>25</v>
      </c>
      <c r="P345" s="1" t="s">
        <v>25</v>
      </c>
      <c r="Q345" s="1" t="s">
        <v>25</v>
      </c>
      <c r="R345" s="70" t="str">
        <f t="shared" si="33"/>
        <v>5945913</v>
      </c>
      <c r="S345" t="str">
        <f>VLOOKUP(A345,Data_NV!$A:$C,3,0)</f>
        <v>Nguyễn Thanh Phương</v>
      </c>
      <c r="T345" t="str">
        <f>VLOOKUP(A345,Data_NV!$A:$E,4,0)</f>
        <v>Vận Hành</v>
      </c>
      <c r="U345" s="67">
        <f>DATEVALUE(Table2[[#This Row],[Ngày]])</f>
        <v>45913</v>
      </c>
      <c r="V345" t="str">
        <f>VLOOKUP(A345,Data_NV!$A:$E,5,0)</f>
        <v>Đang làm việc</v>
      </c>
      <c r="W345" s="11">
        <f>VLOOKUP(A345,Data_NV!$A:$I,8,0)</f>
        <v>0.3125</v>
      </c>
      <c r="X345" s="11">
        <f>VLOOKUP(A345,Data_NV!$A:$I,9,0)</f>
        <v>0.6875</v>
      </c>
      <c r="Y345" s="11">
        <f>IFERROR(TIMEVALUE(Table2[[#This Row],[Vào]]),0)</f>
        <v>0.30921296296296297</v>
      </c>
      <c r="Z345" s="11">
        <f>IFERROR(TIMEVALUE(Table2[[#This Row],[Ra]]),0)</f>
        <v>0</v>
      </c>
      <c r="AA345" t="str">
        <f t="shared" si="36"/>
        <v>x</v>
      </c>
      <c r="AB345" s="14">
        <f t="shared" si="34"/>
        <v>0</v>
      </c>
      <c r="AC345" s="14" t="str">
        <f>IF(VLOOKUP(A345,Data_NV!$A:$I,7,0)="Không","",IF(OR(AND(Y345=0,Z345=0),AND(Y345&lt;&gt;0,Z345&lt;&gt;0)),"","Quên chấm công"))</f>
        <v/>
      </c>
      <c r="AD345" s="14">
        <f>IF(VLOOKUP(A345,Data_NV!$A:$I,7,0)="Không",0,IF(AND(Y345=0,Z345=0),0,IF(X345&lt;=Z345,0,ROUNDDOWN((X345-Z345)*24*60,0))))</f>
        <v>0</v>
      </c>
      <c r="AE345" s="14">
        <f>IF(VLOOKUP(A345,Data_NV!$A:$I,6,0)="Không",0,IF(Z345&lt;=X345,0,ROUNDDOWN((Z345-X345)*24*60,0)))</f>
        <v>0</v>
      </c>
      <c r="AF345" s="29">
        <f t="shared" si="35"/>
        <v>0</v>
      </c>
      <c r="AG345" s="30" t="str">
        <f>IF(AC345="","",IF(COUNTIFS($AC$3:AC345,"Quên chấm công",$S$3:S345,S345)&gt;3,"Không chấm công do vi phạm quá 3 lần",IF(COUNTIFS($AC$3:AC345,"Quên chấm công",$S$3:S345,S345)&gt;2,"Trừ toàn bộ chuyên cần tháng do vi phạm lần 3",IF(COUNTIFS($AC$3:AC345,"Quên chấm công",$S$3:S345,S345)&gt;1,"Trừ 1/2 ngày lương",50000))))</f>
        <v/>
      </c>
      <c r="AH345" s="14" t="str">
        <f>IF(COUNTIFS($AF$3:AF345,"&gt;0",$S$3:S345,S345)&gt;3,"Trừ toàn bộ chuyên cần tháng","")</f>
        <v/>
      </c>
      <c r="AI345" s="14"/>
      <c r="AJ345" s="14"/>
    </row>
    <row r="346" spans="1:36" x14ac:dyDescent="0.25">
      <c r="A346" s="4" t="s">
        <v>628</v>
      </c>
      <c r="B346" s="1" t="s">
        <v>629</v>
      </c>
      <c r="C346" s="1" t="s">
        <v>20</v>
      </c>
      <c r="D346" s="1" t="s">
        <v>74</v>
      </c>
      <c r="E346" s="1" t="s">
        <v>22</v>
      </c>
      <c r="F346" s="1" t="s">
        <v>23</v>
      </c>
      <c r="G346" s="1" t="s">
        <v>12</v>
      </c>
      <c r="H346" s="12" t="s">
        <v>24</v>
      </c>
      <c r="I346" s="1" t="s">
        <v>24</v>
      </c>
      <c r="J346" s="1" t="s">
        <v>25</v>
      </c>
      <c r="K346" s="1" t="s">
        <v>25</v>
      </c>
      <c r="L346" s="1" t="s">
        <v>26</v>
      </c>
      <c r="M346" s="1" t="s">
        <v>25</v>
      </c>
      <c r="N346" s="1" t="s">
        <v>25</v>
      </c>
      <c r="O346" s="1" t="s">
        <v>25</v>
      </c>
      <c r="P346" s="1" t="s">
        <v>25</v>
      </c>
      <c r="Q346" s="1" t="s">
        <v>25</v>
      </c>
      <c r="R346" s="70" t="str">
        <f t="shared" si="33"/>
        <v>5945914</v>
      </c>
      <c r="S346" t="str">
        <f>VLOOKUP(A346,Data_NV!$A:$C,3,0)</f>
        <v>Nguyễn Thanh Phương</v>
      </c>
      <c r="T346" t="str">
        <f>VLOOKUP(A346,Data_NV!$A:$E,4,0)</f>
        <v>Vận Hành</v>
      </c>
      <c r="U346" s="67">
        <f>DATEVALUE(Table2[[#This Row],[Ngày]])</f>
        <v>45914</v>
      </c>
      <c r="V346" t="str">
        <f>VLOOKUP(A346,Data_NV!$A:$E,5,0)</f>
        <v>Đang làm việc</v>
      </c>
      <c r="W346" s="11">
        <f>VLOOKUP(A346,Data_NV!$A:$I,8,0)</f>
        <v>0.3125</v>
      </c>
      <c r="X346" s="11">
        <f>VLOOKUP(A346,Data_NV!$A:$I,9,0)</f>
        <v>0.6875</v>
      </c>
      <c r="Y346" s="11">
        <f>IFERROR(TIMEVALUE(Table2[[#This Row],[Vào]]),0)</f>
        <v>0</v>
      </c>
      <c r="Z346" s="11">
        <f>IFERROR(TIMEVALUE(Table2[[#This Row],[Ra]]),0)</f>
        <v>0</v>
      </c>
      <c r="AA346" t="str">
        <f t="shared" si="36"/>
        <v/>
      </c>
      <c r="AB346" s="14">
        <f t="shared" si="34"/>
        <v>0</v>
      </c>
      <c r="AC346" s="14" t="str">
        <f>IF(VLOOKUP(A346,Data_NV!$A:$I,7,0)="Không","",IF(OR(AND(Y346=0,Z346=0),AND(Y346&lt;&gt;0,Z346&lt;&gt;0)),"","Quên chấm công"))</f>
        <v/>
      </c>
      <c r="AD346" s="14">
        <f>IF(VLOOKUP(A346,Data_NV!$A:$I,7,0)="Không",0,IF(AND(Y346=0,Z346=0),0,IF(X346&lt;=Z346,0,ROUNDDOWN((X346-Z346)*24*60,0))))</f>
        <v>0</v>
      </c>
      <c r="AE346" s="14">
        <f>IF(VLOOKUP(A346,Data_NV!$A:$I,6,0)="Không",0,IF(Z346&lt;=X346,0,ROUNDDOWN((Z346-X346)*24*60,0)))</f>
        <v>0</v>
      </c>
      <c r="AF346" s="29">
        <f t="shared" si="35"/>
        <v>0</v>
      </c>
      <c r="AG346" s="30" t="str">
        <f>IF(AC346="","",IF(COUNTIFS($AC$3:AC346,"Quên chấm công",$S$3:S346,S346)&gt;3,"Không chấm công do vi phạm quá 3 lần",IF(COUNTIFS($AC$3:AC346,"Quên chấm công",$S$3:S346,S346)&gt;2,"Trừ toàn bộ chuyên cần tháng do vi phạm lần 3",IF(COUNTIFS($AC$3:AC346,"Quên chấm công",$S$3:S346,S346)&gt;1,"Trừ 1/2 ngày lương",50000))))</f>
        <v/>
      </c>
      <c r="AH346" s="14" t="str">
        <f>IF(COUNTIFS($AF$3:AF346,"&gt;0",$S$3:S346,S346)&gt;3,"Trừ toàn bộ chuyên cần tháng","")</f>
        <v/>
      </c>
      <c r="AI346" s="14"/>
      <c r="AJ346" s="14"/>
    </row>
    <row r="347" spans="1:36" x14ac:dyDescent="0.25">
      <c r="A347" s="4" t="s">
        <v>628</v>
      </c>
      <c r="B347" s="1" t="s">
        <v>629</v>
      </c>
      <c r="C347" s="1" t="s">
        <v>20</v>
      </c>
      <c r="D347" s="1" t="s">
        <v>75</v>
      </c>
      <c r="E347" s="1" t="s">
        <v>22</v>
      </c>
      <c r="F347" s="1" t="s">
        <v>23</v>
      </c>
      <c r="G347" s="1" t="s">
        <v>12</v>
      </c>
      <c r="H347" s="12" t="s">
        <v>639</v>
      </c>
      <c r="I347" s="1" t="s">
        <v>24</v>
      </c>
      <c r="J347" s="1" t="s">
        <v>25</v>
      </c>
      <c r="K347" s="1" t="s">
        <v>25</v>
      </c>
      <c r="L347" s="1" t="s">
        <v>26</v>
      </c>
      <c r="M347" s="1" t="s">
        <v>25</v>
      </c>
      <c r="N347" s="1" t="s">
        <v>25</v>
      </c>
      <c r="O347" s="1" t="s">
        <v>25</v>
      </c>
      <c r="P347" s="1" t="s">
        <v>25</v>
      </c>
      <c r="Q347" s="1" t="s">
        <v>25</v>
      </c>
      <c r="R347" s="70" t="str">
        <f t="shared" si="33"/>
        <v>5945915</v>
      </c>
      <c r="S347" t="str">
        <f>VLOOKUP(A347,Data_NV!$A:$C,3,0)</f>
        <v>Nguyễn Thanh Phương</v>
      </c>
      <c r="T347" t="str">
        <f>VLOOKUP(A347,Data_NV!$A:$E,4,0)</f>
        <v>Vận Hành</v>
      </c>
      <c r="U347" s="67">
        <f>DATEVALUE(Table2[[#This Row],[Ngày]])</f>
        <v>45915</v>
      </c>
      <c r="V347" t="str">
        <f>VLOOKUP(A347,Data_NV!$A:$E,5,0)</f>
        <v>Đang làm việc</v>
      </c>
      <c r="W347" s="11">
        <f>VLOOKUP(A347,Data_NV!$A:$I,8,0)</f>
        <v>0.3125</v>
      </c>
      <c r="X347" s="11">
        <f>VLOOKUP(A347,Data_NV!$A:$I,9,0)</f>
        <v>0.6875</v>
      </c>
      <c r="Y347" s="11">
        <f>IFERROR(TIMEVALUE(Table2[[#This Row],[Vào]]),0)</f>
        <v>0.30623842592592593</v>
      </c>
      <c r="Z347" s="11">
        <f>IFERROR(TIMEVALUE(Table2[[#This Row],[Ra]]),0)</f>
        <v>0</v>
      </c>
      <c r="AA347" t="str">
        <f t="shared" si="36"/>
        <v>x</v>
      </c>
      <c r="AB347" s="14">
        <f t="shared" si="34"/>
        <v>0</v>
      </c>
      <c r="AC347" s="14" t="str">
        <f>IF(VLOOKUP(A347,Data_NV!$A:$I,7,0)="Không","",IF(OR(AND(Y347=0,Z347=0),AND(Y347&lt;&gt;0,Z347&lt;&gt;0)),"","Quên chấm công"))</f>
        <v/>
      </c>
      <c r="AD347" s="14">
        <f>IF(VLOOKUP(A347,Data_NV!$A:$I,7,0)="Không",0,IF(AND(Y347=0,Z347=0),0,IF(X347&lt;=Z347,0,ROUNDDOWN((X347-Z347)*24*60,0))))</f>
        <v>0</v>
      </c>
      <c r="AE347" s="14">
        <f>IF(VLOOKUP(A347,Data_NV!$A:$I,6,0)="Không",0,IF(Z347&lt;=X347,0,ROUNDDOWN((Z347-X347)*24*60,0)))</f>
        <v>0</v>
      </c>
      <c r="AF347" s="29">
        <f t="shared" si="35"/>
        <v>0</v>
      </c>
      <c r="AG347" s="30" t="str">
        <f>IF(AC347="","",IF(COUNTIFS($AC$3:AC347,"Quên chấm công",$S$3:S347,S347)&gt;3,"Không chấm công do vi phạm quá 3 lần",IF(COUNTIFS($AC$3:AC347,"Quên chấm công",$S$3:S347,S347)&gt;2,"Trừ toàn bộ chuyên cần tháng do vi phạm lần 3",IF(COUNTIFS($AC$3:AC347,"Quên chấm công",$S$3:S347,S347)&gt;1,"Trừ 1/2 ngày lương",50000))))</f>
        <v/>
      </c>
      <c r="AH347" s="14" t="str">
        <f>IF(COUNTIFS($AF$3:AF347,"&gt;0",$S$3:S347,S347)&gt;3,"Trừ toàn bộ chuyên cần tháng","")</f>
        <v/>
      </c>
      <c r="AI347" s="14"/>
      <c r="AJ347" s="14"/>
    </row>
    <row r="348" spans="1:36" x14ac:dyDescent="0.25">
      <c r="A348" s="4" t="s">
        <v>628</v>
      </c>
      <c r="B348" s="1" t="s">
        <v>629</v>
      </c>
      <c r="C348" s="1" t="s">
        <v>20</v>
      </c>
      <c r="D348" s="1" t="s">
        <v>80</v>
      </c>
      <c r="E348" s="1" t="s">
        <v>22</v>
      </c>
      <c r="F348" s="1" t="s">
        <v>23</v>
      </c>
      <c r="G348" s="1" t="s">
        <v>12</v>
      </c>
      <c r="H348" s="12" t="s">
        <v>640</v>
      </c>
      <c r="I348" s="1" t="s">
        <v>24</v>
      </c>
      <c r="J348" s="1" t="s">
        <v>25</v>
      </c>
      <c r="K348" s="1" t="s">
        <v>25</v>
      </c>
      <c r="L348" s="1" t="s">
        <v>26</v>
      </c>
      <c r="M348" s="1" t="s">
        <v>25</v>
      </c>
      <c r="N348" s="1" t="s">
        <v>25</v>
      </c>
      <c r="O348" s="1" t="s">
        <v>25</v>
      </c>
      <c r="P348" s="1" t="s">
        <v>25</v>
      </c>
      <c r="Q348" s="1" t="s">
        <v>25</v>
      </c>
      <c r="R348" s="70" t="str">
        <f t="shared" si="33"/>
        <v>5945916</v>
      </c>
      <c r="S348" t="str">
        <f>VLOOKUP(A348,Data_NV!$A:$C,3,0)</f>
        <v>Nguyễn Thanh Phương</v>
      </c>
      <c r="T348" t="str">
        <f>VLOOKUP(A348,Data_NV!$A:$E,4,0)</f>
        <v>Vận Hành</v>
      </c>
      <c r="U348" s="67">
        <f>DATEVALUE(Table2[[#This Row],[Ngày]])</f>
        <v>45916</v>
      </c>
      <c r="V348" t="str">
        <f>VLOOKUP(A348,Data_NV!$A:$E,5,0)</f>
        <v>Đang làm việc</v>
      </c>
      <c r="W348" s="11">
        <f>VLOOKUP(A348,Data_NV!$A:$I,8,0)</f>
        <v>0.3125</v>
      </c>
      <c r="X348" s="11">
        <f>VLOOKUP(A348,Data_NV!$A:$I,9,0)</f>
        <v>0.6875</v>
      </c>
      <c r="Y348" s="11">
        <f>IFERROR(TIMEVALUE(Table2[[#This Row],[Vào]]),0)</f>
        <v>0.30579861111111112</v>
      </c>
      <c r="Z348" s="11">
        <f>IFERROR(TIMEVALUE(Table2[[#This Row],[Ra]]),0)</f>
        <v>0</v>
      </c>
      <c r="AA348" t="str">
        <f t="shared" si="36"/>
        <v>x</v>
      </c>
      <c r="AB348" s="14">
        <f t="shared" si="34"/>
        <v>0</v>
      </c>
      <c r="AC348" s="14" t="str">
        <f>IF(VLOOKUP(A348,Data_NV!$A:$I,7,0)="Không","",IF(OR(AND(Y348=0,Z348=0),AND(Y348&lt;&gt;0,Z348&lt;&gt;0)),"","Quên chấm công"))</f>
        <v/>
      </c>
      <c r="AD348" s="14">
        <f>IF(VLOOKUP(A348,Data_NV!$A:$I,7,0)="Không",0,IF(AND(Y348=0,Z348=0),0,IF(X348&lt;=Z348,0,ROUNDDOWN((X348-Z348)*24*60,0))))</f>
        <v>0</v>
      </c>
      <c r="AE348" s="14">
        <f>IF(VLOOKUP(A348,Data_NV!$A:$I,6,0)="Không",0,IF(Z348&lt;=X348,0,ROUNDDOWN((Z348-X348)*24*60,0)))</f>
        <v>0</v>
      </c>
      <c r="AF348" s="29">
        <f t="shared" si="35"/>
        <v>0</v>
      </c>
      <c r="AG348" s="30" t="str">
        <f>IF(AC348="","",IF(COUNTIFS($AC$3:AC348,"Quên chấm công",$S$3:S348,S348)&gt;3,"Không chấm công do vi phạm quá 3 lần",IF(COUNTIFS($AC$3:AC348,"Quên chấm công",$S$3:S348,S348)&gt;2,"Trừ toàn bộ chuyên cần tháng do vi phạm lần 3",IF(COUNTIFS($AC$3:AC348,"Quên chấm công",$S$3:S348,S348)&gt;1,"Trừ 1/2 ngày lương",50000))))</f>
        <v/>
      </c>
      <c r="AH348" s="14" t="str">
        <f>IF(COUNTIFS($AF$3:AF348,"&gt;0",$S$3:S348,S348)&gt;3,"Trừ toàn bộ chuyên cần tháng","")</f>
        <v/>
      </c>
      <c r="AI348" s="14"/>
      <c r="AJ348" s="14"/>
    </row>
    <row r="349" spans="1:36" x14ac:dyDescent="0.25">
      <c r="A349" s="4" t="s">
        <v>628</v>
      </c>
      <c r="B349" s="1" t="s">
        <v>629</v>
      </c>
      <c r="C349" s="1" t="s">
        <v>20</v>
      </c>
      <c r="D349" s="1" t="s">
        <v>85</v>
      </c>
      <c r="E349" s="1" t="s">
        <v>22</v>
      </c>
      <c r="F349" s="1" t="s">
        <v>23</v>
      </c>
      <c r="G349" s="1" t="s">
        <v>12</v>
      </c>
      <c r="H349" s="12" t="s">
        <v>641</v>
      </c>
      <c r="I349" s="1" t="s">
        <v>24</v>
      </c>
      <c r="J349" s="1" t="s">
        <v>25</v>
      </c>
      <c r="K349" s="1" t="s">
        <v>25</v>
      </c>
      <c r="L349" s="1" t="s">
        <v>26</v>
      </c>
      <c r="M349" s="1" t="s">
        <v>25</v>
      </c>
      <c r="N349" s="1" t="s">
        <v>25</v>
      </c>
      <c r="O349" s="1" t="s">
        <v>25</v>
      </c>
      <c r="P349" s="1" t="s">
        <v>25</v>
      </c>
      <c r="Q349" s="1" t="s">
        <v>25</v>
      </c>
      <c r="R349" s="70" t="str">
        <f t="shared" si="33"/>
        <v>5945917</v>
      </c>
      <c r="S349" t="str">
        <f>VLOOKUP(A349,Data_NV!$A:$C,3,0)</f>
        <v>Nguyễn Thanh Phương</v>
      </c>
      <c r="T349" t="str">
        <f>VLOOKUP(A349,Data_NV!$A:$E,4,0)</f>
        <v>Vận Hành</v>
      </c>
      <c r="U349" s="67">
        <f>DATEVALUE(Table2[[#This Row],[Ngày]])</f>
        <v>45917</v>
      </c>
      <c r="V349" t="str">
        <f>VLOOKUP(A349,Data_NV!$A:$E,5,0)</f>
        <v>Đang làm việc</v>
      </c>
      <c r="W349" s="11">
        <f>VLOOKUP(A349,Data_NV!$A:$I,8,0)</f>
        <v>0.3125</v>
      </c>
      <c r="X349" s="11">
        <f>VLOOKUP(A349,Data_NV!$A:$I,9,0)</f>
        <v>0.6875</v>
      </c>
      <c r="Y349" s="11">
        <f>IFERROR(TIMEVALUE(Table2[[#This Row],[Vào]]),0)</f>
        <v>0.30674768518518519</v>
      </c>
      <c r="Z349" s="11">
        <f>IFERROR(TIMEVALUE(Table2[[#This Row],[Ra]]),0)</f>
        <v>0</v>
      </c>
      <c r="AA349" t="str">
        <f t="shared" si="36"/>
        <v>x</v>
      </c>
      <c r="AB349" s="14">
        <f t="shared" si="34"/>
        <v>0</v>
      </c>
      <c r="AC349" s="14" t="str">
        <f>IF(VLOOKUP(A349,Data_NV!$A:$I,7,0)="Không","",IF(OR(AND(Y349=0,Z349=0),AND(Y349&lt;&gt;0,Z349&lt;&gt;0)),"","Quên chấm công"))</f>
        <v/>
      </c>
      <c r="AD349" s="14">
        <f>IF(VLOOKUP(A349,Data_NV!$A:$I,7,0)="Không",0,IF(AND(Y349=0,Z349=0),0,IF(X349&lt;=Z349,0,ROUNDDOWN((X349-Z349)*24*60,0))))</f>
        <v>0</v>
      </c>
      <c r="AE349" s="14">
        <f>IF(VLOOKUP(A349,Data_NV!$A:$I,6,0)="Không",0,IF(Z349&lt;=X349,0,ROUNDDOWN((Z349-X349)*24*60,0)))</f>
        <v>0</v>
      </c>
      <c r="AF349" s="29">
        <f t="shared" si="35"/>
        <v>0</v>
      </c>
      <c r="AG349" s="30" t="str">
        <f>IF(AC349="","",IF(COUNTIFS($AC$3:AC349,"Quên chấm công",$S$3:S349,S349)&gt;3,"Không chấm công do vi phạm quá 3 lần",IF(COUNTIFS($AC$3:AC349,"Quên chấm công",$S$3:S349,S349)&gt;2,"Trừ toàn bộ chuyên cần tháng do vi phạm lần 3",IF(COUNTIFS($AC$3:AC349,"Quên chấm công",$S$3:S349,S349)&gt;1,"Trừ 1/2 ngày lương",50000))))</f>
        <v/>
      </c>
      <c r="AH349" s="14" t="str">
        <f>IF(COUNTIFS($AF$3:AF349,"&gt;0",$S$3:S349,S349)&gt;3,"Trừ toàn bộ chuyên cần tháng","")</f>
        <v/>
      </c>
      <c r="AI349" s="14"/>
      <c r="AJ349" s="14"/>
    </row>
    <row r="350" spans="1:36" x14ac:dyDescent="0.25">
      <c r="A350" s="4" t="s">
        <v>628</v>
      </c>
      <c r="B350" s="1" t="s">
        <v>629</v>
      </c>
      <c r="C350" s="1" t="s">
        <v>20</v>
      </c>
      <c r="D350" s="1" t="s">
        <v>90</v>
      </c>
      <c r="E350" s="1" t="s">
        <v>22</v>
      </c>
      <c r="F350" s="1" t="s">
        <v>23</v>
      </c>
      <c r="G350" s="1" t="s">
        <v>12</v>
      </c>
      <c r="H350" s="12" t="s">
        <v>642</v>
      </c>
      <c r="I350" s="1" t="s">
        <v>24</v>
      </c>
      <c r="J350" s="1" t="s">
        <v>25</v>
      </c>
      <c r="K350" s="1" t="s">
        <v>25</v>
      </c>
      <c r="L350" s="1" t="s">
        <v>26</v>
      </c>
      <c r="M350" s="1" t="s">
        <v>25</v>
      </c>
      <c r="N350" s="1" t="s">
        <v>25</v>
      </c>
      <c r="O350" s="1" t="s">
        <v>25</v>
      </c>
      <c r="P350" s="1" t="s">
        <v>25</v>
      </c>
      <c r="Q350" s="1" t="s">
        <v>25</v>
      </c>
      <c r="R350" s="70" t="str">
        <f t="shared" si="33"/>
        <v>5945918</v>
      </c>
      <c r="S350" t="str">
        <f>VLOOKUP(A350,Data_NV!$A:$C,3,0)</f>
        <v>Nguyễn Thanh Phương</v>
      </c>
      <c r="T350" t="str">
        <f>VLOOKUP(A350,Data_NV!$A:$E,4,0)</f>
        <v>Vận Hành</v>
      </c>
      <c r="U350" s="67">
        <f>DATEVALUE(Table2[[#This Row],[Ngày]])</f>
        <v>45918</v>
      </c>
      <c r="V350" t="str">
        <f>VLOOKUP(A350,Data_NV!$A:$E,5,0)</f>
        <v>Đang làm việc</v>
      </c>
      <c r="W350" s="11">
        <f>VLOOKUP(A350,Data_NV!$A:$I,8,0)</f>
        <v>0.3125</v>
      </c>
      <c r="X350" s="11">
        <f>VLOOKUP(A350,Data_NV!$A:$I,9,0)</f>
        <v>0.6875</v>
      </c>
      <c r="Y350" s="11">
        <f>IFERROR(TIMEVALUE(Table2[[#This Row],[Vào]]),0)</f>
        <v>0.30502314814814813</v>
      </c>
      <c r="Z350" s="11">
        <f>IFERROR(TIMEVALUE(Table2[[#This Row],[Ra]]),0)</f>
        <v>0</v>
      </c>
      <c r="AA350" t="str">
        <f t="shared" si="36"/>
        <v>x</v>
      </c>
      <c r="AB350" s="14">
        <f t="shared" si="34"/>
        <v>0</v>
      </c>
      <c r="AC350" s="14" t="str">
        <f>IF(VLOOKUP(A350,Data_NV!$A:$I,7,0)="Không","",IF(OR(AND(Y350=0,Z350=0),AND(Y350&lt;&gt;0,Z350&lt;&gt;0)),"","Quên chấm công"))</f>
        <v/>
      </c>
      <c r="AD350" s="14">
        <f>IF(VLOOKUP(A350,Data_NV!$A:$I,7,0)="Không",0,IF(AND(Y350=0,Z350=0),0,IF(X350&lt;=Z350,0,ROUNDDOWN((X350-Z350)*24*60,0))))</f>
        <v>0</v>
      </c>
      <c r="AE350" s="14">
        <f>IF(VLOOKUP(A350,Data_NV!$A:$I,6,0)="Không",0,IF(Z350&lt;=X350,0,ROUNDDOWN((Z350-X350)*24*60,0)))</f>
        <v>0</v>
      </c>
      <c r="AF350" s="29">
        <f t="shared" si="35"/>
        <v>0</v>
      </c>
      <c r="AG350" s="30" t="str">
        <f>IF(AC350="","",IF(COUNTIFS($AC$3:AC350,"Quên chấm công",$S$3:S350,S350)&gt;3,"Không chấm công do vi phạm quá 3 lần",IF(COUNTIFS($AC$3:AC350,"Quên chấm công",$S$3:S350,S350)&gt;2,"Trừ toàn bộ chuyên cần tháng do vi phạm lần 3",IF(COUNTIFS($AC$3:AC350,"Quên chấm công",$S$3:S350,S350)&gt;1,"Trừ 1/2 ngày lương",50000))))</f>
        <v/>
      </c>
      <c r="AH350" s="14" t="str">
        <f>IF(COUNTIFS($AF$3:AF350,"&gt;0",$S$3:S350,S350)&gt;3,"Trừ toàn bộ chuyên cần tháng","")</f>
        <v/>
      </c>
      <c r="AI350" s="14"/>
      <c r="AJ350" s="14"/>
    </row>
    <row r="351" spans="1:36" x14ac:dyDescent="0.25">
      <c r="A351" s="4" t="s">
        <v>628</v>
      </c>
      <c r="B351" s="1" t="s">
        <v>629</v>
      </c>
      <c r="C351" s="1" t="s">
        <v>20</v>
      </c>
      <c r="D351" s="1" t="s">
        <v>95</v>
      </c>
      <c r="E351" s="1" t="s">
        <v>22</v>
      </c>
      <c r="F351" s="1" t="s">
        <v>23</v>
      </c>
      <c r="G351" s="1" t="s">
        <v>12</v>
      </c>
      <c r="H351" s="12" t="s">
        <v>643</v>
      </c>
      <c r="I351" s="1" t="s">
        <v>24</v>
      </c>
      <c r="J351" s="1" t="s">
        <v>25</v>
      </c>
      <c r="K351" s="1" t="s">
        <v>25</v>
      </c>
      <c r="L351" s="1" t="s">
        <v>26</v>
      </c>
      <c r="M351" s="1" t="s">
        <v>25</v>
      </c>
      <c r="N351" s="1" t="s">
        <v>25</v>
      </c>
      <c r="O351" s="1" t="s">
        <v>25</v>
      </c>
      <c r="P351" s="1" t="s">
        <v>25</v>
      </c>
      <c r="Q351" s="1" t="s">
        <v>25</v>
      </c>
      <c r="R351" s="70" t="str">
        <f t="shared" si="33"/>
        <v>5945919</v>
      </c>
      <c r="S351" t="str">
        <f>VLOOKUP(A351,Data_NV!$A:$C,3,0)</f>
        <v>Nguyễn Thanh Phương</v>
      </c>
      <c r="T351" t="str">
        <f>VLOOKUP(A351,Data_NV!$A:$E,4,0)</f>
        <v>Vận Hành</v>
      </c>
      <c r="U351" s="67">
        <f>DATEVALUE(Table2[[#This Row],[Ngày]])</f>
        <v>45919</v>
      </c>
      <c r="V351" t="str">
        <f>VLOOKUP(A351,Data_NV!$A:$E,5,0)</f>
        <v>Đang làm việc</v>
      </c>
      <c r="W351" s="11">
        <f>VLOOKUP(A351,Data_NV!$A:$I,8,0)</f>
        <v>0.3125</v>
      </c>
      <c r="X351" s="11">
        <f>VLOOKUP(A351,Data_NV!$A:$I,9,0)</f>
        <v>0.6875</v>
      </c>
      <c r="Y351" s="11">
        <f>IFERROR(TIMEVALUE(Table2[[#This Row],[Vào]]),0)</f>
        <v>0.30038194444444444</v>
      </c>
      <c r="Z351" s="11">
        <f>IFERROR(TIMEVALUE(Table2[[#This Row],[Ra]]),0)</f>
        <v>0</v>
      </c>
      <c r="AA351" t="str">
        <f t="shared" si="36"/>
        <v>x</v>
      </c>
      <c r="AB351" s="14">
        <f t="shared" si="34"/>
        <v>0</v>
      </c>
      <c r="AC351" s="14" t="str">
        <f>IF(VLOOKUP(A351,Data_NV!$A:$I,7,0)="Không","",IF(OR(AND(Y351=0,Z351=0),AND(Y351&lt;&gt;0,Z351&lt;&gt;0)),"","Quên chấm công"))</f>
        <v/>
      </c>
      <c r="AD351" s="14">
        <f>IF(VLOOKUP(A351,Data_NV!$A:$I,7,0)="Không",0,IF(AND(Y351=0,Z351=0),0,IF(X351&lt;=Z351,0,ROUNDDOWN((X351-Z351)*24*60,0))))</f>
        <v>0</v>
      </c>
      <c r="AE351" s="14">
        <f>IF(VLOOKUP(A351,Data_NV!$A:$I,6,0)="Không",0,IF(Z351&lt;=X351,0,ROUNDDOWN((Z351-X351)*24*60,0)))</f>
        <v>0</v>
      </c>
      <c r="AF351" s="29">
        <f t="shared" si="35"/>
        <v>0</v>
      </c>
      <c r="AG351" s="30" t="str">
        <f>IF(AC351="","",IF(COUNTIFS($AC$3:AC351,"Quên chấm công",$S$3:S351,S351)&gt;3,"Không chấm công do vi phạm quá 3 lần",IF(COUNTIFS($AC$3:AC351,"Quên chấm công",$S$3:S351,S351)&gt;2,"Trừ toàn bộ chuyên cần tháng do vi phạm lần 3",IF(COUNTIFS($AC$3:AC351,"Quên chấm công",$S$3:S351,S351)&gt;1,"Trừ 1/2 ngày lương",50000))))</f>
        <v/>
      </c>
      <c r="AH351" s="14" t="str">
        <f>IF(COUNTIFS($AF$3:AF351,"&gt;0",$S$3:S351,S351)&gt;3,"Trừ toàn bộ chuyên cần tháng","")</f>
        <v/>
      </c>
      <c r="AI351" s="14"/>
      <c r="AJ351" s="14"/>
    </row>
    <row r="352" spans="1:36" x14ac:dyDescent="0.25">
      <c r="A352" s="4" t="s">
        <v>628</v>
      </c>
      <c r="B352" s="1" t="s">
        <v>629</v>
      </c>
      <c r="C352" s="1" t="s">
        <v>20</v>
      </c>
      <c r="D352" s="1" t="s">
        <v>100</v>
      </c>
      <c r="E352" s="1" t="s">
        <v>22</v>
      </c>
      <c r="F352" s="1" t="s">
        <v>23</v>
      </c>
      <c r="G352" s="1" t="s">
        <v>12</v>
      </c>
      <c r="H352" s="12" t="s">
        <v>644</v>
      </c>
      <c r="I352" s="1" t="s">
        <v>24</v>
      </c>
      <c r="J352" s="1" t="s">
        <v>25</v>
      </c>
      <c r="K352" s="1" t="s">
        <v>25</v>
      </c>
      <c r="L352" s="1" t="s">
        <v>26</v>
      </c>
      <c r="M352" s="1" t="s">
        <v>25</v>
      </c>
      <c r="N352" s="1" t="s">
        <v>25</v>
      </c>
      <c r="O352" s="1" t="s">
        <v>25</v>
      </c>
      <c r="P352" s="1" t="s">
        <v>25</v>
      </c>
      <c r="Q352" s="1" t="s">
        <v>25</v>
      </c>
      <c r="R352" s="70" t="str">
        <f t="shared" si="33"/>
        <v>5945920</v>
      </c>
      <c r="S352" t="str">
        <f>VLOOKUP(A352,Data_NV!$A:$C,3,0)</f>
        <v>Nguyễn Thanh Phương</v>
      </c>
      <c r="T352" t="str">
        <f>VLOOKUP(A352,Data_NV!$A:$E,4,0)</f>
        <v>Vận Hành</v>
      </c>
      <c r="U352" s="67">
        <f>DATEVALUE(Table2[[#This Row],[Ngày]])</f>
        <v>45920</v>
      </c>
      <c r="V352" t="str">
        <f>VLOOKUP(A352,Data_NV!$A:$E,5,0)</f>
        <v>Đang làm việc</v>
      </c>
      <c r="W352" s="11">
        <f>VLOOKUP(A352,Data_NV!$A:$I,8,0)</f>
        <v>0.3125</v>
      </c>
      <c r="X352" s="11">
        <f>VLOOKUP(A352,Data_NV!$A:$I,9,0)</f>
        <v>0.6875</v>
      </c>
      <c r="Y352" s="11">
        <f>IFERROR(TIMEVALUE(Table2[[#This Row],[Vào]]),0)</f>
        <v>0.30412037037037037</v>
      </c>
      <c r="Z352" s="11">
        <f>IFERROR(TIMEVALUE(Table2[[#This Row],[Ra]]),0)</f>
        <v>0</v>
      </c>
      <c r="AA352" t="str">
        <f t="shared" si="36"/>
        <v>x</v>
      </c>
      <c r="AB352" s="14">
        <f t="shared" si="34"/>
        <v>0</v>
      </c>
      <c r="AC352" s="14" t="str">
        <f>IF(VLOOKUP(A352,Data_NV!$A:$I,7,0)="Không","",IF(OR(AND(Y352=0,Z352=0),AND(Y352&lt;&gt;0,Z352&lt;&gt;0)),"","Quên chấm công"))</f>
        <v/>
      </c>
      <c r="AD352" s="14">
        <f>IF(VLOOKUP(A352,Data_NV!$A:$I,7,0)="Không",0,IF(AND(Y352=0,Z352=0),0,IF(X352&lt;=Z352,0,ROUNDDOWN((X352-Z352)*24*60,0))))</f>
        <v>0</v>
      </c>
      <c r="AE352" s="14">
        <f>IF(VLOOKUP(A352,Data_NV!$A:$I,6,0)="Không",0,IF(Z352&lt;=X352,0,ROUNDDOWN((Z352-X352)*24*60,0)))</f>
        <v>0</v>
      </c>
      <c r="AF352" s="29">
        <f t="shared" si="35"/>
        <v>0</v>
      </c>
      <c r="AG352" s="30" t="str">
        <f>IF(AC352="","",IF(COUNTIFS($AC$3:AC352,"Quên chấm công",$S$3:S352,S352)&gt;3,"Không chấm công do vi phạm quá 3 lần",IF(COUNTIFS($AC$3:AC352,"Quên chấm công",$S$3:S352,S352)&gt;2,"Trừ toàn bộ chuyên cần tháng do vi phạm lần 3",IF(COUNTIFS($AC$3:AC352,"Quên chấm công",$S$3:S352,S352)&gt;1,"Trừ 1/2 ngày lương",50000))))</f>
        <v/>
      </c>
      <c r="AH352" s="14" t="str">
        <f>IF(COUNTIFS($AF$3:AF352,"&gt;0",$S$3:S352,S352)&gt;3,"Trừ toàn bộ chuyên cần tháng","")</f>
        <v/>
      </c>
      <c r="AI352" s="14"/>
      <c r="AJ352" s="14"/>
    </row>
    <row r="353" spans="1:36" x14ac:dyDescent="0.25">
      <c r="A353" s="4" t="s">
        <v>628</v>
      </c>
      <c r="B353" s="1" t="s">
        <v>629</v>
      </c>
      <c r="C353" s="1" t="s">
        <v>20</v>
      </c>
      <c r="D353" s="1" t="s">
        <v>105</v>
      </c>
      <c r="E353" s="1" t="s">
        <v>22</v>
      </c>
      <c r="F353" s="1" t="s">
        <v>23</v>
      </c>
      <c r="G353" s="1" t="s">
        <v>12</v>
      </c>
      <c r="H353" s="12" t="s">
        <v>24</v>
      </c>
      <c r="I353" s="1" t="s">
        <v>24</v>
      </c>
      <c r="J353" s="1" t="s">
        <v>25</v>
      </c>
      <c r="K353" s="1" t="s">
        <v>25</v>
      </c>
      <c r="L353" s="1" t="s">
        <v>26</v>
      </c>
      <c r="M353" s="1" t="s">
        <v>25</v>
      </c>
      <c r="N353" s="1" t="s">
        <v>25</v>
      </c>
      <c r="O353" s="1" t="s">
        <v>25</v>
      </c>
      <c r="P353" s="1" t="s">
        <v>25</v>
      </c>
      <c r="Q353" s="1" t="s">
        <v>25</v>
      </c>
      <c r="R353" s="70" t="str">
        <f t="shared" si="33"/>
        <v>5945921</v>
      </c>
      <c r="S353" t="str">
        <f>VLOOKUP(A353,Data_NV!$A:$C,3,0)</f>
        <v>Nguyễn Thanh Phương</v>
      </c>
      <c r="T353" t="str">
        <f>VLOOKUP(A353,Data_NV!$A:$E,4,0)</f>
        <v>Vận Hành</v>
      </c>
      <c r="U353" s="67">
        <f>DATEVALUE(Table2[[#This Row],[Ngày]])</f>
        <v>45921</v>
      </c>
      <c r="V353" t="str">
        <f>VLOOKUP(A353,Data_NV!$A:$E,5,0)</f>
        <v>Đang làm việc</v>
      </c>
      <c r="W353" s="11">
        <f>VLOOKUP(A353,Data_NV!$A:$I,8,0)</f>
        <v>0.3125</v>
      </c>
      <c r="X353" s="11">
        <f>VLOOKUP(A353,Data_NV!$A:$I,9,0)</f>
        <v>0.6875</v>
      </c>
      <c r="Y353" s="11">
        <f>IFERROR(TIMEVALUE(Table2[[#This Row],[Vào]]),0)</f>
        <v>0</v>
      </c>
      <c r="Z353" s="11">
        <f>IFERROR(TIMEVALUE(Table2[[#This Row],[Ra]]),0)</f>
        <v>0</v>
      </c>
      <c r="AA353" t="str">
        <f t="shared" si="36"/>
        <v/>
      </c>
      <c r="AB353" s="14">
        <f t="shared" si="34"/>
        <v>0</v>
      </c>
      <c r="AC353" s="14" t="str">
        <f>IF(VLOOKUP(A353,Data_NV!$A:$I,7,0)="Không","",IF(OR(AND(Y353=0,Z353=0),AND(Y353&lt;&gt;0,Z353&lt;&gt;0)),"","Quên chấm công"))</f>
        <v/>
      </c>
      <c r="AD353" s="14">
        <f>IF(VLOOKUP(A353,Data_NV!$A:$I,7,0)="Không",0,IF(AND(Y353=0,Z353=0),0,IF(X353&lt;=Z353,0,ROUNDDOWN((X353-Z353)*24*60,0))))</f>
        <v>0</v>
      </c>
      <c r="AE353" s="14">
        <f>IF(VLOOKUP(A353,Data_NV!$A:$I,6,0)="Không",0,IF(Z353&lt;=X353,0,ROUNDDOWN((Z353-X353)*24*60,0)))</f>
        <v>0</v>
      </c>
      <c r="AF353" s="29">
        <f t="shared" si="35"/>
        <v>0</v>
      </c>
      <c r="AG353" s="30" t="str">
        <f>IF(AC353="","",IF(COUNTIFS($AC$3:AC353,"Quên chấm công",$S$3:S353,S353)&gt;3,"Không chấm công do vi phạm quá 3 lần",IF(COUNTIFS($AC$3:AC353,"Quên chấm công",$S$3:S353,S353)&gt;2,"Trừ toàn bộ chuyên cần tháng do vi phạm lần 3",IF(COUNTIFS($AC$3:AC353,"Quên chấm công",$S$3:S353,S353)&gt;1,"Trừ 1/2 ngày lương",50000))))</f>
        <v/>
      </c>
      <c r="AH353" s="14" t="str">
        <f>IF(COUNTIFS($AF$3:AF353,"&gt;0",$S$3:S353,S353)&gt;3,"Trừ toàn bộ chuyên cần tháng","")</f>
        <v/>
      </c>
      <c r="AI353" s="14"/>
      <c r="AJ353" s="14"/>
    </row>
    <row r="354" spans="1:36" x14ac:dyDescent="0.25">
      <c r="A354" s="4" t="s">
        <v>628</v>
      </c>
      <c r="B354" s="1" t="s">
        <v>629</v>
      </c>
      <c r="C354" s="1" t="s">
        <v>20</v>
      </c>
      <c r="D354" s="1" t="s">
        <v>106</v>
      </c>
      <c r="E354" s="1" t="s">
        <v>22</v>
      </c>
      <c r="F354" s="1" t="s">
        <v>23</v>
      </c>
      <c r="G354" s="1" t="s">
        <v>12</v>
      </c>
      <c r="H354" s="12" t="s">
        <v>645</v>
      </c>
      <c r="I354" s="1" t="s">
        <v>24</v>
      </c>
      <c r="J354" s="1" t="s">
        <v>25</v>
      </c>
      <c r="K354" s="1" t="s">
        <v>25</v>
      </c>
      <c r="L354" s="1" t="s">
        <v>26</v>
      </c>
      <c r="M354" s="1" t="s">
        <v>25</v>
      </c>
      <c r="N354" s="1" t="s">
        <v>25</v>
      </c>
      <c r="O354" s="1" t="s">
        <v>25</v>
      </c>
      <c r="P354" s="1" t="s">
        <v>25</v>
      </c>
      <c r="Q354" s="1" t="s">
        <v>25</v>
      </c>
      <c r="R354" s="70" t="str">
        <f t="shared" si="33"/>
        <v>5945922</v>
      </c>
      <c r="S354" t="str">
        <f>VLOOKUP(A354,Data_NV!$A:$C,3,0)</f>
        <v>Nguyễn Thanh Phương</v>
      </c>
      <c r="T354" t="str">
        <f>VLOOKUP(A354,Data_NV!$A:$E,4,0)</f>
        <v>Vận Hành</v>
      </c>
      <c r="U354" s="67">
        <f>DATEVALUE(Table2[[#This Row],[Ngày]])</f>
        <v>45922</v>
      </c>
      <c r="V354" t="str">
        <f>VLOOKUP(A354,Data_NV!$A:$E,5,0)</f>
        <v>Đang làm việc</v>
      </c>
      <c r="W354" s="11">
        <f>VLOOKUP(A354,Data_NV!$A:$I,8,0)</f>
        <v>0.3125</v>
      </c>
      <c r="X354" s="11">
        <f>VLOOKUP(A354,Data_NV!$A:$I,9,0)</f>
        <v>0.6875</v>
      </c>
      <c r="Y354" s="11">
        <f>IFERROR(TIMEVALUE(Table2[[#This Row],[Vào]]),0)</f>
        <v>0.30497685185185186</v>
      </c>
      <c r="Z354" s="11">
        <f>IFERROR(TIMEVALUE(Table2[[#This Row],[Ra]]),0)</f>
        <v>0</v>
      </c>
      <c r="AA354" t="str">
        <f t="shared" si="36"/>
        <v>x</v>
      </c>
      <c r="AB354" s="14">
        <f t="shared" si="34"/>
        <v>0</v>
      </c>
      <c r="AC354" s="14" t="str">
        <f>IF(VLOOKUP(A354,Data_NV!$A:$I,7,0)="Không","",IF(OR(AND(Y354=0,Z354=0),AND(Y354&lt;&gt;0,Z354&lt;&gt;0)),"","Quên chấm công"))</f>
        <v/>
      </c>
      <c r="AD354" s="14">
        <f>IF(VLOOKUP(A354,Data_NV!$A:$I,7,0)="Không",0,IF(AND(Y354=0,Z354=0),0,IF(X354&lt;=Z354,0,ROUNDDOWN((X354-Z354)*24*60,0))))</f>
        <v>0</v>
      </c>
      <c r="AE354" s="14">
        <f>IF(VLOOKUP(A354,Data_NV!$A:$I,6,0)="Không",0,IF(Z354&lt;=X354,0,ROUNDDOWN((Z354-X354)*24*60,0)))</f>
        <v>0</v>
      </c>
      <c r="AF354" s="29">
        <f t="shared" si="35"/>
        <v>0</v>
      </c>
      <c r="AG354" s="30" t="str">
        <f>IF(AC354="","",IF(COUNTIFS($AC$3:AC354,"Quên chấm công",$S$3:S354,S354)&gt;3,"Không chấm công do vi phạm quá 3 lần",IF(COUNTIFS($AC$3:AC354,"Quên chấm công",$S$3:S354,S354)&gt;2,"Trừ toàn bộ chuyên cần tháng do vi phạm lần 3",IF(COUNTIFS($AC$3:AC354,"Quên chấm công",$S$3:S354,S354)&gt;1,"Trừ 1/2 ngày lương",50000))))</f>
        <v/>
      </c>
      <c r="AH354" s="14" t="str">
        <f>IF(COUNTIFS($AF$3:AF354,"&gt;0",$S$3:S354,S354)&gt;3,"Trừ toàn bộ chuyên cần tháng","")</f>
        <v/>
      </c>
      <c r="AI354" s="14"/>
      <c r="AJ354" s="14"/>
    </row>
    <row r="355" spans="1:36" x14ac:dyDescent="0.25">
      <c r="A355" s="4" t="s">
        <v>628</v>
      </c>
      <c r="B355" s="1" t="s">
        <v>629</v>
      </c>
      <c r="C355" s="1" t="s">
        <v>20</v>
      </c>
      <c r="D355" s="1" t="s">
        <v>111</v>
      </c>
      <c r="E355" s="1" t="s">
        <v>22</v>
      </c>
      <c r="F355" s="1" t="s">
        <v>23</v>
      </c>
      <c r="G355" s="1" t="s">
        <v>12</v>
      </c>
      <c r="H355" s="12" t="s">
        <v>646</v>
      </c>
      <c r="I355" s="1" t="s">
        <v>24</v>
      </c>
      <c r="J355" s="1" t="s">
        <v>25</v>
      </c>
      <c r="K355" s="1" t="s">
        <v>25</v>
      </c>
      <c r="L355" s="1" t="s">
        <v>26</v>
      </c>
      <c r="M355" s="1" t="s">
        <v>25</v>
      </c>
      <c r="N355" s="1" t="s">
        <v>25</v>
      </c>
      <c r="O355" s="1" t="s">
        <v>25</v>
      </c>
      <c r="P355" s="1" t="s">
        <v>25</v>
      </c>
      <c r="Q355" s="1" t="s">
        <v>25</v>
      </c>
      <c r="R355" s="70" t="str">
        <f t="shared" si="33"/>
        <v>5945923</v>
      </c>
      <c r="S355" t="str">
        <f>VLOOKUP(A355,Data_NV!$A:$C,3,0)</f>
        <v>Nguyễn Thanh Phương</v>
      </c>
      <c r="T355" t="str">
        <f>VLOOKUP(A355,Data_NV!$A:$E,4,0)</f>
        <v>Vận Hành</v>
      </c>
      <c r="U355" s="67">
        <f>DATEVALUE(Table2[[#This Row],[Ngày]])</f>
        <v>45923</v>
      </c>
      <c r="V355" t="str">
        <f>VLOOKUP(A355,Data_NV!$A:$E,5,0)</f>
        <v>Đang làm việc</v>
      </c>
      <c r="W355" s="11">
        <f>VLOOKUP(A355,Data_NV!$A:$I,8,0)</f>
        <v>0.3125</v>
      </c>
      <c r="X355" s="11">
        <f>VLOOKUP(A355,Data_NV!$A:$I,9,0)</f>
        <v>0.6875</v>
      </c>
      <c r="Y355" s="11">
        <f>IFERROR(TIMEVALUE(Table2[[#This Row],[Vào]]),0)</f>
        <v>0.30584490740740738</v>
      </c>
      <c r="Z355" s="11">
        <f>IFERROR(TIMEVALUE(Table2[[#This Row],[Ra]]),0)</f>
        <v>0</v>
      </c>
      <c r="AA355" t="str">
        <f t="shared" si="36"/>
        <v>x</v>
      </c>
      <c r="AB355" s="14">
        <f t="shared" si="34"/>
        <v>0</v>
      </c>
      <c r="AC355" s="14" t="str">
        <f>IF(VLOOKUP(A355,Data_NV!$A:$I,7,0)="Không","",IF(OR(AND(Y355=0,Z355=0),AND(Y355&lt;&gt;0,Z355&lt;&gt;0)),"","Quên chấm công"))</f>
        <v/>
      </c>
      <c r="AD355" s="14">
        <f>IF(VLOOKUP(A355,Data_NV!$A:$I,7,0)="Không",0,IF(AND(Y355=0,Z355=0),0,IF(X355&lt;=Z355,0,ROUNDDOWN((X355-Z355)*24*60,0))))</f>
        <v>0</v>
      </c>
      <c r="AE355" s="14">
        <f>IF(VLOOKUP(A355,Data_NV!$A:$I,6,0)="Không",0,IF(Z355&lt;=X355,0,ROUNDDOWN((Z355-X355)*24*60,0)))</f>
        <v>0</v>
      </c>
      <c r="AF355" s="29">
        <f t="shared" si="35"/>
        <v>0</v>
      </c>
      <c r="AG355" s="30" t="str">
        <f>IF(AC355="","",IF(COUNTIFS($AC$3:AC355,"Quên chấm công",$S$3:S355,S355)&gt;3,"Không chấm công do vi phạm quá 3 lần",IF(COUNTIFS($AC$3:AC355,"Quên chấm công",$S$3:S355,S355)&gt;2,"Trừ toàn bộ chuyên cần tháng do vi phạm lần 3",IF(COUNTIFS($AC$3:AC355,"Quên chấm công",$S$3:S355,S355)&gt;1,"Trừ 1/2 ngày lương",50000))))</f>
        <v/>
      </c>
      <c r="AH355" s="14" t="str">
        <f>IF(COUNTIFS($AF$3:AF355,"&gt;0",$S$3:S355,S355)&gt;3,"Trừ toàn bộ chuyên cần tháng","")</f>
        <v/>
      </c>
      <c r="AI355" s="14"/>
      <c r="AJ355" s="14"/>
    </row>
    <row r="356" spans="1:36" x14ac:dyDescent="0.25">
      <c r="A356" s="4" t="s">
        <v>628</v>
      </c>
      <c r="B356" s="1" t="s">
        <v>629</v>
      </c>
      <c r="C356" s="1" t="s">
        <v>20</v>
      </c>
      <c r="D356" s="1" t="s">
        <v>116</v>
      </c>
      <c r="E356" s="1" t="s">
        <v>22</v>
      </c>
      <c r="F356" s="1" t="s">
        <v>23</v>
      </c>
      <c r="G356" s="1" t="s">
        <v>12</v>
      </c>
      <c r="H356" s="12" t="s">
        <v>647</v>
      </c>
      <c r="I356" s="1" t="s">
        <v>24</v>
      </c>
      <c r="J356" s="1" t="s">
        <v>25</v>
      </c>
      <c r="K356" s="1" t="s">
        <v>25</v>
      </c>
      <c r="L356" s="1" t="s">
        <v>26</v>
      </c>
      <c r="M356" s="1" t="s">
        <v>25</v>
      </c>
      <c r="N356" s="1" t="s">
        <v>25</v>
      </c>
      <c r="O356" s="1" t="s">
        <v>25</v>
      </c>
      <c r="P356" s="1" t="s">
        <v>25</v>
      </c>
      <c r="Q356" s="1" t="s">
        <v>25</v>
      </c>
      <c r="R356" s="70" t="str">
        <f t="shared" si="33"/>
        <v>5945924</v>
      </c>
      <c r="S356" t="str">
        <f>VLOOKUP(A356,Data_NV!$A:$C,3,0)</f>
        <v>Nguyễn Thanh Phương</v>
      </c>
      <c r="T356" t="str">
        <f>VLOOKUP(A356,Data_NV!$A:$E,4,0)</f>
        <v>Vận Hành</v>
      </c>
      <c r="U356" s="67">
        <f>DATEVALUE(Table2[[#This Row],[Ngày]])</f>
        <v>45924</v>
      </c>
      <c r="V356" t="str">
        <f>VLOOKUP(A356,Data_NV!$A:$E,5,0)</f>
        <v>Đang làm việc</v>
      </c>
      <c r="W356" s="11">
        <f>VLOOKUP(A356,Data_NV!$A:$I,8,0)</f>
        <v>0.3125</v>
      </c>
      <c r="X356" s="11">
        <f>VLOOKUP(A356,Data_NV!$A:$I,9,0)</f>
        <v>0.6875</v>
      </c>
      <c r="Y356" s="11">
        <f>IFERROR(TIMEVALUE(Table2[[#This Row],[Vào]]),0)</f>
        <v>0.30531249999999999</v>
      </c>
      <c r="Z356" s="11">
        <f>IFERROR(TIMEVALUE(Table2[[#This Row],[Ra]]),0)</f>
        <v>0</v>
      </c>
      <c r="AA356" t="str">
        <f t="shared" si="36"/>
        <v>x</v>
      </c>
      <c r="AB356" s="14">
        <f t="shared" si="34"/>
        <v>0</v>
      </c>
      <c r="AC356" s="14" t="str">
        <f>IF(VLOOKUP(A356,Data_NV!$A:$I,7,0)="Không","",IF(OR(AND(Y356=0,Z356=0),AND(Y356&lt;&gt;0,Z356&lt;&gt;0)),"","Quên chấm công"))</f>
        <v/>
      </c>
      <c r="AD356" s="14">
        <f>IF(VLOOKUP(A356,Data_NV!$A:$I,7,0)="Không",0,IF(AND(Y356=0,Z356=0),0,IF(X356&lt;=Z356,0,ROUNDDOWN((X356-Z356)*24*60,0))))</f>
        <v>0</v>
      </c>
      <c r="AE356" s="14">
        <f>IF(VLOOKUP(A356,Data_NV!$A:$I,6,0)="Không",0,IF(Z356&lt;=X356,0,ROUNDDOWN((Z356-X356)*24*60,0)))</f>
        <v>0</v>
      </c>
      <c r="AF356" s="29">
        <f t="shared" si="35"/>
        <v>0</v>
      </c>
      <c r="AG356" s="30" t="str">
        <f>IF(AC356="","",IF(COUNTIFS($AC$3:AC356,"Quên chấm công",$S$3:S356,S356)&gt;3,"Không chấm công do vi phạm quá 3 lần",IF(COUNTIFS($AC$3:AC356,"Quên chấm công",$S$3:S356,S356)&gt;2,"Trừ toàn bộ chuyên cần tháng do vi phạm lần 3",IF(COUNTIFS($AC$3:AC356,"Quên chấm công",$S$3:S356,S356)&gt;1,"Trừ 1/2 ngày lương",50000))))</f>
        <v/>
      </c>
      <c r="AH356" s="14" t="str">
        <f>IF(COUNTIFS($AF$3:AF356,"&gt;0",$S$3:S356,S356)&gt;3,"Trừ toàn bộ chuyên cần tháng","")</f>
        <v/>
      </c>
      <c r="AI356" s="14"/>
      <c r="AJ356" s="14"/>
    </row>
    <row r="357" spans="1:36" x14ac:dyDescent="0.25">
      <c r="A357" s="4" t="s">
        <v>628</v>
      </c>
      <c r="B357" s="1" t="s">
        <v>629</v>
      </c>
      <c r="C357" s="1" t="s">
        <v>20</v>
      </c>
      <c r="D357" s="1" t="s">
        <v>121</v>
      </c>
      <c r="E357" s="1" t="s">
        <v>22</v>
      </c>
      <c r="F357" s="1" t="s">
        <v>23</v>
      </c>
      <c r="G357" s="1" t="s">
        <v>12</v>
      </c>
      <c r="H357" s="12" t="s">
        <v>648</v>
      </c>
      <c r="I357" s="1" t="s">
        <v>24</v>
      </c>
      <c r="J357" s="1" t="s">
        <v>25</v>
      </c>
      <c r="K357" s="1" t="s">
        <v>25</v>
      </c>
      <c r="L357" s="1" t="s">
        <v>26</v>
      </c>
      <c r="M357" s="1" t="s">
        <v>25</v>
      </c>
      <c r="N357" s="1" t="s">
        <v>25</v>
      </c>
      <c r="O357" s="1" t="s">
        <v>25</v>
      </c>
      <c r="P357" s="1" t="s">
        <v>25</v>
      </c>
      <c r="Q357" s="1" t="s">
        <v>25</v>
      </c>
      <c r="R357" s="70" t="str">
        <f t="shared" si="33"/>
        <v>5945925</v>
      </c>
      <c r="S357" t="str">
        <f>VLOOKUP(A357,Data_NV!$A:$C,3,0)</f>
        <v>Nguyễn Thanh Phương</v>
      </c>
      <c r="T357" t="str">
        <f>VLOOKUP(A357,Data_NV!$A:$E,4,0)</f>
        <v>Vận Hành</v>
      </c>
      <c r="U357" s="67">
        <f>DATEVALUE(Table2[[#This Row],[Ngày]])</f>
        <v>45925</v>
      </c>
      <c r="V357" t="str">
        <f>VLOOKUP(A357,Data_NV!$A:$E,5,0)</f>
        <v>Đang làm việc</v>
      </c>
      <c r="W357" s="11">
        <f>VLOOKUP(A357,Data_NV!$A:$I,8,0)</f>
        <v>0.3125</v>
      </c>
      <c r="X357" s="11">
        <f>VLOOKUP(A357,Data_NV!$A:$I,9,0)</f>
        <v>0.6875</v>
      </c>
      <c r="Y357" s="11">
        <f>IFERROR(TIMEVALUE(Table2[[#This Row],[Vào]]),0)</f>
        <v>0.30633101851851852</v>
      </c>
      <c r="Z357" s="11">
        <f>IFERROR(TIMEVALUE(Table2[[#This Row],[Ra]]),0)</f>
        <v>0</v>
      </c>
      <c r="AA357" t="str">
        <f t="shared" si="36"/>
        <v>x</v>
      </c>
      <c r="AB357" s="14">
        <f t="shared" si="34"/>
        <v>0</v>
      </c>
      <c r="AC357" s="14" t="str">
        <f>IF(VLOOKUP(A357,Data_NV!$A:$I,7,0)="Không","",IF(OR(AND(Y357=0,Z357=0),AND(Y357&lt;&gt;0,Z357&lt;&gt;0)),"","Quên chấm công"))</f>
        <v/>
      </c>
      <c r="AD357" s="14">
        <f>IF(VLOOKUP(A357,Data_NV!$A:$I,7,0)="Không",0,IF(AND(Y357=0,Z357=0),0,IF(X357&lt;=Z357,0,ROUNDDOWN((X357-Z357)*24*60,0))))</f>
        <v>0</v>
      </c>
      <c r="AE357" s="14">
        <f>IF(VLOOKUP(A357,Data_NV!$A:$I,6,0)="Không",0,IF(Z357&lt;=X357,0,ROUNDDOWN((Z357-X357)*24*60,0)))</f>
        <v>0</v>
      </c>
      <c r="AF357" s="29">
        <f t="shared" si="35"/>
        <v>0</v>
      </c>
      <c r="AG357" s="30" t="str">
        <f>IF(AC357="","",IF(COUNTIFS($AC$3:AC357,"Quên chấm công",$S$3:S357,S357)&gt;3,"Không chấm công do vi phạm quá 3 lần",IF(COUNTIFS($AC$3:AC357,"Quên chấm công",$S$3:S357,S357)&gt;2,"Trừ toàn bộ chuyên cần tháng do vi phạm lần 3",IF(COUNTIFS($AC$3:AC357,"Quên chấm công",$S$3:S357,S357)&gt;1,"Trừ 1/2 ngày lương",50000))))</f>
        <v/>
      </c>
      <c r="AH357" s="14" t="str">
        <f>IF(COUNTIFS($AF$3:AF357,"&gt;0",$S$3:S357,S357)&gt;3,"Trừ toàn bộ chuyên cần tháng","")</f>
        <v/>
      </c>
      <c r="AI357" s="14"/>
      <c r="AJ357" s="14"/>
    </row>
    <row r="358" spans="1:36" x14ac:dyDescent="0.25">
      <c r="A358" s="4" t="s">
        <v>628</v>
      </c>
      <c r="B358" s="1" t="s">
        <v>629</v>
      </c>
      <c r="C358" s="1" t="s">
        <v>20</v>
      </c>
      <c r="D358" s="1" t="s">
        <v>123</v>
      </c>
      <c r="E358" s="1" t="s">
        <v>22</v>
      </c>
      <c r="F358" s="1" t="s">
        <v>23</v>
      </c>
      <c r="G358" s="1" t="s">
        <v>12</v>
      </c>
      <c r="H358" s="12" t="s">
        <v>649</v>
      </c>
      <c r="I358" s="1" t="s">
        <v>24</v>
      </c>
      <c r="J358" s="1" t="s">
        <v>25</v>
      </c>
      <c r="K358" s="1" t="s">
        <v>25</v>
      </c>
      <c r="L358" s="1" t="s">
        <v>26</v>
      </c>
      <c r="M358" s="1" t="s">
        <v>25</v>
      </c>
      <c r="N358" s="1" t="s">
        <v>25</v>
      </c>
      <c r="O358" s="1" t="s">
        <v>25</v>
      </c>
      <c r="P358" s="1" t="s">
        <v>25</v>
      </c>
      <c r="Q358" s="1" t="s">
        <v>25</v>
      </c>
      <c r="R358" s="70" t="str">
        <f t="shared" si="33"/>
        <v>5945926</v>
      </c>
      <c r="S358" t="str">
        <f>VLOOKUP(A358,Data_NV!$A:$C,3,0)</f>
        <v>Nguyễn Thanh Phương</v>
      </c>
      <c r="T358" t="str">
        <f>VLOOKUP(A358,Data_NV!$A:$E,4,0)</f>
        <v>Vận Hành</v>
      </c>
      <c r="U358" s="67">
        <f>DATEVALUE(Table2[[#This Row],[Ngày]])</f>
        <v>45926</v>
      </c>
      <c r="V358" t="str">
        <f>VLOOKUP(A358,Data_NV!$A:$E,5,0)</f>
        <v>Đang làm việc</v>
      </c>
      <c r="W358" s="11">
        <f>VLOOKUP(A358,Data_NV!$A:$I,8,0)</f>
        <v>0.3125</v>
      </c>
      <c r="X358" s="11">
        <f>VLOOKUP(A358,Data_NV!$A:$I,9,0)</f>
        <v>0.6875</v>
      </c>
      <c r="Y358" s="11">
        <f>IFERROR(TIMEVALUE(Table2[[#This Row],[Vào]]),0)</f>
        <v>0.30790509259259258</v>
      </c>
      <c r="Z358" s="11">
        <f>IFERROR(TIMEVALUE(Table2[[#This Row],[Ra]]),0)</f>
        <v>0</v>
      </c>
      <c r="AA358" t="str">
        <f t="shared" si="36"/>
        <v>x</v>
      </c>
      <c r="AB358" s="14">
        <f t="shared" si="34"/>
        <v>0</v>
      </c>
      <c r="AC358" s="14" t="str">
        <f>IF(VLOOKUP(A358,Data_NV!$A:$I,7,0)="Không","",IF(OR(AND(Y358=0,Z358=0),AND(Y358&lt;&gt;0,Z358&lt;&gt;0)),"","Quên chấm công"))</f>
        <v/>
      </c>
      <c r="AD358" s="14">
        <f>IF(VLOOKUP(A358,Data_NV!$A:$I,7,0)="Không",0,IF(AND(Y358=0,Z358=0),0,IF(X358&lt;=Z358,0,ROUNDDOWN((X358-Z358)*24*60,0))))</f>
        <v>0</v>
      </c>
      <c r="AE358" s="14">
        <f>IF(VLOOKUP(A358,Data_NV!$A:$I,6,0)="Không",0,IF(Z358&lt;=X358,0,ROUNDDOWN((Z358-X358)*24*60,0)))</f>
        <v>0</v>
      </c>
      <c r="AF358" s="29">
        <f t="shared" si="35"/>
        <v>0</v>
      </c>
      <c r="AG358" s="30" t="str">
        <f>IF(AC358="","",IF(COUNTIFS($AC$3:AC358,"Quên chấm công",$S$3:S358,S358)&gt;3,"Không chấm công do vi phạm quá 3 lần",IF(COUNTIFS($AC$3:AC358,"Quên chấm công",$S$3:S358,S358)&gt;2,"Trừ toàn bộ chuyên cần tháng do vi phạm lần 3",IF(COUNTIFS($AC$3:AC358,"Quên chấm công",$S$3:S358,S358)&gt;1,"Trừ 1/2 ngày lương",50000))))</f>
        <v/>
      </c>
      <c r="AH358" s="14" t="str">
        <f>IF(COUNTIFS($AF$3:AF358,"&gt;0",$S$3:S358,S358)&gt;3,"Trừ toàn bộ chuyên cần tháng","")</f>
        <v/>
      </c>
      <c r="AI358" s="14"/>
      <c r="AJ358" s="14"/>
    </row>
    <row r="359" spans="1:36" x14ac:dyDescent="0.25">
      <c r="A359" s="4" t="s">
        <v>628</v>
      </c>
      <c r="B359" s="1" t="s">
        <v>629</v>
      </c>
      <c r="C359" s="1" t="s">
        <v>20</v>
      </c>
      <c r="D359" s="1" t="s">
        <v>125</v>
      </c>
      <c r="E359" s="1" t="s">
        <v>22</v>
      </c>
      <c r="F359" s="1" t="s">
        <v>23</v>
      </c>
      <c r="G359" s="1" t="s">
        <v>12</v>
      </c>
      <c r="H359" s="12" t="s">
        <v>650</v>
      </c>
      <c r="I359" s="1" t="s">
        <v>24</v>
      </c>
      <c r="J359" s="1" t="s">
        <v>25</v>
      </c>
      <c r="K359" s="1" t="s">
        <v>25</v>
      </c>
      <c r="L359" s="1" t="s">
        <v>26</v>
      </c>
      <c r="M359" s="1" t="s">
        <v>25</v>
      </c>
      <c r="N359" s="1" t="s">
        <v>25</v>
      </c>
      <c r="O359" s="1" t="s">
        <v>25</v>
      </c>
      <c r="P359" s="1" t="s">
        <v>25</v>
      </c>
      <c r="Q359" s="1" t="s">
        <v>25</v>
      </c>
      <c r="R359" s="70" t="str">
        <f t="shared" si="33"/>
        <v>5945927</v>
      </c>
      <c r="S359" t="str">
        <f>VLOOKUP(A359,Data_NV!$A:$C,3,0)</f>
        <v>Nguyễn Thanh Phương</v>
      </c>
      <c r="T359" t="str">
        <f>VLOOKUP(A359,Data_NV!$A:$E,4,0)</f>
        <v>Vận Hành</v>
      </c>
      <c r="U359" s="67">
        <f>DATEVALUE(Table2[[#This Row],[Ngày]])</f>
        <v>45927</v>
      </c>
      <c r="V359" t="str">
        <f>VLOOKUP(A359,Data_NV!$A:$E,5,0)</f>
        <v>Đang làm việc</v>
      </c>
      <c r="W359" s="11">
        <f>VLOOKUP(A359,Data_NV!$A:$I,8,0)</f>
        <v>0.3125</v>
      </c>
      <c r="X359" s="11">
        <f>VLOOKUP(A359,Data_NV!$A:$I,9,0)</f>
        <v>0.6875</v>
      </c>
      <c r="Y359" s="11">
        <f>IFERROR(TIMEVALUE(Table2[[#This Row],[Vào]]),0)</f>
        <v>0.30387731481481484</v>
      </c>
      <c r="Z359" s="11">
        <f>IFERROR(TIMEVALUE(Table2[[#This Row],[Ra]]),0)</f>
        <v>0</v>
      </c>
      <c r="AA359" t="str">
        <f t="shared" si="36"/>
        <v>x</v>
      </c>
      <c r="AB359" s="14">
        <f t="shared" si="34"/>
        <v>0</v>
      </c>
      <c r="AC359" s="14" t="str">
        <f>IF(VLOOKUP(A359,Data_NV!$A:$I,7,0)="Không","",IF(OR(AND(Y359=0,Z359=0),AND(Y359&lt;&gt;0,Z359&lt;&gt;0)),"","Quên chấm công"))</f>
        <v/>
      </c>
      <c r="AD359" s="14">
        <f>IF(VLOOKUP(A359,Data_NV!$A:$I,7,0)="Không",0,IF(AND(Y359=0,Z359=0),0,IF(X359&lt;=Z359,0,ROUNDDOWN((X359-Z359)*24*60,0))))</f>
        <v>0</v>
      </c>
      <c r="AE359" s="14">
        <f>IF(VLOOKUP(A359,Data_NV!$A:$I,6,0)="Không",0,IF(Z359&lt;=X359,0,ROUNDDOWN((Z359-X359)*24*60,0)))</f>
        <v>0</v>
      </c>
      <c r="AF359" s="29">
        <f t="shared" si="35"/>
        <v>0</v>
      </c>
      <c r="AG359" s="30" t="str">
        <f>IF(AC359="","",IF(COUNTIFS($AC$3:AC359,"Quên chấm công",$S$3:S359,S359)&gt;3,"Không chấm công do vi phạm quá 3 lần",IF(COUNTIFS($AC$3:AC359,"Quên chấm công",$S$3:S359,S359)&gt;2,"Trừ toàn bộ chuyên cần tháng do vi phạm lần 3",IF(COUNTIFS($AC$3:AC359,"Quên chấm công",$S$3:S359,S359)&gt;1,"Trừ 1/2 ngày lương",50000))))</f>
        <v/>
      </c>
      <c r="AH359" s="14" t="str">
        <f>IF(COUNTIFS($AF$3:AF359,"&gt;0",$S$3:S359,S359)&gt;3,"Trừ toàn bộ chuyên cần tháng","")</f>
        <v/>
      </c>
      <c r="AI359" s="14"/>
      <c r="AJ359" s="14"/>
    </row>
    <row r="360" spans="1:36" x14ac:dyDescent="0.25">
      <c r="A360" s="4" t="s">
        <v>628</v>
      </c>
      <c r="B360" s="1" t="s">
        <v>629</v>
      </c>
      <c r="C360" s="1" t="s">
        <v>20</v>
      </c>
      <c r="D360" s="1" t="s">
        <v>130</v>
      </c>
      <c r="E360" s="1" t="s">
        <v>22</v>
      </c>
      <c r="F360" s="1" t="s">
        <v>23</v>
      </c>
      <c r="G360" s="1" t="s">
        <v>12</v>
      </c>
      <c r="H360" s="12" t="s">
        <v>24</v>
      </c>
      <c r="I360" s="1" t="s">
        <v>24</v>
      </c>
      <c r="J360" s="1" t="s">
        <v>25</v>
      </c>
      <c r="K360" s="1" t="s">
        <v>25</v>
      </c>
      <c r="L360" s="1" t="s">
        <v>26</v>
      </c>
      <c r="M360" s="1" t="s">
        <v>25</v>
      </c>
      <c r="N360" s="1" t="s">
        <v>25</v>
      </c>
      <c r="O360" s="1" t="s">
        <v>25</v>
      </c>
      <c r="P360" s="1" t="s">
        <v>25</v>
      </c>
      <c r="Q360" s="1" t="s">
        <v>25</v>
      </c>
      <c r="R360" s="70" t="str">
        <f t="shared" si="33"/>
        <v>5945928</v>
      </c>
      <c r="S360" t="str">
        <f>VLOOKUP(A360,Data_NV!$A:$C,3,0)</f>
        <v>Nguyễn Thanh Phương</v>
      </c>
      <c r="T360" t="str">
        <f>VLOOKUP(A360,Data_NV!$A:$E,4,0)</f>
        <v>Vận Hành</v>
      </c>
      <c r="U360" s="67">
        <f>DATEVALUE(Table2[[#This Row],[Ngày]])</f>
        <v>45928</v>
      </c>
      <c r="V360" t="str">
        <f>VLOOKUP(A360,Data_NV!$A:$E,5,0)</f>
        <v>Đang làm việc</v>
      </c>
      <c r="W360" s="11">
        <f>VLOOKUP(A360,Data_NV!$A:$I,8,0)</f>
        <v>0.3125</v>
      </c>
      <c r="X360" s="11">
        <f>VLOOKUP(A360,Data_NV!$A:$I,9,0)</f>
        <v>0.6875</v>
      </c>
      <c r="Y360" s="11">
        <f>IFERROR(TIMEVALUE(Table2[[#This Row],[Vào]]),0)</f>
        <v>0</v>
      </c>
      <c r="Z360" s="11">
        <f>IFERROR(TIMEVALUE(Table2[[#This Row],[Ra]]),0)</f>
        <v>0</v>
      </c>
      <c r="AA360" t="str">
        <f t="shared" si="36"/>
        <v/>
      </c>
      <c r="AB360" s="14">
        <f t="shared" si="34"/>
        <v>0</v>
      </c>
      <c r="AC360" s="14" t="str">
        <f>IF(VLOOKUP(A360,Data_NV!$A:$I,7,0)="Không","",IF(OR(AND(Y360=0,Z360=0),AND(Y360&lt;&gt;0,Z360&lt;&gt;0)),"","Quên chấm công"))</f>
        <v/>
      </c>
      <c r="AD360" s="14">
        <f>IF(VLOOKUP(A360,Data_NV!$A:$I,7,0)="Không",0,IF(AND(Y360=0,Z360=0),0,IF(X360&lt;=Z360,0,ROUNDDOWN((X360-Z360)*24*60,0))))</f>
        <v>0</v>
      </c>
      <c r="AE360" s="14">
        <f>IF(VLOOKUP(A360,Data_NV!$A:$I,6,0)="Không",0,IF(Z360&lt;=X360,0,ROUNDDOWN((Z360-X360)*24*60,0)))</f>
        <v>0</v>
      </c>
      <c r="AF360" s="29">
        <f t="shared" si="35"/>
        <v>0</v>
      </c>
      <c r="AG360" s="30" t="str">
        <f>IF(AC360="","",IF(COUNTIFS($AC$3:AC360,"Quên chấm công",$S$3:S360,S360)&gt;3,"Không chấm công do vi phạm quá 3 lần",IF(COUNTIFS($AC$3:AC360,"Quên chấm công",$S$3:S360,S360)&gt;2,"Trừ toàn bộ chuyên cần tháng do vi phạm lần 3",IF(COUNTIFS($AC$3:AC360,"Quên chấm công",$S$3:S360,S360)&gt;1,"Trừ 1/2 ngày lương",50000))))</f>
        <v/>
      </c>
      <c r="AH360" s="14" t="str">
        <f>IF(COUNTIFS($AF$3:AF360,"&gt;0",$S$3:S360,S360)&gt;3,"Trừ toàn bộ chuyên cần tháng","")</f>
        <v/>
      </c>
      <c r="AI360" s="14"/>
      <c r="AJ360" s="14"/>
    </row>
    <row r="361" spans="1:36" x14ac:dyDescent="0.25">
      <c r="A361" s="4" t="s">
        <v>628</v>
      </c>
      <c r="B361" s="1" t="s">
        <v>629</v>
      </c>
      <c r="C361" s="1" t="s">
        <v>20</v>
      </c>
      <c r="D361" s="1" t="s">
        <v>131</v>
      </c>
      <c r="E361" s="1" t="s">
        <v>22</v>
      </c>
      <c r="F361" s="1" t="s">
        <v>23</v>
      </c>
      <c r="G361" s="1" t="s">
        <v>12</v>
      </c>
      <c r="H361" s="12" t="s">
        <v>651</v>
      </c>
      <c r="I361" s="1" t="s">
        <v>24</v>
      </c>
      <c r="J361" s="1" t="s">
        <v>25</v>
      </c>
      <c r="K361" s="1" t="s">
        <v>25</v>
      </c>
      <c r="L361" s="1" t="s">
        <v>26</v>
      </c>
      <c r="M361" s="1" t="s">
        <v>25</v>
      </c>
      <c r="N361" s="1" t="s">
        <v>25</v>
      </c>
      <c r="O361" s="1" t="s">
        <v>25</v>
      </c>
      <c r="P361" s="1" t="s">
        <v>25</v>
      </c>
      <c r="Q361" s="1" t="s">
        <v>25</v>
      </c>
      <c r="R361" s="70" t="str">
        <f t="shared" si="33"/>
        <v>5945929</v>
      </c>
      <c r="S361" t="str">
        <f>VLOOKUP(A361,Data_NV!$A:$C,3,0)</f>
        <v>Nguyễn Thanh Phương</v>
      </c>
      <c r="T361" t="str">
        <f>VLOOKUP(A361,Data_NV!$A:$E,4,0)</f>
        <v>Vận Hành</v>
      </c>
      <c r="U361" s="67">
        <f>DATEVALUE(Table2[[#This Row],[Ngày]])</f>
        <v>45929</v>
      </c>
      <c r="V361" t="str">
        <f>VLOOKUP(A361,Data_NV!$A:$E,5,0)</f>
        <v>Đang làm việc</v>
      </c>
      <c r="W361" s="11">
        <f>VLOOKUP(A361,Data_NV!$A:$I,8,0)</f>
        <v>0.3125</v>
      </c>
      <c r="X361" s="11">
        <f>VLOOKUP(A361,Data_NV!$A:$I,9,0)</f>
        <v>0.6875</v>
      </c>
      <c r="Y361" s="11">
        <f>IFERROR(TIMEVALUE(Table2[[#This Row],[Vào]]),0)</f>
        <v>0.29792824074074076</v>
      </c>
      <c r="Z361" s="11">
        <f>IFERROR(TIMEVALUE(Table2[[#This Row],[Ra]]),0)</f>
        <v>0</v>
      </c>
      <c r="AA361" t="str">
        <f t="shared" si="36"/>
        <v>x</v>
      </c>
      <c r="AB361" s="14">
        <f t="shared" si="34"/>
        <v>0</v>
      </c>
      <c r="AC361" s="14" t="str">
        <f>IF(VLOOKUP(A361,Data_NV!$A:$I,7,0)="Không","",IF(OR(AND(Y361=0,Z361=0),AND(Y361&lt;&gt;0,Z361&lt;&gt;0)),"","Quên chấm công"))</f>
        <v/>
      </c>
      <c r="AD361" s="14">
        <f>IF(VLOOKUP(A361,Data_NV!$A:$I,7,0)="Không",0,IF(AND(Y361=0,Z361=0),0,IF(X361&lt;=Z361,0,ROUNDDOWN((X361-Z361)*24*60,0))))</f>
        <v>0</v>
      </c>
      <c r="AE361" s="14">
        <f>IF(VLOOKUP(A361,Data_NV!$A:$I,6,0)="Không",0,IF(Z361&lt;=X361,0,ROUNDDOWN((Z361-X361)*24*60,0)))</f>
        <v>0</v>
      </c>
      <c r="AF361" s="29">
        <f t="shared" si="35"/>
        <v>0</v>
      </c>
      <c r="AG361" s="30" t="str">
        <f>IF(AC361="","",IF(COUNTIFS($AC$3:AC361,"Quên chấm công",$S$3:S361,S361)&gt;3,"Không chấm công do vi phạm quá 3 lần",IF(COUNTIFS($AC$3:AC361,"Quên chấm công",$S$3:S361,S361)&gt;2,"Trừ toàn bộ chuyên cần tháng do vi phạm lần 3",IF(COUNTIFS($AC$3:AC361,"Quên chấm công",$S$3:S361,S361)&gt;1,"Trừ 1/2 ngày lương",50000))))</f>
        <v/>
      </c>
      <c r="AH361" s="14" t="str">
        <f>IF(COUNTIFS($AF$3:AF361,"&gt;0",$S$3:S361,S361)&gt;3,"Trừ toàn bộ chuyên cần tháng","")</f>
        <v/>
      </c>
      <c r="AI361" s="14"/>
      <c r="AJ361" s="14"/>
    </row>
    <row r="362" spans="1:36" x14ac:dyDescent="0.25">
      <c r="A362" s="4" t="s">
        <v>628</v>
      </c>
      <c r="B362" s="1" t="s">
        <v>629</v>
      </c>
      <c r="C362" s="1" t="s">
        <v>20</v>
      </c>
      <c r="D362" s="1" t="s">
        <v>136</v>
      </c>
      <c r="E362" s="1" t="s">
        <v>22</v>
      </c>
      <c r="F362" s="1" t="s">
        <v>23</v>
      </c>
      <c r="G362" s="1" t="s">
        <v>12</v>
      </c>
      <c r="H362" s="12" t="s">
        <v>652</v>
      </c>
      <c r="I362" s="1" t="s">
        <v>24</v>
      </c>
      <c r="J362" s="1" t="s">
        <v>25</v>
      </c>
      <c r="K362" s="1" t="s">
        <v>25</v>
      </c>
      <c r="L362" s="1" t="s">
        <v>26</v>
      </c>
      <c r="M362" s="1" t="s">
        <v>25</v>
      </c>
      <c r="N362" s="1" t="s">
        <v>25</v>
      </c>
      <c r="O362" s="1" t="s">
        <v>25</v>
      </c>
      <c r="P362" s="1" t="s">
        <v>25</v>
      </c>
      <c r="Q362" s="1" t="s">
        <v>25</v>
      </c>
      <c r="R362" s="70" t="str">
        <f t="shared" si="33"/>
        <v>5945930</v>
      </c>
      <c r="S362" t="str">
        <f>VLOOKUP(A362,Data_NV!$A:$C,3,0)</f>
        <v>Nguyễn Thanh Phương</v>
      </c>
      <c r="T362" t="str">
        <f>VLOOKUP(A362,Data_NV!$A:$E,4,0)</f>
        <v>Vận Hành</v>
      </c>
      <c r="U362" s="67">
        <f>DATEVALUE(Table2[[#This Row],[Ngày]])</f>
        <v>45930</v>
      </c>
      <c r="V362" t="str">
        <f>VLOOKUP(A362,Data_NV!$A:$E,5,0)</f>
        <v>Đang làm việc</v>
      </c>
      <c r="W362" s="11">
        <f>VLOOKUP(A362,Data_NV!$A:$I,8,0)</f>
        <v>0.3125</v>
      </c>
      <c r="X362" s="11">
        <f>VLOOKUP(A362,Data_NV!$A:$I,9,0)</f>
        <v>0.6875</v>
      </c>
      <c r="Y362" s="11">
        <f>IFERROR(TIMEVALUE(Table2[[#This Row],[Vào]]),0)</f>
        <v>0.3036921296296296</v>
      </c>
      <c r="Z362" s="11">
        <f>IFERROR(TIMEVALUE(Table2[[#This Row],[Ra]]),0)</f>
        <v>0</v>
      </c>
      <c r="AA362" t="str">
        <f t="shared" si="36"/>
        <v>x</v>
      </c>
      <c r="AB362" s="14">
        <f t="shared" si="34"/>
        <v>0</v>
      </c>
      <c r="AC362" s="14" t="str">
        <f>IF(VLOOKUP(A362,Data_NV!$A:$I,7,0)="Không","",IF(OR(AND(Y362=0,Z362=0),AND(Y362&lt;&gt;0,Z362&lt;&gt;0)),"","Quên chấm công"))</f>
        <v/>
      </c>
      <c r="AD362" s="14">
        <f>IF(VLOOKUP(A362,Data_NV!$A:$I,7,0)="Không",0,IF(AND(Y362=0,Z362=0),0,IF(X362&lt;=Z362,0,ROUNDDOWN((X362-Z362)*24*60,0))))</f>
        <v>0</v>
      </c>
      <c r="AE362" s="14">
        <f>IF(VLOOKUP(A362,Data_NV!$A:$I,6,0)="Không",0,IF(Z362&lt;=X362,0,ROUNDDOWN((Z362-X362)*24*60,0)))</f>
        <v>0</v>
      </c>
      <c r="AF362" s="29">
        <f t="shared" si="35"/>
        <v>0</v>
      </c>
      <c r="AG362" s="30" t="str">
        <f>IF(AC362="","",IF(COUNTIFS($AC$3:AC362,"Quên chấm công",$S$3:S362,S362)&gt;3,"Không chấm công do vi phạm quá 3 lần",IF(COUNTIFS($AC$3:AC362,"Quên chấm công",$S$3:S362,S362)&gt;2,"Trừ toàn bộ chuyên cần tháng do vi phạm lần 3",IF(COUNTIFS($AC$3:AC362,"Quên chấm công",$S$3:S362,S362)&gt;1,"Trừ 1/2 ngày lương",50000))))</f>
        <v/>
      </c>
      <c r="AH362" s="14" t="str">
        <f>IF(COUNTIFS($AF$3:AF362,"&gt;0",$S$3:S362,S362)&gt;3,"Trừ toàn bộ chuyên cần tháng","")</f>
        <v/>
      </c>
      <c r="AI362" s="14"/>
      <c r="AJ362" s="14"/>
    </row>
  </sheetData>
  <phoneticPr fontId="43" type="noConversion"/>
  <conditionalFormatting sqref="A2:AJ362">
    <cfRule type="expression" dxfId="18" priority="1">
      <formula>$AG2="Không chấm công do vi phạm quá 3 lần"</formula>
    </cfRule>
    <cfRule type="expression" dxfId="17" priority="2">
      <formula>$AC2="Quên Chấm Công"</formula>
    </cfRule>
    <cfRule type="expression" dxfId="16" priority="3">
      <formula>$AH2="Trừ toàn bộ chuyên cần tháng"</formula>
    </cfRule>
  </conditionalFormatting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2AC3-5426-4EFE-A920-CF2031E89790}">
  <dimension ref="A1:AP3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13" sqref="J13"/>
    </sheetView>
  </sheetViews>
  <sheetFormatPr defaultRowHeight="15" x14ac:dyDescent="0.25"/>
  <cols>
    <col min="1" max="1" width="3.28515625" bestFit="1" customWidth="1"/>
    <col min="2" max="2" width="4.42578125" bestFit="1" customWidth="1"/>
    <col min="3" max="3" width="23.28515625" bestFit="1" customWidth="1"/>
    <col min="42" max="42" width="11.5703125" bestFit="1" customWidth="1"/>
  </cols>
  <sheetData>
    <row r="1" spans="1:42" ht="20.25" x14ac:dyDescent="0.25">
      <c r="A1" s="31"/>
      <c r="B1" s="32"/>
      <c r="C1" s="79" t="s">
        <v>750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33"/>
      <c r="AM1" s="33"/>
      <c r="AN1" s="80">
        <f>DATE(U2,R2,1)</f>
        <v>45901</v>
      </c>
      <c r="AO1" s="80"/>
      <c r="AP1" s="34"/>
    </row>
    <row r="2" spans="1:42" ht="15.75" x14ac:dyDescent="0.25">
      <c r="A2" s="31"/>
      <c r="B2" s="35"/>
      <c r="C2" s="35"/>
      <c r="D2" s="35"/>
      <c r="E2" s="35"/>
      <c r="F2" s="36"/>
      <c r="G2" s="36"/>
      <c r="H2" s="36"/>
      <c r="I2" s="36"/>
      <c r="J2" s="36"/>
      <c r="K2" s="36"/>
      <c r="L2" s="36"/>
      <c r="M2" s="36"/>
      <c r="N2" s="37"/>
      <c r="O2" s="36"/>
      <c r="P2" s="31"/>
      <c r="Q2" s="38" t="s">
        <v>751</v>
      </c>
      <c r="R2" s="81">
        <v>9</v>
      </c>
      <c r="S2" s="81"/>
      <c r="T2" s="38" t="s">
        <v>752</v>
      </c>
      <c r="U2" s="82">
        <v>2025</v>
      </c>
      <c r="V2" s="82"/>
      <c r="W2" s="82"/>
      <c r="X2" s="39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31"/>
      <c r="AK2" s="31"/>
      <c r="AL2" s="31"/>
      <c r="AM2" s="31"/>
      <c r="AN2" s="31"/>
      <c r="AO2" s="31"/>
      <c r="AP2" s="34"/>
    </row>
    <row r="3" spans="1:42" x14ac:dyDescent="0.25">
      <c r="A3" s="31"/>
      <c r="B3" s="83" t="s">
        <v>666</v>
      </c>
      <c r="C3" s="84" t="s">
        <v>667</v>
      </c>
      <c r="D3" s="41">
        <f>AN1</f>
        <v>45901</v>
      </c>
      <c r="E3" s="41">
        <f t="shared" ref="E3:T4" si="0">D3+1</f>
        <v>45902</v>
      </c>
      <c r="F3" s="41">
        <f t="shared" si="0"/>
        <v>45903</v>
      </c>
      <c r="G3" s="41">
        <f t="shared" si="0"/>
        <v>45904</v>
      </c>
      <c r="H3" s="41">
        <f t="shared" si="0"/>
        <v>45905</v>
      </c>
      <c r="I3" s="41">
        <f t="shared" si="0"/>
        <v>45906</v>
      </c>
      <c r="J3" s="41">
        <f t="shared" si="0"/>
        <v>45907</v>
      </c>
      <c r="K3" s="41">
        <f t="shared" si="0"/>
        <v>45908</v>
      </c>
      <c r="L3" s="41">
        <f t="shared" si="0"/>
        <v>45909</v>
      </c>
      <c r="M3" s="41">
        <f t="shared" si="0"/>
        <v>45910</v>
      </c>
      <c r="N3" s="41">
        <f t="shared" si="0"/>
        <v>45911</v>
      </c>
      <c r="O3" s="41">
        <f t="shared" si="0"/>
        <v>45912</v>
      </c>
      <c r="P3" s="41">
        <f t="shared" si="0"/>
        <v>45913</v>
      </c>
      <c r="Q3" s="41">
        <f t="shared" si="0"/>
        <v>45914</v>
      </c>
      <c r="R3" s="41">
        <f t="shared" si="0"/>
        <v>45915</v>
      </c>
      <c r="S3" s="41">
        <f t="shared" si="0"/>
        <v>45916</v>
      </c>
      <c r="T3" s="41">
        <f t="shared" si="0"/>
        <v>45917</v>
      </c>
      <c r="U3" s="41">
        <f t="shared" ref="U3:AE4" si="1">T3+1</f>
        <v>45918</v>
      </c>
      <c r="V3" s="41">
        <f t="shared" si="1"/>
        <v>45919</v>
      </c>
      <c r="W3" s="41">
        <f t="shared" si="1"/>
        <v>45920</v>
      </c>
      <c r="X3" s="41">
        <f t="shared" si="1"/>
        <v>45921</v>
      </c>
      <c r="Y3" s="41">
        <f t="shared" si="1"/>
        <v>45922</v>
      </c>
      <c r="Z3" s="41">
        <f t="shared" si="1"/>
        <v>45923</v>
      </c>
      <c r="AA3" s="41">
        <f t="shared" si="1"/>
        <v>45924</v>
      </c>
      <c r="AB3" s="41">
        <f t="shared" si="1"/>
        <v>45925</v>
      </c>
      <c r="AC3" s="41">
        <f t="shared" si="1"/>
        <v>45926</v>
      </c>
      <c r="AD3" s="41">
        <f t="shared" si="1"/>
        <v>45927</v>
      </c>
      <c r="AE3" s="41">
        <f t="shared" si="1"/>
        <v>45928</v>
      </c>
      <c r="AF3" s="41">
        <f t="shared" ref="AF3:AH4" si="2">IF(AE3="","",IF(DAY(AE3+1)=1,"",AE3+1))</f>
        <v>45929</v>
      </c>
      <c r="AG3" s="41">
        <f t="shared" si="2"/>
        <v>45930</v>
      </c>
      <c r="AH3" s="41" t="str">
        <f t="shared" si="2"/>
        <v/>
      </c>
      <c r="AI3" s="77" t="s">
        <v>711</v>
      </c>
      <c r="AJ3" s="77" t="s">
        <v>753</v>
      </c>
      <c r="AK3" s="77" t="s">
        <v>754</v>
      </c>
      <c r="AL3" s="77" t="s">
        <v>755</v>
      </c>
      <c r="AM3" s="75" t="s">
        <v>756</v>
      </c>
      <c r="AN3" s="77" t="s">
        <v>757</v>
      </c>
      <c r="AO3" s="77" t="s">
        <v>758</v>
      </c>
      <c r="AP3" s="78" t="s">
        <v>759</v>
      </c>
    </row>
    <row r="4" spans="1:42" ht="43.5" x14ac:dyDescent="0.25">
      <c r="A4" s="31" t="s">
        <v>668</v>
      </c>
      <c r="B4" s="83"/>
      <c r="C4" s="84"/>
      <c r="D4" s="42">
        <f>AN1</f>
        <v>45901</v>
      </c>
      <c r="E4" s="43">
        <f t="shared" si="0"/>
        <v>45902</v>
      </c>
      <c r="F4" s="43">
        <f>E4+1</f>
        <v>45903</v>
      </c>
      <c r="G4" s="43">
        <f t="shared" si="0"/>
        <v>45904</v>
      </c>
      <c r="H4" s="43">
        <f t="shared" si="0"/>
        <v>45905</v>
      </c>
      <c r="I4" s="43">
        <f t="shared" si="0"/>
        <v>45906</v>
      </c>
      <c r="J4" s="43">
        <f t="shared" si="0"/>
        <v>45907</v>
      </c>
      <c r="K4" s="43">
        <f t="shared" si="0"/>
        <v>45908</v>
      </c>
      <c r="L4" s="43">
        <f t="shared" si="0"/>
        <v>45909</v>
      </c>
      <c r="M4" s="43">
        <f t="shared" si="0"/>
        <v>45910</v>
      </c>
      <c r="N4" s="43">
        <f t="shared" si="0"/>
        <v>45911</v>
      </c>
      <c r="O4" s="43">
        <f t="shared" si="0"/>
        <v>45912</v>
      </c>
      <c r="P4" s="43">
        <f t="shared" si="0"/>
        <v>45913</v>
      </c>
      <c r="Q4" s="43">
        <f t="shared" si="0"/>
        <v>45914</v>
      </c>
      <c r="R4" s="43">
        <f t="shared" si="0"/>
        <v>45915</v>
      </c>
      <c r="S4" s="43">
        <f t="shared" si="0"/>
        <v>45916</v>
      </c>
      <c r="T4" s="43">
        <f t="shared" si="0"/>
        <v>45917</v>
      </c>
      <c r="U4" s="43">
        <f t="shared" si="1"/>
        <v>45918</v>
      </c>
      <c r="V4" s="43">
        <f t="shared" si="1"/>
        <v>45919</v>
      </c>
      <c r="W4" s="43">
        <f t="shared" si="1"/>
        <v>45920</v>
      </c>
      <c r="X4" s="43">
        <f t="shared" si="1"/>
        <v>45921</v>
      </c>
      <c r="Y4" s="43">
        <f t="shared" si="1"/>
        <v>45922</v>
      </c>
      <c r="Z4" s="43">
        <f t="shared" si="1"/>
        <v>45923</v>
      </c>
      <c r="AA4" s="43">
        <f t="shared" si="1"/>
        <v>45924</v>
      </c>
      <c r="AB4" s="43">
        <f t="shared" si="1"/>
        <v>45925</v>
      </c>
      <c r="AC4" s="43">
        <f t="shared" si="1"/>
        <v>45926</v>
      </c>
      <c r="AD4" s="43">
        <f t="shared" si="1"/>
        <v>45927</v>
      </c>
      <c r="AE4" s="43">
        <f t="shared" si="1"/>
        <v>45928</v>
      </c>
      <c r="AF4" s="43">
        <f t="shared" si="2"/>
        <v>45929</v>
      </c>
      <c r="AG4" s="43">
        <f t="shared" si="2"/>
        <v>45930</v>
      </c>
      <c r="AH4" s="43" t="str">
        <f t="shared" si="2"/>
        <v/>
      </c>
      <c r="AI4" s="77"/>
      <c r="AJ4" s="77"/>
      <c r="AK4" s="77"/>
      <c r="AL4" s="77"/>
      <c r="AM4" s="76"/>
      <c r="AN4" s="77"/>
      <c r="AO4" s="77" t="s">
        <v>760</v>
      </c>
      <c r="AP4" s="78"/>
    </row>
    <row r="5" spans="1:42" ht="15.75" x14ac:dyDescent="0.25">
      <c r="A5" s="31"/>
      <c r="B5" s="52"/>
      <c r="C5" s="53" t="s">
        <v>761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 t="str">
        <f t="shared" ref="AG5" si="3">IF(AF5="","",IF(DAY(AF5+1)=1,"",AF5+1))</f>
        <v/>
      </c>
      <c r="AH5" s="54"/>
      <c r="AI5" s="54"/>
      <c r="AJ5" s="54"/>
      <c r="AK5" s="54"/>
      <c r="AL5" s="54"/>
      <c r="AM5" s="54"/>
      <c r="AN5" s="54"/>
      <c r="AO5" s="54"/>
      <c r="AP5" s="54"/>
    </row>
    <row r="6" spans="1:42" ht="15.75" x14ac:dyDescent="0.25">
      <c r="A6" s="31" t="s">
        <v>18</v>
      </c>
      <c r="B6" s="44">
        <v>1</v>
      </c>
      <c r="C6" s="45" t="s">
        <v>678</v>
      </c>
      <c r="D6" s="46" t="str">
        <f>IF(D$3="","",IF(TEXT(D$3,"ddd")="CN","CN",VLOOKUP($A6&amp;D$3,Data_Cong!$R:$AJ,10,0)))</f>
        <v>L</v>
      </c>
      <c r="E6" s="46" t="str">
        <f>IF(E$3="","",IF(TEXT(E$3,"ddd")="CN","CN",VLOOKUP($A6&amp;E$3,Data_Cong!$R:$AJ,10,0)))</f>
        <v>L</v>
      </c>
      <c r="F6" s="46" t="str">
        <f>IF(F$3="","",IF(TEXT(F$3,"ddd")="CN","CN",VLOOKUP($A6&amp;F$3,Data_Cong!$R:$AJ,10,0)))</f>
        <v>x</v>
      </c>
      <c r="G6" s="46" t="str">
        <f>IF(G$3="","",IF(TEXT(G$3,"ddd")="CN","CN",VLOOKUP($A6&amp;G$3,Data_Cong!$R:$AJ,10,0)))</f>
        <v>x</v>
      </c>
      <c r="H6" s="46" t="str">
        <f>IF(H$3="","",IF(TEXT(H$3,"ddd")="CN","CN",VLOOKUP($A6&amp;H$3,Data_Cong!$R:$AJ,10,0)))</f>
        <v>x</v>
      </c>
      <c r="I6" s="46" t="str">
        <f>IF(I$3="","",IF(TEXT(I$3,"ddd")="CN","CN",VLOOKUP($A6&amp;I$3,Data_Cong!$R:$AJ,10,0)))</f>
        <v>x</v>
      </c>
      <c r="J6" s="46" t="str">
        <f>IF(J$3="","",IF(TEXT(J$3,"ddd")="CN","CN",VLOOKUP($A6&amp;J$3,Data_Cong!$R:$AJ,10,0)))</f>
        <v>CN</v>
      </c>
      <c r="K6" s="46" t="str">
        <f>IF(K$3="","",IF(TEXT(K$3,"ddd")="CN","CN",VLOOKUP($A6&amp;K$3,Data_Cong!$R:$AJ,10,0)))</f>
        <v>x</v>
      </c>
      <c r="L6" s="46" t="str">
        <f>IF(L$3="","",IF(TEXT(L$3,"ddd")="CN","CN",VLOOKUP($A6&amp;L$3,Data_Cong!$R:$AJ,10,0)))</f>
        <v>x</v>
      </c>
      <c r="M6" s="46" t="str">
        <f>IF(M$3="","",IF(TEXT(M$3,"ddd")="CN","CN",VLOOKUP($A6&amp;M$3,Data_Cong!$R:$AJ,10,0)))</f>
        <v>x</v>
      </c>
      <c r="N6" s="46" t="str">
        <f>IF(N$3="","",IF(TEXT(N$3,"ddd")="CN","CN",VLOOKUP($A6&amp;N$3,Data_Cong!$R:$AJ,10,0)))</f>
        <v>x</v>
      </c>
      <c r="O6" s="46" t="str">
        <f>IF(O$3="","",IF(TEXT(O$3,"ddd")="CN","CN",VLOOKUP($A6&amp;O$3,Data_Cong!$R:$AJ,10,0)))</f>
        <v>1/2</v>
      </c>
      <c r="P6" s="46" t="str">
        <f>IF(P$3="","",IF(TEXT(P$3,"ddd")="CN","CN",VLOOKUP($A6&amp;P$3,Data_Cong!$R:$AJ,10,0)))</f>
        <v>x</v>
      </c>
      <c r="Q6" s="46" t="str">
        <f>IF(Q$3="","",IF(TEXT(Q$3,"ddd")="CN","CN",VLOOKUP($A6&amp;Q$3,Data_Cong!$R:$AJ,10,0)))</f>
        <v>CN</v>
      </c>
      <c r="R6" s="46" t="str">
        <f>IF(R$3="","",IF(TEXT(R$3,"ddd")="CN","CN",VLOOKUP($A6&amp;R$3,Data_Cong!$R:$AJ,10,0)))</f>
        <v>x</v>
      </c>
      <c r="S6" s="46" t="str">
        <f>IF(S$3="","",IF(TEXT(S$3,"ddd")="CN","CN",VLOOKUP($A6&amp;S$3,Data_Cong!$R:$AJ,10,0)))</f>
        <v>x</v>
      </c>
      <c r="T6" s="46" t="str">
        <f>IF(T$3="","",IF(TEXT(T$3,"ddd")="CN","CN",VLOOKUP($A6&amp;T$3,Data_Cong!$R:$AJ,10,0)))</f>
        <v>x</v>
      </c>
      <c r="U6" s="46" t="str">
        <f>IF(U$3="","",IF(TEXT(U$3,"ddd")="CN","CN",VLOOKUP($A6&amp;U$3,Data_Cong!$R:$AJ,10,0)))</f>
        <v>x</v>
      </c>
      <c r="V6" s="46" t="str">
        <f>IF(V$3="","",IF(TEXT(V$3,"ddd")="CN","CN",VLOOKUP($A6&amp;V$3,Data_Cong!$R:$AJ,10,0)))</f>
        <v>x</v>
      </c>
      <c r="W6" s="46" t="str">
        <f>IF(W$3="","",IF(TEXT(W$3,"ddd")="CN","CN",VLOOKUP($A6&amp;W$3,Data_Cong!$R:$AJ,10,0)))</f>
        <v>x</v>
      </c>
      <c r="X6" s="46" t="str">
        <f>IF(X$3="","",IF(TEXT(X$3,"ddd")="CN","CN",VLOOKUP($A6&amp;X$3,Data_Cong!$R:$AJ,10,0)))</f>
        <v>CN</v>
      </c>
      <c r="Y6" s="46" t="str">
        <f>IF(Y$3="","",IF(TEXT(Y$3,"ddd")="CN","CN",VLOOKUP($A6&amp;Y$3,Data_Cong!$R:$AJ,10,0)))</f>
        <v>x</v>
      </c>
      <c r="Z6" s="46" t="str">
        <f>IF(Z$3="","",IF(TEXT(Z$3,"ddd")="CN","CN",VLOOKUP($A6&amp;Z$3,Data_Cong!$R:$AJ,10,0)))</f>
        <v>x</v>
      </c>
      <c r="AA6" s="46" t="str">
        <f>IF(AA$3="","",IF(TEXT(AA$3,"ddd")="CN","CN",VLOOKUP($A6&amp;AA$3,Data_Cong!$R:$AJ,10,0)))</f>
        <v>x</v>
      </c>
      <c r="AB6" s="46" t="str">
        <f>IF(AB$3="","",IF(TEXT(AB$3,"ddd")="CN","CN",VLOOKUP($A6&amp;AB$3,Data_Cong!$R:$AJ,10,0)))</f>
        <v>x</v>
      </c>
      <c r="AC6" s="46" t="str">
        <f>IF(AC$3="","",IF(TEXT(AC$3,"ddd")="CN","CN",VLOOKUP($A6&amp;AC$3,Data_Cong!$R:$AJ,10,0)))</f>
        <v/>
      </c>
      <c r="AD6" s="46" t="str">
        <f>IF(AD$3="","",IF(TEXT(AD$3,"ddd")="CN","CN",VLOOKUP($A6&amp;AD$3,Data_Cong!$R:$AJ,10,0)))</f>
        <v>x</v>
      </c>
      <c r="AE6" s="46" t="str">
        <f>IF(AE$3="","",IF(TEXT(AE$3,"ddd")="CN","CN",VLOOKUP($A6&amp;AE$3,Data_Cong!$R:$AJ,10,0)))</f>
        <v>CN</v>
      </c>
      <c r="AF6" s="46" t="str">
        <f>IF(AF$3="","",IF(TEXT(AF$3,"ddd")="CN","CN",VLOOKUP($A6&amp;AF$3,Data_Cong!$R:$AJ,10,0)))</f>
        <v>x</v>
      </c>
      <c r="AG6" s="46" t="str">
        <f>IF(AG$3="","",IF(TEXT(AG$3,"ddd")="CN","CN",VLOOKUP($A6&amp;AG$3,Data_Cong!$R:$AJ,10,0)))</f>
        <v>x</v>
      </c>
      <c r="AH6" s="46" t="str">
        <f>IF(AH$3="","",IF(TEXT(AH$3,"ddd")="CN","CN",VLOOKUP($A6&amp;AH$3,Data_Cong!$R:$AJ,10,0)))</f>
        <v/>
      </c>
      <c r="AI6" s="47" cm="1">
        <f t="array" ref="AI6">SUMPRODUCT((D6:AH6="x")*1+(D6:AH6="P")*1+(D6:AH6="1/2P")*1+(D6:AH6="1/2")*0.5+(D6:AH6="2x")*2+(D6:AH6="L")*1)</f>
        <v>24.5</v>
      </c>
      <c r="AJ6" s="48">
        <f>SUMIF(Data_Cong!A:A,$A6,Data_Cong!AE:AE)</f>
        <v>0</v>
      </c>
      <c r="AK6" s="49">
        <f>COUNTIFS(Data_Cong!AB:AB,"&gt;5",Data_Cong!A:A,A6)</f>
        <v>0</v>
      </c>
      <c r="AL6" s="50"/>
      <c r="AM6" s="50">
        <v>10</v>
      </c>
      <c r="AN6" s="47" cm="1">
        <f t="array" ref="AN6">IF((AM6+1)&gt;12,12,(AM6+1))-SUMPRODUCT((D6:AH6="P")*1+(D6:AH6="1/2P")*0.5)</f>
        <v>11</v>
      </c>
      <c r="AO6" s="47"/>
      <c r="AP6" s="51">
        <f>SUMIFS(Data_Cong!AF:AF,Data_Cong!A:A,$A6)+SUMIFS(Data_Cong!AG:AG,Data_Cong!A:A,$A6)</f>
        <v>50000</v>
      </c>
    </row>
    <row r="7" spans="1:42" ht="15.75" x14ac:dyDescent="0.25">
      <c r="A7" s="31" t="s">
        <v>172</v>
      </c>
      <c r="B7" s="44">
        <v>2</v>
      </c>
      <c r="C7" s="45" t="s">
        <v>679</v>
      </c>
      <c r="D7" s="46" t="str">
        <f>IF(D$3="","",IF(TEXT(D$3,"ddd")="CN","CN",VLOOKUP($A7&amp;D$3,Data_Cong!$R:$AJ,10,0)))</f>
        <v>L</v>
      </c>
      <c r="E7" s="46" t="str">
        <f>IF(E$3="","",IF(TEXT(E$3,"ddd")="CN","CN",VLOOKUP($A7&amp;E$3,Data_Cong!$R:$AJ,10,0)))</f>
        <v>L</v>
      </c>
      <c r="F7" s="46" t="str">
        <f>IF(F$3="","",IF(TEXT(F$3,"ddd")="CN","CN",VLOOKUP($A7&amp;F$3,Data_Cong!$R:$AJ,10,0)))</f>
        <v>x</v>
      </c>
      <c r="G7" s="46" t="str">
        <f>IF(G$3="","",IF(TEXT(G$3,"ddd")="CN","CN",VLOOKUP($A7&amp;G$3,Data_Cong!$R:$AJ,10,0)))</f>
        <v>x</v>
      </c>
      <c r="H7" s="46" t="str">
        <f>IF(H$3="","",IF(TEXT(H$3,"ddd")="CN","CN",VLOOKUP($A7&amp;H$3,Data_Cong!$R:$AJ,10,0)))</f>
        <v>x</v>
      </c>
      <c r="I7" s="46" t="str">
        <f>IF(I$3="","",IF(TEXT(I$3,"ddd")="CN","CN",VLOOKUP($A7&amp;I$3,Data_Cong!$R:$AJ,10,0)))</f>
        <v>x</v>
      </c>
      <c r="J7" s="46" t="str">
        <f>IF(J$3="","",IF(TEXT(J$3,"ddd")="CN","CN",VLOOKUP($A7&amp;J$3,Data_Cong!$R:$AJ,10,0)))</f>
        <v>CN</v>
      </c>
      <c r="K7" s="46" t="str">
        <f>IF(K$3="","",IF(TEXT(K$3,"ddd")="CN","CN",VLOOKUP($A7&amp;K$3,Data_Cong!$R:$AJ,10,0)))</f>
        <v>x</v>
      </c>
      <c r="L7" s="46" t="str">
        <f>IF(L$3="","",IF(TEXT(L$3,"ddd")="CN","CN",VLOOKUP($A7&amp;L$3,Data_Cong!$R:$AJ,10,0)))</f>
        <v>x</v>
      </c>
      <c r="M7" s="46" t="str">
        <f>IF(M$3="","",IF(TEXT(M$3,"ddd")="CN","CN",VLOOKUP($A7&amp;M$3,Data_Cong!$R:$AJ,10,0)))</f>
        <v>x</v>
      </c>
      <c r="N7" s="46" t="str">
        <f>IF(N$3="","",IF(TEXT(N$3,"ddd")="CN","CN",VLOOKUP($A7&amp;N$3,Data_Cong!$R:$AJ,10,0)))</f>
        <v>x</v>
      </c>
      <c r="O7" s="46" t="str">
        <f>IF(O$3="","",IF(TEXT(O$3,"ddd")="CN","CN",VLOOKUP($A7&amp;O$3,Data_Cong!$R:$AJ,10,0)))</f>
        <v>x</v>
      </c>
      <c r="P7" s="46" t="str">
        <f>IF(P$3="","",IF(TEXT(P$3,"ddd")="CN","CN",VLOOKUP($A7&amp;P$3,Data_Cong!$R:$AJ,10,0)))</f>
        <v>x</v>
      </c>
      <c r="Q7" s="46" t="str">
        <f>IF(Q$3="","",IF(TEXT(Q$3,"ddd")="CN","CN",VLOOKUP($A7&amp;Q$3,Data_Cong!$R:$AJ,10,0)))</f>
        <v>CN</v>
      </c>
      <c r="R7" s="46" t="str">
        <f>IF(R$3="","",IF(TEXT(R$3,"ddd")="CN","CN",VLOOKUP($A7&amp;R$3,Data_Cong!$R:$AJ,10,0)))</f>
        <v>x</v>
      </c>
      <c r="S7" s="46" t="str">
        <f>IF(S$3="","",IF(TEXT(S$3,"ddd")="CN","CN",VLOOKUP($A7&amp;S$3,Data_Cong!$R:$AJ,10,0)))</f>
        <v>x</v>
      </c>
      <c r="T7" s="46" t="str">
        <f>IF(T$3="","",IF(TEXT(T$3,"ddd")="CN","CN",VLOOKUP($A7&amp;T$3,Data_Cong!$R:$AJ,10,0)))</f>
        <v>x</v>
      </c>
      <c r="U7" s="46" t="str">
        <f>IF(U$3="","",IF(TEXT(U$3,"ddd")="CN","CN",VLOOKUP($A7&amp;U$3,Data_Cong!$R:$AJ,10,0)))</f>
        <v>x</v>
      </c>
      <c r="V7" s="46" t="str">
        <f>IF(V$3="","",IF(TEXT(V$3,"ddd")="CN","CN",VLOOKUP($A7&amp;V$3,Data_Cong!$R:$AJ,10,0)))</f>
        <v>x</v>
      </c>
      <c r="W7" s="46" t="str">
        <f>IF(W$3="","",IF(TEXT(W$3,"ddd")="CN","CN",VLOOKUP($A7&amp;W$3,Data_Cong!$R:$AJ,10,0)))</f>
        <v>x</v>
      </c>
      <c r="X7" s="46" t="str">
        <f>IF(X$3="","",IF(TEXT(X$3,"ddd")="CN","CN",VLOOKUP($A7&amp;X$3,Data_Cong!$R:$AJ,10,0)))</f>
        <v>CN</v>
      </c>
      <c r="Y7" s="46" t="str">
        <f>IF(Y$3="","",IF(TEXT(Y$3,"ddd")="CN","CN",VLOOKUP($A7&amp;Y$3,Data_Cong!$R:$AJ,10,0)))</f>
        <v>x</v>
      </c>
      <c r="Z7" s="46" t="str">
        <f>IF(Z$3="","",IF(TEXT(Z$3,"ddd")="CN","CN",VLOOKUP($A7&amp;Z$3,Data_Cong!$R:$AJ,10,0)))</f>
        <v>x</v>
      </c>
      <c r="AA7" s="46" t="str">
        <f>IF(AA$3="","",IF(TEXT(AA$3,"ddd")="CN","CN",VLOOKUP($A7&amp;AA$3,Data_Cong!$R:$AJ,10,0)))</f>
        <v>x</v>
      </c>
      <c r="AB7" s="46" t="str">
        <f>IF(AB$3="","",IF(TEXT(AB$3,"ddd")="CN","CN",VLOOKUP($A7&amp;AB$3,Data_Cong!$R:$AJ,10,0)))</f>
        <v>x</v>
      </c>
      <c r="AC7" s="46" t="str">
        <f>IF(AC$3="","",IF(TEXT(AC$3,"ddd")="CN","CN",VLOOKUP($A7&amp;AC$3,Data_Cong!$R:$AJ,10,0)))</f>
        <v>x</v>
      </c>
      <c r="AD7" s="46" t="str">
        <f>IF(AD$3="","",IF(TEXT(AD$3,"ddd")="CN","CN",VLOOKUP($A7&amp;AD$3,Data_Cong!$R:$AJ,10,0)))</f>
        <v>x</v>
      </c>
      <c r="AE7" s="46" t="str">
        <f>IF(AE$3="","",IF(TEXT(AE$3,"ddd")="CN","CN",VLOOKUP($A7&amp;AE$3,Data_Cong!$R:$AJ,10,0)))</f>
        <v>CN</v>
      </c>
      <c r="AF7" s="46" t="str">
        <f>IF(AF$3="","",IF(TEXT(AF$3,"ddd")="CN","CN",VLOOKUP($A7&amp;AF$3,Data_Cong!$R:$AJ,10,0)))</f>
        <v>x</v>
      </c>
      <c r="AG7" s="46" t="str">
        <f>IF(AG$3="","",IF(TEXT(AG$3,"ddd")="CN","CN",VLOOKUP($A7&amp;AG$3,Data_Cong!$R:$AJ,10,0)))</f>
        <v>x</v>
      </c>
      <c r="AH7" s="46" t="str">
        <f>IF(AH$3="","",IF(TEXT(AH$3,"ddd")="CN","CN",VLOOKUP($A7&amp;AH$3,Data_Cong!$R:$AJ,10,0)))</f>
        <v/>
      </c>
      <c r="AI7" s="47" cm="1">
        <f t="array" ref="AI7">SUMPRODUCT((D7:AH7="x")*1+(D7:AH7="P")*1+(D7:AH7="1/2P")*1+(D7:AH7="1/2")*0.5+(D7:AH7="2x")*2+(D7:AH7="L")*1)</f>
        <v>26</v>
      </c>
      <c r="AJ7" s="48">
        <f>SUMIF(Data_Cong!A:A,$A7,Data_Cong!AE:AE)</f>
        <v>0</v>
      </c>
      <c r="AK7" s="49">
        <f>COUNTIFS(Data_Cong!AB:AB,"&gt;5",Data_Cong!A:A,A7)</f>
        <v>0</v>
      </c>
      <c r="AL7" s="50"/>
      <c r="AM7" s="50">
        <v>7.5</v>
      </c>
      <c r="AN7" s="47" cm="1">
        <f t="array" ref="AN7">IF((AM7+1)&gt;12,12,(AM7+1))-SUMPRODUCT((D7:AH7="P")*1+(D7:AH7="1/2P")*0.5)</f>
        <v>8.5</v>
      </c>
      <c r="AO7" s="47"/>
      <c r="AP7" s="51">
        <f>SUMIFS(Data_Cong!AF:AF,Data_Cong!A:A,$A7)+SUMIFS(Data_Cong!AG:AG,Data_Cong!A:A,$A7)</f>
        <v>0</v>
      </c>
    </row>
    <row r="8" spans="1:42" ht="15.75" x14ac:dyDescent="0.25">
      <c r="A8" s="31" t="s">
        <v>198</v>
      </c>
      <c r="B8" s="44">
        <v>3</v>
      </c>
      <c r="C8" s="45" t="s">
        <v>680</v>
      </c>
      <c r="D8" s="46" t="str">
        <f>IF(D$3="","",IF(TEXT(D$3,"ddd")="CN","CN",VLOOKUP($A8&amp;D$3,Data_Cong!$R:$AJ,10,0)))</f>
        <v>L</v>
      </c>
      <c r="E8" s="46" t="str">
        <f>IF(E$3="","",IF(TEXT(E$3,"ddd")="CN","CN",VLOOKUP($A8&amp;E$3,Data_Cong!$R:$AJ,10,0)))</f>
        <v>L</v>
      </c>
      <c r="F8" s="46" t="str">
        <f>IF(F$3="","",IF(TEXT(F$3,"ddd")="CN","CN",VLOOKUP($A8&amp;F$3,Data_Cong!$R:$AJ,10,0)))</f>
        <v>x</v>
      </c>
      <c r="G8" s="46" t="str">
        <f>IF(G$3="","",IF(TEXT(G$3,"ddd")="CN","CN",VLOOKUP($A8&amp;G$3,Data_Cong!$R:$AJ,10,0)))</f>
        <v/>
      </c>
      <c r="H8" s="46" t="str">
        <f>IF(H$3="","",IF(TEXT(H$3,"ddd")="CN","CN",VLOOKUP($A8&amp;H$3,Data_Cong!$R:$AJ,10,0)))</f>
        <v>x</v>
      </c>
      <c r="I8" s="46" t="str">
        <f>IF(I$3="","",IF(TEXT(I$3,"ddd")="CN","CN",VLOOKUP($A8&amp;I$3,Data_Cong!$R:$AJ,10,0)))</f>
        <v>x</v>
      </c>
      <c r="J8" s="46" t="str">
        <f>IF(J$3="","",IF(TEXT(J$3,"ddd")="CN","CN",VLOOKUP($A8&amp;J$3,Data_Cong!$R:$AJ,10,0)))</f>
        <v>CN</v>
      </c>
      <c r="K8" s="46" t="str">
        <f>IF(K$3="","",IF(TEXT(K$3,"ddd")="CN","CN",VLOOKUP($A8&amp;K$3,Data_Cong!$R:$AJ,10,0)))</f>
        <v>x</v>
      </c>
      <c r="L8" s="46" t="str">
        <f>IF(L$3="","",IF(TEXT(L$3,"ddd")="CN","CN",VLOOKUP($A8&amp;L$3,Data_Cong!$R:$AJ,10,0)))</f>
        <v>x</v>
      </c>
      <c r="M8" s="46" t="str">
        <f>IF(M$3="","",IF(TEXT(M$3,"ddd")="CN","CN",VLOOKUP($A8&amp;M$3,Data_Cong!$R:$AJ,10,0)))</f>
        <v>x</v>
      </c>
      <c r="N8" s="46" t="str">
        <f>IF(N$3="","",IF(TEXT(N$3,"ddd")="CN","CN",VLOOKUP($A8&amp;N$3,Data_Cong!$R:$AJ,10,0)))</f>
        <v>x</v>
      </c>
      <c r="O8" s="46" t="str">
        <f>IF(O$3="","",IF(TEXT(O$3,"ddd")="CN","CN",VLOOKUP($A8&amp;O$3,Data_Cong!$R:$AJ,10,0)))</f>
        <v>x</v>
      </c>
      <c r="P8" s="46" t="str">
        <f>IF(P$3="","",IF(TEXT(P$3,"ddd")="CN","CN",VLOOKUP($A8&amp;P$3,Data_Cong!$R:$AJ,10,0)))</f>
        <v>x</v>
      </c>
      <c r="Q8" s="46" t="str">
        <f>IF(Q$3="","",IF(TEXT(Q$3,"ddd")="CN","CN",VLOOKUP($A8&amp;Q$3,Data_Cong!$R:$AJ,10,0)))</f>
        <v>CN</v>
      </c>
      <c r="R8" s="46" t="str">
        <f>IF(R$3="","",IF(TEXT(R$3,"ddd")="CN","CN",VLOOKUP($A8&amp;R$3,Data_Cong!$R:$AJ,10,0)))</f>
        <v>x</v>
      </c>
      <c r="S8" s="46" t="str">
        <f>IF(S$3="","",IF(TEXT(S$3,"ddd")="CN","CN",VLOOKUP($A8&amp;S$3,Data_Cong!$R:$AJ,10,0)))</f>
        <v>x</v>
      </c>
      <c r="T8" s="46" t="str">
        <f>IF(T$3="","",IF(TEXT(T$3,"ddd")="CN","CN",VLOOKUP($A8&amp;T$3,Data_Cong!$R:$AJ,10,0)))</f>
        <v>x</v>
      </c>
      <c r="U8" s="46" t="str">
        <f>IF(U$3="","",IF(TEXT(U$3,"ddd")="CN","CN",VLOOKUP($A8&amp;U$3,Data_Cong!$R:$AJ,10,0)))</f>
        <v>x</v>
      </c>
      <c r="V8" s="46" t="str">
        <f>IF(V$3="","",IF(TEXT(V$3,"ddd")="CN","CN",VLOOKUP($A8&amp;V$3,Data_Cong!$R:$AJ,10,0)))</f>
        <v>x</v>
      </c>
      <c r="W8" s="46" t="str">
        <f>IF(W$3="","",IF(TEXT(W$3,"ddd")="CN","CN",VLOOKUP($A8&amp;W$3,Data_Cong!$R:$AJ,10,0)))</f>
        <v>x</v>
      </c>
      <c r="X8" s="46" t="str">
        <f>IF(X$3="","",IF(TEXT(X$3,"ddd")="CN","CN",VLOOKUP($A8&amp;X$3,Data_Cong!$R:$AJ,10,0)))</f>
        <v>CN</v>
      </c>
      <c r="Y8" s="46" t="str">
        <f>IF(Y$3="","",IF(TEXT(Y$3,"ddd")="CN","CN",VLOOKUP($A8&amp;Y$3,Data_Cong!$R:$AJ,10,0)))</f>
        <v>x</v>
      </c>
      <c r="Z8" s="46" t="str">
        <f>IF(Z$3="","",IF(TEXT(Z$3,"ddd")="CN","CN",VLOOKUP($A8&amp;Z$3,Data_Cong!$R:$AJ,10,0)))</f>
        <v>x</v>
      </c>
      <c r="AA8" s="46" t="str">
        <f>IF(AA$3="","",IF(TEXT(AA$3,"ddd")="CN","CN",VLOOKUP($A8&amp;AA$3,Data_Cong!$R:$AJ,10,0)))</f>
        <v>x</v>
      </c>
      <c r="AB8" s="46" t="str">
        <f>IF(AB$3="","",IF(TEXT(AB$3,"ddd")="CN","CN",VLOOKUP($A8&amp;AB$3,Data_Cong!$R:$AJ,10,0)))</f>
        <v>x</v>
      </c>
      <c r="AC8" s="46" t="str">
        <f>IF(AC$3="","",IF(TEXT(AC$3,"ddd")="CN","CN",VLOOKUP($A8&amp;AC$3,Data_Cong!$R:$AJ,10,0)))</f>
        <v>x</v>
      </c>
      <c r="AD8" s="46" t="str">
        <f>IF(AD$3="","",IF(TEXT(AD$3,"ddd")="CN","CN",VLOOKUP($A8&amp;AD$3,Data_Cong!$R:$AJ,10,0)))</f>
        <v>x</v>
      </c>
      <c r="AE8" s="46" t="str">
        <f>IF(AE$3="","",IF(TEXT(AE$3,"ddd")="CN","CN",VLOOKUP($A8&amp;AE$3,Data_Cong!$R:$AJ,10,0)))</f>
        <v>CN</v>
      </c>
      <c r="AF8" s="46" t="str">
        <f>IF(AF$3="","",IF(TEXT(AF$3,"ddd")="CN","CN",VLOOKUP($A8&amp;AF$3,Data_Cong!$R:$AJ,10,0)))</f>
        <v>x</v>
      </c>
      <c r="AG8" s="46" t="str">
        <f>IF(AG$3="","",IF(TEXT(AG$3,"ddd")="CN","CN",VLOOKUP($A8&amp;AG$3,Data_Cong!$R:$AJ,10,0)))</f>
        <v/>
      </c>
      <c r="AH8" s="46" t="str">
        <f>IF(AH$3="","",IF(TEXT(AH$3,"ddd")="CN","CN",VLOOKUP($A8&amp;AH$3,Data_Cong!$R:$AJ,10,0)))</f>
        <v/>
      </c>
      <c r="AI8" s="47" cm="1">
        <f t="array" ref="AI8">SUMPRODUCT((D8:AH8="x")*1+(D8:AH8="P")*1+(D8:AH8="1/2P")*1+(D8:AH8="1/2")*0.5+(D8:AH8="2x")*2+(D8:AH8="L")*1)</f>
        <v>24</v>
      </c>
      <c r="AJ8" s="48">
        <f>SUMIF(Data_Cong!A:A,$A8,Data_Cong!AE:AE)</f>
        <v>0</v>
      </c>
      <c r="AK8" s="49">
        <f>COUNTIFS(Data_Cong!AB:AB,"&gt;5",Data_Cong!A:A,A8)</f>
        <v>2</v>
      </c>
      <c r="AL8" s="50"/>
      <c r="AM8" s="50">
        <v>6</v>
      </c>
      <c r="AN8" s="47" cm="1">
        <f t="array" ref="AN8">IF((AM8+1)&gt;12,12,(AM8+1))-SUMPRODUCT((D8:AH8="P")*1+(D8:AH8="1/2P")*0.5)</f>
        <v>7</v>
      </c>
      <c r="AO8" s="47"/>
      <c r="AP8" s="51">
        <f>SUMIFS(Data_Cong!AF:AF,Data_Cong!A:A,$A8)+SUMIFS(Data_Cong!AG:AG,Data_Cong!A:A,$A8)</f>
        <v>50000</v>
      </c>
    </row>
    <row r="9" spans="1:42" ht="15.75" x14ac:dyDescent="0.25">
      <c r="A9" s="31" t="s">
        <v>455</v>
      </c>
      <c r="B9" s="44">
        <v>4</v>
      </c>
      <c r="C9" s="45" t="s">
        <v>681</v>
      </c>
      <c r="D9" s="46" t="str">
        <f>IF(D$3="","",IF(TEXT(D$3,"ddd")="CN","CN",VLOOKUP($A9&amp;D$3,Data_Cong!$R:$AJ,10,0)))</f>
        <v>L</v>
      </c>
      <c r="E9" s="46" t="str">
        <f>IF(E$3="","",IF(TEXT(E$3,"ddd")="CN","CN",VLOOKUP($A9&amp;E$3,Data_Cong!$R:$AJ,10,0)))</f>
        <v>L</v>
      </c>
      <c r="F9" s="46" t="str">
        <f>IF(F$3="","",IF(TEXT(F$3,"ddd")="CN","CN",VLOOKUP($A9&amp;F$3,Data_Cong!$R:$AJ,10,0)))</f>
        <v>x</v>
      </c>
      <c r="G9" s="46" t="str">
        <f>IF(G$3="","",IF(TEXT(G$3,"ddd")="CN","CN",VLOOKUP($A9&amp;G$3,Data_Cong!$R:$AJ,10,0)))</f>
        <v>x</v>
      </c>
      <c r="H9" s="46" t="str">
        <f>IF(H$3="","",IF(TEXT(H$3,"ddd")="CN","CN",VLOOKUP($A9&amp;H$3,Data_Cong!$R:$AJ,10,0)))</f>
        <v>x</v>
      </c>
      <c r="I9" s="46" t="str">
        <f>IF(I$3="","",IF(TEXT(I$3,"ddd")="CN","CN",VLOOKUP($A9&amp;I$3,Data_Cong!$R:$AJ,10,0)))</f>
        <v>x</v>
      </c>
      <c r="J9" s="46" t="str">
        <f>IF(J$3="","",IF(TEXT(J$3,"ddd")="CN","CN",VLOOKUP($A9&amp;J$3,Data_Cong!$R:$AJ,10,0)))</f>
        <v>CN</v>
      </c>
      <c r="K9" s="46" t="str">
        <f>IF(K$3="","",IF(TEXT(K$3,"ddd")="CN","CN",VLOOKUP($A9&amp;K$3,Data_Cong!$R:$AJ,10,0)))</f>
        <v>x</v>
      </c>
      <c r="L9" s="46" t="str">
        <f>IF(L$3="","",IF(TEXT(L$3,"ddd")="CN","CN",VLOOKUP($A9&amp;L$3,Data_Cong!$R:$AJ,10,0)))</f>
        <v>x</v>
      </c>
      <c r="M9" s="46" t="str">
        <f>IF(M$3="","",IF(TEXT(M$3,"ddd")="CN","CN",VLOOKUP($A9&amp;M$3,Data_Cong!$R:$AJ,10,0)))</f>
        <v>x</v>
      </c>
      <c r="N9" s="46" t="str">
        <f>IF(N$3="","",IF(TEXT(N$3,"ddd")="CN","CN",VLOOKUP($A9&amp;N$3,Data_Cong!$R:$AJ,10,0)))</f>
        <v>x</v>
      </c>
      <c r="O9" s="46" t="str">
        <f>IF(O$3="","",IF(TEXT(O$3,"ddd")="CN","CN",VLOOKUP($A9&amp;O$3,Data_Cong!$R:$AJ,10,0)))</f>
        <v>x</v>
      </c>
      <c r="P9" s="46" t="str">
        <f>IF(P$3="","",IF(TEXT(P$3,"ddd")="CN","CN",VLOOKUP($A9&amp;P$3,Data_Cong!$R:$AJ,10,0)))</f>
        <v>x</v>
      </c>
      <c r="Q9" s="46" t="str">
        <f>IF(Q$3="","",IF(TEXT(Q$3,"ddd")="CN","CN",VLOOKUP($A9&amp;Q$3,Data_Cong!$R:$AJ,10,0)))</f>
        <v>CN</v>
      </c>
      <c r="R9" s="46" t="str">
        <f>IF(R$3="","",IF(TEXT(R$3,"ddd")="CN","CN",VLOOKUP($A9&amp;R$3,Data_Cong!$R:$AJ,10,0)))</f>
        <v>x</v>
      </c>
      <c r="S9" s="46" t="str">
        <f>IF(S$3="","",IF(TEXT(S$3,"ddd")="CN","CN",VLOOKUP($A9&amp;S$3,Data_Cong!$R:$AJ,10,0)))</f>
        <v>x</v>
      </c>
      <c r="T9" s="46" t="str">
        <f>IF(T$3="","",IF(TEXT(T$3,"ddd")="CN","CN",VLOOKUP($A9&amp;T$3,Data_Cong!$R:$AJ,10,0)))</f>
        <v>x</v>
      </c>
      <c r="U9" s="46" t="str">
        <f>IF(U$3="","",IF(TEXT(U$3,"ddd")="CN","CN",VLOOKUP($A9&amp;U$3,Data_Cong!$R:$AJ,10,0)))</f>
        <v>x</v>
      </c>
      <c r="V9" s="46" t="str">
        <f>IF(V$3="","",IF(TEXT(V$3,"ddd")="CN","CN",VLOOKUP($A9&amp;V$3,Data_Cong!$R:$AJ,10,0)))</f>
        <v>x</v>
      </c>
      <c r="W9" s="46" t="str">
        <f>IF(W$3="","",IF(TEXT(W$3,"ddd")="CN","CN",VLOOKUP($A9&amp;W$3,Data_Cong!$R:$AJ,10,0)))</f>
        <v>x</v>
      </c>
      <c r="X9" s="46" t="str">
        <f>IF(X$3="","",IF(TEXT(X$3,"ddd")="CN","CN",VLOOKUP($A9&amp;X$3,Data_Cong!$R:$AJ,10,0)))</f>
        <v>CN</v>
      </c>
      <c r="Y9" s="46" t="str">
        <f>IF(Y$3="","",IF(TEXT(Y$3,"ddd")="CN","CN",VLOOKUP($A9&amp;Y$3,Data_Cong!$R:$AJ,10,0)))</f>
        <v>x</v>
      </c>
      <c r="Z9" s="46" t="str">
        <f>IF(Z$3="","",IF(TEXT(Z$3,"ddd")="CN","CN",VLOOKUP($A9&amp;Z$3,Data_Cong!$R:$AJ,10,0)))</f>
        <v>x</v>
      </c>
      <c r="AA9" s="46" t="str">
        <f>IF(AA$3="","",IF(TEXT(AA$3,"ddd")="CN","CN",VLOOKUP($A9&amp;AA$3,Data_Cong!$R:$AJ,10,0)))</f>
        <v>x</v>
      </c>
      <c r="AB9" s="46" t="str">
        <f>IF(AB$3="","",IF(TEXT(AB$3,"ddd")="CN","CN",VLOOKUP($A9&amp;AB$3,Data_Cong!$R:$AJ,10,0)))</f>
        <v>x</v>
      </c>
      <c r="AC9" s="46" t="str">
        <f>IF(AC$3="","",IF(TEXT(AC$3,"ddd")="CN","CN",VLOOKUP($A9&amp;AC$3,Data_Cong!$R:$AJ,10,0)))</f>
        <v>x</v>
      </c>
      <c r="AD9" s="46" t="str">
        <f>IF(AD$3="","",IF(TEXT(AD$3,"ddd")="CN","CN",VLOOKUP($A9&amp;AD$3,Data_Cong!$R:$AJ,10,0)))</f>
        <v>x</v>
      </c>
      <c r="AE9" s="46" t="str">
        <f>IF(AE$3="","",IF(TEXT(AE$3,"ddd")="CN","CN",VLOOKUP($A9&amp;AE$3,Data_Cong!$R:$AJ,10,0)))</f>
        <v>CN</v>
      </c>
      <c r="AF9" s="46" t="str">
        <f>IF(AF$3="","",IF(TEXT(AF$3,"ddd")="CN","CN",VLOOKUP($A9&amp;AF$3,Data_Cong!$R:$AJ,10,0)))</f>
        <v>x</v>
      </c>
      <c r="AG9" s="46" t="str">
        <f>IF(AG$3="","",IF(TEXT(AG$3,"ddd")="CN","CN",VLOOKUP($A9&amp;AG$3,Data_Cong!$R:$AJ,10,0)))</f>
        <v>x</v>
      </c>
      <c r="AH9" s="46" t="str">
        <f>IF(AH$3="","",IF(TEXT(AH$3,"ddd")="CN","CN",VLOOKUP($A9&amp;AH$3,Data_Cong!$R:$AJ,10,0)))</f>
        <v/>
      </c>
      <c r="AI9" s="47" cm="1">
        <f t="array" ref="AI9">SUMPRODUCT((D9:AH9="x")*1+(D9:AH9="P")*1+(D9:AH9="1/2P")*1+(D9:AH9="1/2")*0.5+(D9:AH9="2x")*2+(D9:AH9="L")*1)</f>
        <v>26</v>
      </c>
      <c r="AJ9" s="48">
        <f>SUMIF(Data_Cong!A:A,$A9,Data_Cong!AE:AE)</f>
        <v>0</v>
      </c>
      <c r="AK9" s="49">
        <f>COUNTIFS(Data_Cong!AB:AB,"&gt;5",Data_Cong!A:A,A9)</f>
        <v>2</v>
      </c>
      <c r="AL9" s="50"/>
      <c r="AM9" s="50">
        <v>8</v>
      </c>
      <c r="AN9" s="47" cm="1">
        <f t="array" ref="AN9">IF((AM9+1)&gt;12,12,(AM9+1))-SUMPRODUCT((D9:AH9="P")*1+(D9:AH9="1/2P")*0.5)</f>
        <v>9</v>
      </c>
      <c r="AO9" s="47"/>
      <c r="AP9" s="51">
        <f>SUMIFS(Data_Cong!AF:AF,Data_Cong!A:A,$A9)+SUMIFS(Data_Cong!AG:AG,Data_Cong!A:A,$A9)</f>
        <v>30000</v>
      </c>
    </row>
    <row r="10" spans="1:42" ht="15.75" x14ac:dyDescent="0.25">
      <c r="A10" s="31" t="s">
        <v>163</v>
      </c>
      <c r="B10" s="44">
        <v>5</v>
      </c>
      <c r="C10" s="45" t="s">
        <v>682</v>
      </c>
      <c r="D10" s="46" t="str">
        <f>IF(D$3="","",IF(TEXT(D$3,"ddd")="CN","CN",VLOOKUP($A10&amp;D$3,Data_Cong!$R:$AJ,10,0)))</f>
        <v>L</v>
      </c>
      <c r="E10" s="46" t="str">
        <f>IF(E$3="","",IF(TEXT(E$3,"ddd")="CN","CN",VLOOKUP($A10&amp;E$3,Data_Cong!$R:$AJ,10,0)))</f>
        <v>L</v>
      </c>
      <c r="F10" s="46" t="str">
        <f>IF(F$3="","",IF(TEXT(F$3,"ddd")="CN","CN",VLOOKUP($A10&amp;F$3,Data_Cong!$R:$AJ,10,0)))</f>
        <v/>
      </c>
      <c r="G10" s="46" t="str">
        <f>IF(G$3="","",IF(TEXT(G$3,"ddd")="CN","CN",VLOOKUP($A10&amp;G$3,Data_Cong!$R:$AJ,10,0)))</f>
        <v>x</v>
      </c>
      <c r="H10" s="46" t="str">
        <f>IF(H$3="","",IF(TEXT(H$3,"ddd")="CN","CN",VLOOKUP($A10&amp;H$3,Data_Cong!$R:$AJ,10,0)))</f>
        <v/>
      </c>
      <c r="I10" s="46" t="str">
        <f>IF(I$3="","",IF(TEXT(I$3,"ddd")="CN","CN",VLOOKUP($A10&amp;I$3,Data_Cong!$R:$AJ,10,0)))</f>
        <v/>
      </c>
      <c r="J10" s="46" t="str">
        <f>IF(J$3="","",IF(TEXT(J$3,"ddd")="CN","CN",VLOOKUP($A10&amp;J$3,Data_Cong!$R:$AJ,10,0)))</f>
        <v>CN</v>
      </c>
      <c r="K10" s="46" t="str">
        <f>IF(K$3="","",IF(TEXT(K$3,"ddd")="CN","CN",VLOOKUP($A10&amp;K$3,Data_Cong!$R:$AJ,10,0)))</f>
        <v/>
      </c>
      <c r="L10" s="46" t="str">
        <f>IF(L$3="","",IF(TEXT(L$3,"ddd")="CN","CN",VLOOKUP($A10&amp;L$3,Data_Cong!$R:$AJ,10,0)))</f>
        <v/>
      </c>
      <c r="M10" s="46" t="str">
        <f>IF(M$3="","",IF(TEXT(M$3,"ddd")="CN","CN",VLOOKUP($A10&amp;M$3,Data_Cong!$R:$AJ,10,0)))</f>
        <v/>
      </c>
      <c r="N10" s="46" t="str">
        <f>IF(N$3="","",IF(TEXT(N$3,"ddd")="CN","CN",VLOOKUP($A10&amp;N$3,Data_Cong!$R:$AJ,10,0)))</f>
        <v>x</v>
      </c>
      <c r="O10" s="46" t="str">
        <f>IF(O$3="","",IF(TEXT(O$3,"ddd")="CN","CN",VLOOKUP($A10&amp;O$3,Data_Cong!$R:$AJ,10,0)))</f>
        <v/>
      </c>
      <c r="P10" s="46" t="str">
        <f>IF(P$3="","",IF(TEXT(P$3,"ddd")="CN","CN",VLOOKUP($A10&amp;P$3,Data_Cong!$R:$AJ,10,0)))</f>
        <v>x</v>
      </c>
      <c r="Q10" s="46" t="str">
        <f>IF(Q$3="","",IF(TEXT(Q$3,"ddd")="CN","CN",VLOOKUP($A10&amp;Q$3,Data_Cong!$R:$AJ,10,0)))</f>
        <v>CN</v>
      </c>
      <c r="R10" s="46" t="str">
        <f>IF(R$3="","",IF(TEXT(R$3,"ddd")="CN","CN",VLOOKUP($A10&amp;R$3,Data_Cong!$R:$AJ,10,0)))</f>
        <v>x</v>
      </c>
      <c r="S10" s="46" t="str">
        <f>IF(S$3="","",IF(TEXT(S$3,"ddd")="CN","CN",VLOOKUP($A10&amp;S$3,Data_Cong!$R:$AJ,10,0)))</f>
        <v/>
      </c>
      <c r="T10" s="46" t="str">
        <f>IF(T$3="","",IF(TEXT(T$3,"ddd")="CN","CN",VLOOKUP($A10&amp;T$3,Data_Cong!$R:$AJ,10,0)))</f>
        <v/>
      </c>
      <c r="U10" s="46" t="str">
        <f>IF(U$3="","",IF(TEXT(U$3,"ddd")="CN","CN",VLOOKUP($A10&amp;U$3,Data_Cong!$R:$AJ,10,0)))</f>
        <v>1/2</v>
      </c>
      <c r="V10" s="46" t="str">
        <f>IF(V$3="","",IF(TEXT(V$3,"ddd")="CN","CN",VLOOKUP($A10&amp;V$3,Data_Cong!$R:$AJ,10,0)))</f>
        <v/>
      </c>
      <c r="W10" s="46" t="str">
        <f>IF(W$3="","",IF(TEXT(W$3,"ddd")="CN","CN",VLOOKUP($A10&amp;W$3,Data_Cong!$R:$AJ,10,0)))</f>
        <v/>
      </c>
      <c r="X10" s="46" t="str">
        <f>IF(X$3="","",IF(TEXT(X$3,"ddd")="CN","CN",VLOOKUP($A10&amp;X$3,Data_Cong!$R:$AJ,10,0)))</f>
        <v>CN</v>
      </c>
      <c r="Y10" s="46" t="str">
        <f>IF(Y$3="","",IF(TEXT(Y$3,"ddd")="CN","CN",VLOOKUP($A10&amp;Y$3,Data_Cong!$R:$AJ,10,0)))</f>
        <v/>
      </c>
      <c r="Z10" s="46" t="str">
        <f>IF(Z$3="","",IF(TEXT(Z$3,"ddd")="CN","CN",VLOOKUP($A10&amp;Z$3,Data_Cong!$R:$AJ,10,0)))</f>
        <v/>
      </c>
      <c r="AA10" s="46" t="str">
        <f>IF(AA$3="","",IF(TEXT(AA$3,"ddd")="CN","CN",VLOOKUP($A10&amp;AA$3,Data_Cong!$R:$AJ,10,0)))</f>
        <v>x</v>
      </c>
      <c r="AB10" s="46" t="str">
        <f>IF(AB$3="","",IF(TEXT(AB$3,"ddd")="CN","CN",VLOOKUP($A10&amp;AB$3,Data_Cong!$R:$AJ,10,0)))</f>
        <v>x</v>
      </c>
      <c r="AC10" s="46" t="str">
        <f>IF(AC$3="","",IF(TEXT(AC$3,"ddd")="CN","CN",VLOOKUP($A10&amp;AC$3,Data_Cong!$R:$AJ,10,0)))</f>
        <v/>
      </c>
      <c r="AD10" s="46" t="str">
        <f>IF(AD$3="","",IF(TEXT(AD$3,"ddd")="CN","CN",VLOOKUP($A10&amp;AD$3,Data_Cong!$R:$AJ,10,0)))</f>
        <v/>
      </c>
      <c r="AE10" s="46" t="str">
        <f>IF(AE$3="","",IF(TEXT(AE$3,"ddd")="CN","CN",VLOOKUP($A10&amp;AE$3,Data_Cong!$R:$AJ,10,0)))</f>
        <v>CN</v>
      </c>
      <c r="AF10" s="46" t="str">
        <f>IF(AF$3="","",IF(TEXT(AF$3,"ddd")="CN","CN",VLOOKUP($A10&amp;AF$3,Data_Cong!$R:$AJ,10,0)))</f>
        <v/>
      </c>
      <c r="AG10" s="46" t="str">
        <f>IF(AG$3="","",IF(TEXT(AG$3,"ddd")="CN","CN",VLOOKUP($A10&amp;AG$3,Data_Cong!$R:$AJ,10,0)))</f>
        <v/>
      </c>
      <c r="AH10" s="46" t="str">
        <f>IF(AH$3="","",IF(TEXT(AH$3,"ddd")="CN","CN",VLOOKUP($A10&amp;AH$3,Data_Cong!$R:$AJ,10,0)))</f>
        <v/>
      </c>
      <c r="AI10" s="47" cm="1">
        <f t="array" ref="AI10">SUMPRODUCT((D10:AH10="x")*1+(D10:AH10="P")*1+(D10:AH10="1/2P")*1+(D10:AH10="1/2")*0.5+(D10:AH10="2x")*2+(D10:AH10="L")*1)</f>
        <v>8.5</v>
      </c>
      <c r="AJ10" s="48">
        <f>SUMIF(Data_Cong!A:A,$A10,Data_Cong!AE:AE)</f>
        <v>0</v>
      </c>
      <c r="AK10" s="49">
        <f>COUNTIFS(Data_Cong!AB:AB,"&gt;5",Data_Cong!A:A,A10)</f>
        <v>2</v>
      </c>
      <c r="AL10" s="50"/>
      <c r="AM10" s="50">
        <v>6</v>
      </c>
      <c r="AN10" s="47" cm="1">
        <f t="array" ref="AN10">IF((AM10+1)&gt;12,12,(AM10+1))-SUMPRODUCT((D10:AH10="P")*1+(D10:AH10="1/2P")*0.5)</f>
        <v>7</v>
      </c>
      <c r="AO10" s="47"/>
      <c r="AP10" s="51">
        <f>SUMIFS(Data_Cong!AF:AF,Data_Cong!A:A,$A10)+SUMIFS(Data_Cong!AG:AG,Data_Cong!A:A,$A10)</f>
        <v>30000</v>
      </c>
    </row>
    <row r="11" spans="1:42" ht="15.75" x14ac:dyDescent="0.25">
      <c r="A11" s="31" t="s">
        <v>141</v>
      </c>
      <c r="B11" s="44">
        <v>6</v>
      </c>
      <c r="C11" s="45" t="s">
        <v>683</v>
      </c>
      <c r="D11" s="46" t="str">
        <f>IF(D$3="","",IF(TEXT(D$3,"ddd")="CN","CN",VLOOKUP($A11&amp;D$3,Data_Cong!$R:$AJ,10,0)))</f>
        <v>L</v>
      </c>
      <c r="E11" s="46" t="str">
        <f>IF(E$3="","",IF(TEXT(E$3,"ddd")="CN","CN",VLOOKUP($A11&amp;E$3,Data_Cong!$R:$AJ,10,0)))</f>
        <v>L</v>
      </c>
      <c r="F11" s="46" t="str">
        <f>IF(F$3="","",IF(TEXT(F$3,"ddd")="CN","CN",VLOOKUP($A11&amp;F$3,Data_Cong!$R:$AJ,10,0)))</f>
        <v>x</v>
      </c>
      <c r="G11" s="46" t="str">
        <f>IF(G$3="","",IF(TEXT(G$3,"ddd")="CN","CN",VLOOKUP($A11&amp;G$3,Data_Cong!$R:$AJ,10,0)))</f>
        <v>x</v>
      </c>
      <c r="H11" s="46" t="str">
        <f>IF(H$3="","",IF(TEXT(H$3,"ddd")="CN","CN",VLOOKUP($A11&amp;H$3,Data_Cong!$R:$AJ,10,0)))</f>
        <v>x</v>
      </c>
      <c r="I11" s="46" t="str">
        <f>IF(I$3="","",IF(TEXT(I$3,"ddd")="CN","CN",VLOOKUP($A11&amp;I$3,Data_Cong!$R:$AJ,10,0)))</f>
        <v/>
      </c>
      <c r="J11" s="46" t="str">
        <f>IF(J$3="","",IF(TEXT(J$3,"ddd")="CN","CN",VLOOKUP($A11&amp;J$3,Data_Cong!$R:$AJ,10,0)))</f>
        <v>CN</v>
      </c>
      <c r="K11" s="46" t="str">
        <f>IF(K$3="","",IF(TEXT(K$3,"ddd")="CN","CN",VLOOKUP($A11&amp;K$3,Data_Cong!$R:$AJ,10,0)))</f>
        <v>x</v>
      </c>
      <c r="L11" s="46" t="str">
        <f>IF(L$3="","",IF(TEXT(L$3,"ddd")="CN","CN",VLOOKUP($A11&amp;L$3,Data_Cong!$R:$AJ,10,0)))</f>
        <v>x</v>
      </c>
      <c r="M11" s="46" t="str">
        <f>IF(M$3="","",IF(TEXT(M$3,"ddd")="CN","CN",VLOOKUP($A11&amp;M$3,Data_Cong!$R:$AJ,10,0)))</f>
        <v>x</v>
      </c>
      <c r="N11" s="46" t="str">
        <f>IF(N$3="","",IF(TEXT(N$3,"ddd")="CN","CN",VLOOKUP($A11&amp;N$3,Data_Cong!$R:$AJ,10,0)))</f>
        <v>x</v>
      </c>
      <c r="O11" s="46" t="str">
        <f>IF(O$3="","",IF(TEXT(O$3,"ddd")="CN","CN",VLOOKUP($A11&amp;O$3,Data_Cong!$R:$AJ,10,0)))</f>
        <v/>
      </c>
      <c r="P11" s="46" t="str">
        <f>IF(P$3="","",IF(TEXT(P$3,"ddd")="CN","CN",VLOOKUP($A11&amp;P$3,Data_Cong!$R:$AJ,10,0)))</f>
        <v/>
      </c>
      <c r="Q11" s="46" t="str">
        <f>IF(Q$3="","",IF(TEXT(Q$3,"ddd")="CN","CN",VLOOKUP($A11&amp;Q$3,Data_Cong!$R:$AJ,10,0)))</f>
        <v>CN</v>
      </c>
      <c r="R11" s="46" t="str">
        <f>IF(R$3="","",IF(TEXT(R$3,"ddd")="CN","CN",VLOOKUP($A11&amp;R$3,Data_Cong!$R:$AJ,10,0)))</f>
        <v>x</v>
      </c>
      <c r="S11" s="46" t="str">
        <f>IF(S$3="","",IF(TEXT(S$3,"ddd")="CN","CN",VLOOKUP($A11&amp;S$3,Data_Cong!$R:$AJ,10,0)))</f>
        <v>x</v>
      </c>
      <c r="T11" s="46" t="str">
        <f>IF(T$3="","",IF(TEXT(T$3,"ddd")="CN","CN",VLOOKUP($A11&amp;T$3,Data_Cong!$R:$AJ,10,0)))</f>
        <v>x</v>
      </c>
      <c r="U11" s="46" t="str">
        <f>IF(U$3="","",IF(TEXT(U$3,"ddd")="CN","CN",VLOOKUP($A11&amp;U$3,Data_Cong!$R:$AJ,10,0)))</f>
        <v>x</v>
      </c>
      <c r="V11" s="46" t="str">
        <f>IF(V$3="","",IF(TEXT(V$3,"ddd")="CN","CN",VLOOKUP($A11&amp;V$3,Data_Cong!$R:$AJ,10,0)))</f>
        <v>x</v>
      </c>
      <c r="W11" s="46" t="str">
        <f>IF(W$3="","",IF(TEXT(W$3,"ddd")="CN","CN",VLOOKUP($A11&amp;W$3,Data_Cong!$R:$AJ,10,0)))</f>
        <v>x</v>
      </c>
      <c r="X11" s="46" t="str">
        <f>IF(X$3="","",IF(TEXT(X$3,"ddd")="CN","CN",VLOOKUP($A11&amp;X$3,Data_Cong!$R:$AJ,10,0)))</f>
        <v>CN</v>
      </c>
      <c r="Y11" s="46" t="str">
        <f>IF(Y$3="","",IF(TEXT(Y$3,"ddd")="CN","CN",VLOOKUP($A11&amp;Y$3,Data_Cong!$R:$AJ,10,0)))</f>
        <v/>
      </c>
      <c r="Z11" s="46" t="str">
        <f>IF(Z$3="","",IF(TEXT(Z$3,"ddd")="CN","CN",VLOOKUP($A11&amp;Z$3,Data_Cong!$R:$AJ,10,0)))</f>
        <v>x</v>
      </c>
      <c r="AA11" s="46" t="str">
        <f>IF(AA$3="","",IF(TEXT(AA$3,"ddd")="CN","CN",VLOOKUP($A11&amp;AA$3,Data_Cong!$R:$AJ,10,0)))</f>
        <v>x</v>
      </c>
      <c r="AB11" s="46" t="str">
        <f>IF(AB$3="","",IF(TEXT(AB$3,"ddd")="CN","CN",VLOOKUP($A11&amp;AB$3,Data_Cong!$R:$AJ,10,0)))</f>
        <v>x</v>
      </c>
      <c r="AC11" s="46" t="str">
        <f>IF(AC$3="","",IF(TEXT(AC$3,"ddd")="CN","CN",VLOOKUP($A11&amp;AC$3,Data_Cong!$R:$AJ,10,0)))</f>
        <v>x</v>
      </c>
      <c r="AD11" s="46" t="str">
        <f>IF(AD$3="","",IF(TEXT(AD$3,"ddd")="CN","CN",VLOOKUP($A11&amp;AD$3,Data_Cong!$R:$AJ,10,0)))</f>
        <v>x</v>
      </c>
      <c r="AE11" s="46" t="str">
        <f>IF(AE$3="","",IF(TEXT(AE$3,"ddd")="CN","CN",VLOOKUP($A11&amp;AE$3,Data_Cong!$R:$AJ,10,0)))</f>
        <v>CN</v>
      </c>
      <c r="AF11" s="46" t="str">
        <f>IF(AF$3="","",IF(TEXT(AF$3,"ddd")="CN","CN",VLOOKUP($A11&amp;AF$3,Data_Cong!$R:$AJ,10,0)))</f>
        <v>x</v>
      </c>
      <c r="AG11" s="46" t="str">
        <f>IF(AG$3="","",IF(TEXT(AG$3,"ddd")="CN","CN",VLOOKUP($A11&amp;AG$3,Data_Cong!$R:$AJ,10,0)))</f>
        <v>x</v>
      </c>
      <c r="AH11" s="46" t="str">
        <f>IF(AH$3="","",IF(TEXT(AH$3,"ddd")="CN","CN",VLOOKUP($A11&amp;AH$3,Data_Cong!$R:$AJ,10,0)))</f>
        <v/>
      </c>
      <c r="AI11" s="47" cm="1">
        <f t="array" ref="AI11">SUMPRODUCT((D11:AH11="x")*1+(D11:AH11="P")*1+(D11:AH11="1/2P")*1+(D11:AH11="1/2")*0.5+(D11:AH11="2x")*2+(D11:AH11="L")*1)</f>
        <v>22</v>
      </c>
      <c r="AJ11" s="48">
        <f>SUMIF(Data_Cong!A:A,$A11,Data_Cong!AE:AE)</f>
        <v>0</v>
      </c>
      <c r="AK11" s="49">
        <f>COUNTIFS(Data_Cong!AB:AB,"&gt;5",Data_Cong!A:A,A11)</f>
        <v>0</v>
      </c>
      <c r="AL11" s="50"/>
      <c r="AM11" s="50">
        <v>10</v>
      </c>
      <c r="AN11" s="47" cm="1">
        <f t="array" ref="AN11">IF((AM11+1)&gt;12,12,(AM11+1))-SUMPRODUCT((D11:AH11="P")*1+(D11:AH11="1/2P")*0.5)</f>
        <v>11</v>
      </c>
      <c r="AO11" s="47"/>
      <c r="AP11" s="51">
        <f>SUMIFS(Data_Cong!AF:AF,Data_Cong!A:A,$A11)+SUMIFS(Data_Cong!AG:AG,Data_Cong!A:A,$A11)</f>
        <v>0</v>
      </c>
    </row>
    <row r="12" spans="1:42" ht="15.75" x14ac:dyDescent="0.25">
      <c r="A12" s="31" t="s">
        <v>390</v>
      </c>
      <c r="B12" s="44">
        <v>7</v>
      </c>
      <c r="C12" s="45" t="s">
        <v>684</v>
      </c>
      <c r="D12" s="46" t="str">
        <f>IF(D$3="","",IF(TEXT(D$3,"ddd")="CN","CN",VLOOKUP($A12&amp;D$3,Data_Cong!$R:$AJ,10,0)))</f>
        <v>L</v>
      </c>
      <c r="E12" s="46" t="str">
        <f>IF(E$3="","",IF(TEXT(E$3,"ddd")="CN","CN",VLOOKUP($A12&amp;E$3,Data_Cong!$R:$AJ,10,0)))</f>
        <v>L</v>
      </c>
      <c r="F12" s="46" t="str">
        <f>IF(F$3="","",IF(TEXT(F$3,"ddd")="CN","CN",VLOOKUP($A12&amp;F$3,Data_Cong!$R:$AJ,10,0)))</f>
        <v>x</v>
      </c>
      <c r="G12" s="46" t="str">
        <f>IF(G$3="","",IF(TEXT(G$3,"ddd")="CN","CN",VLOOKUP($A12&amp;G$3,Data_Cong!$R:$AJ,10,0)))</f>
        <v>x</v>
      </c>
      <c r="H12" s="46" t="str">
        <f>IF(H$3="","",IF(TEXT(H$3,"ddd")="CN","CN",VLOOKUP($A12&amp;H$3,Data_Cong!$R:$AJ,10,0)))</f>
        <v>x</v>
      </c>
      <c r="I12" s="46" t="str">
        <f>IF(I$3="","",IF(TEXT(I$3,"ddd")="CN","CN",VLOOKUP($A12&amp;I$3,Data_Cong!$R:$AJ,10,0)))</f>
        <v>x</v>
      </c>
      <c r="J12" s="46" t="str">
        <f>IF(J$3="","",IF(TEXT(J$3,"ddd")="CN","CN",VLOOKUP($A12&amp;J$3,Data_Cong!$R:$AJ,10,0)))</f>
        <v>CN</v>
      </c>
      <c r="K12" s="46" t="str">
        <f>IF(K$3="","",IF(TEXT(K$3,"ddd")="CN","CN",VLOOKUP($A12&amp;K$3,Data_Cong!$R:$AJ,10,0)))</f>
        <v>x</v>
      </c>
      <c r="L12" s="46" t="str">
        <f>IF(L$3="","",IF(TEXT(L$3,"ddd")="CN","CN",VLOOKUP($A12&amp;L$3,Data_Cong!$R:$AJ,10,0)))</f>
        <v>x</v>
      </c>
      <c r="M12" s="46" t="str">
        <f>IF(M$3="","",IF(TEXT(M$3,"ddd")="CN","CN",VLOOKUP($A12&amp;M$3,Data_Cong!$R:$AJ,10,0)))</f>
        <v>x</v>
      </c>
      <c r="N12" s="46" t="str">
        <f>IF(N$3="","",IF(TEXT(N$3,"ddd")="CN","CN",VLOOKUP($A12&amp;N$3,Data_Cong!$R:$AJ,10,0)))</f>
        <v>x</v>
      </c>
      <c r="O12" s="46" t="str">
        <f>IF(O$3="","",IF(TEXT(O$3,"ddd")="CN","CN",VLOOKUP($A12&amp;O$3,Data_Cong!$R:$AJ,10,0)))</f>
        <v>x</v>
      </c>
      <c r="P12" s="46" t="str">
        <f>IF(P$3="","",IF(TEXT(P$3,"ddd")="CN","CN",VLOOKUP($A12&amp;P$3,Data_Cong!$R:$AJ,10,0)))</f>
        <v>x</v>
      </c>
      <c r="Q12" s="46" t="str">
        <f>IF(Q$3="","",IF(TEXT(Q$3,"ddd")="CN","CN",VLOOKUP($A12&amp;Q$3,Data_Cong!$R:$AJ,10,0)))</f>
        <v>CN</v>
      </c>
      <c r="R12" s="46" t="str">
        <f>IF(R$3="","",IF(TEXT(R$3,"ddd")="CN","CN",VLOOKUP($A12&amp;R$3,Data_Cong!$R:$AJ,10,0)))</f>
        <v>x</v>
      </c>
      <c r="S12" s="46" t="str">
        <f>IF(S$3="","",IF(TEXT(S$3,"ddd")="CN","CN",VLOOKUP($A12&amp;S$3,Data_Cong!$R:$AJ,10,0)))</f>
        <v>x</v>
      </c>
      <c r="T12" s="46" t="str">
        <f>IF(T$3="","",IF(TEXT(T$3,"ddd")="CN","CN",VLOOKUP($A12&amp;T$3,Data_Cong!$R:$AJ,10,0)))</f>
        <v>x</v>
      </c>
      <c r="U12" s="46" t="str">
        <f>IF(U$3="","",IF(TEXT(U$3,"ddd")="CN","CN",VLOOKUP($A12&amp;U$3,Data_Cong!$R:$AJ,10,0)))</f>
        <v>x</v>
      </c>
      <c r="V12" s="46" t="str">
        <f>IF(V$3="","",IF(TEXT(V$3,"ddd")="CN","CN",VLOOKUP($A12&amp;V$3,Data_Cong!$R:$AJ,10,0)))</f>
        <v>x</v>
      </c>
      <c r="W12" s="46" t="str">
        <f>IF(W$3="","",IF(TEXT(W$3,"ddd")="CN","CN",VLOOKUP($A12&amp;W$3,Data_Cong!$R:$AJ,10,0)))</f>
        <v>x</v>
      </c>
      <c r="X12" s="46" t="str">
        <f>IF(X$3="","",IF(TEXT(X$3,"ddd")="CN","CN",VLOOKUP($A12&amp;X$3,Data_Cong!$R:$AJ,10,0)))</f>
        <v>CN</v>
      </c>
      <c r="Y12" s="46" t="str">
        <f>IF(Y$3="","",IF(TEXT(Y$3,"ddd")="CN","CN",VLOOKUP($A12&amp;Y$3,Data_Cong!$R:$AJ,10,0)))</f>
        <v>x</v>
      </c>
      <c r="Z12" s="46" t="str">
        <f>IF(Z$3="","",IF(TEXT(Z$3,"ddd")="CN","CN",VLOOKUP($A12&amp;Z$3,Data_Cong!$R:$AJ,10,0)))</f>
        <v>x</v>
      </c>
      <c r="AA12" s="46" t="str">
        <f>IF(AA$3="","",IF(TEXT(AA$3,"ddd")="CN","CN",VLOOKUP($A12&amp;AA$3,Data_Cong!$R:$AJ,10,0)))</f>
        <v>x</v>
      </c>
      <c r="AB12" s="46" t="str">
        <f>IF(AB$3="","",IF(TEXT(AB$3,"ddd")="CN","CN",VLOOKUP($A12&amp;AB$3,Data_Cong!$R:$AJ,10,0)))</f>
        <v>x</v>
      </c>
      <c r="AC12" s="46" t="str">
        <f>IF(AC$3="","",IF(TEXT(AC$3,"ddd")="CN","CN",VLOOKUP($A12&amp;AC$3,Data_Cong!$R:$AJ,10,0)))</f>
        <v>x</v>
      </c>
      <c r="AD12" s="46" t="str">
        <f>IF(AD$3="","",IF(TEXT(AD$3,"ddd")="CN","CN",VLOOKUP($A12&amp;AD$3,Data_Cong!$R:$AJ,10,0)))</f>
        <v>x</v>
      </c>
      <c r="AE12" s="46" t="str">
        <f>IF(AE$3="","",IF(TEXT(AE$3,"ddd")="CN","CN",VLOOKUP($A12&amp;AE$3,Data_Cong!$R:$AJ,10,0)))</f>
        <v>CN</v>
      </c>
      <c r="AF12" s="46" t="str">
        <f>IF(AF$3="","",IF(TEXT(AF$3,"ddd")="CN","CN",VLOOKUP($A12&amp;AF$3,Data_Cong!$R:$AJ,10,0)))</f>
        <v>x</v>
      </c>
      <c r="AG12" s="46" t="str">
        <f>IF(AG$3="","",IF(TEXT(AG$3,"ddd")="CN","CN",VLOOKUP($A12&amp;AG$3,Data_Cong!$R:$AJ,10,0)))</f>
        <v>x</v>
      </c>
      <c r="AH12" s="46" t="str">
        <f>IF(AH$3="","",IF(TEXT(AH$3,"ddd")="CN","CN",VLOOKUP($A12&amp;AH$3,Data_Cong!$R:$AJ,10,0)))</f>
        <v/>
      </c>
      <c r="AI12" s="47" cm="1">
        <f t="array" ref="AI12">SUMPRODUCT((D12:AH12="x")*1+(D12:AH12="P")*1+(D12:AH12="1/2P")*1+(D12:AH12="1/2")*0.5+(D12:AH12="2x")*2+(D12:AH12="L")*1)</f>
        <v>26</v>
      </c>
      <c r="AJ12" s="48">
        <f>SUMIF(Data_Cong!A:A,$A12,Data_Cong!AE:AE)</f>
        <v>2494</v>
      </c>
      <c r="AK12" s="49">
        <f>COUNTIFS(Data_Cong!AB:AB,"&gt;5",Data_Cong!A:A,A12)</f>
        <v>0</v>
      </c>
      <c r="AL12" s="50"/>
      <c r="AM12" s="50">
        <v>12</v>
      </c>
      <c r="AN12" s="47" cm="1">
        <f t="array" ref="AN12">IF((AM12+1)&gt;12,12,(AM12+1))-SUMPRODUCT((D12:AH12="P")*1+(D12:AH12="1/2P")*0.5)</f>
        <v>12</v>
      </c>
      <c r="AO12" s="47"/>
      <c r="AP12" s="51">
        <f>SUMIFS(Data_Cong!AF:AF,Data_Cong!A:A,$A12)+SUMIFS(Data_Cong!AG:AG,Data_Cong!A:A,$A12)</f>
        <v>0</v>
      </c>
    </row>
    <row r="13" spans="1:42" ht="15.75" x14ac:dyDescent="0.25">
      <c r="A13" s="31" t="s">
        <v>322</v>
      </c>
      <c r="B13" s="44">
        <v>8</v>
      </c>
      <c r="C13" s="45" t="s">
        <v>685</v>
      </c>
      <c r="D13" s="46" t="str">
        <f>IF(D$3="","",IF(TEXT(D$3,"ddd")="CN","CN",VLOOKUP($A13&amp;D$3,Data_Cong!$R:$AJ,10,0)))</f>
        <v>L</v>
      </c>
      <c r="E13" s="46" t="str">
        <f>IF(E$3="","",IF(TEXT(E$3,"ddd")="CN","CN",VLOOKUP($A13&amp;E$3,Data_Cong!$R:$AJ,10,0)))</f>
        <v>L</v>
      </c>
      <c r="F13" s="46" t="str">
        <f>IF(F$3="","",IF(TEXT(F$3,"ddd")="CN","CN",VLOOKUP($A13&amp;F$3,Data_Cong!$R:$AJ,10,0)))</f>
        <v>x</v>
      </c>
      <c r="G13" s="46" t="str">
        <f>IF(G$3="","",IF(TEXT(G$3,"ddd")="CN","CN",VLOOKUP($A13&amp;G$3,Data_Cong!$R:$AJ,10,0)))</f>
        <v>x</v>
      </c>
      <c r="H13" s="46" t="str">
        <f>IF(H$3="","",IF(TEXT(H$3,"ddd")="CN","CN",VLOOKUP($A13&amp;H$3,Data_Cong!$R:$AJ,10,0)))</f>
        <v>x</v>
      </c>
      <c r="I13" s="46" t="str">
        <f>IF(I$3="","",IF(TEXT(I$3,"ddd")="CN","CN",VLOOKUP($A13&amp;I$3,Data_Cong!$R:$AJ,10,0)))</f>
        <v>x</v>
      </c>
      <c r="J13" s="46" t="str">
        <f>IF(J$3="","",IF(TEXT(J$3,"ddd")="CN","CN",VLOOKUP($A13&amp;J$3,Data_Cong!$R:$AJ,10,0)))</f>
        <v>CN</v>
      </c>
      <c r="K13" s="46" t="str">
        <f>IF(K$3="","",IF(TEXT(K$3,"ddd")="CN","CN",VLOOKUP($A13&amp;K$3,Data_Cong!$R:$AJ,10,0)))</f>
        <v>x</v>
      </c>
      <c r="L13" s="46" t="str">
        <f>IF(L$3="","",IF(TEXT(L$3,"ddd")="CN","CN",VLOOKUP($A13&amp;L$3,Data_Cong!$R:$AJ,10,0)))</f>
        <v>x</v>
      </c>
      <c r="M13" s="46" t="str">
        <f>IF(M$3="","",IF(TEXT(M$3,"ddd")="CN","CN",VLOOKUP($A13&amp;M$3,Data_Cong!$R:$AJ,10,0)))</f>
        <v>x</v>
      </c>
      <c r="N13" s="46" t="str">
        <f>IF(N$3="","",IF(TEXT(N$3,"ddd")="CN","CN",VLOOKUP($A13&amp;N$3,Data_Cong!$R:$AJ,10,0)))</f>
        <v>x</v>
      </c>
      <c r="O13" s="46" t="str">
        <f>IF(O$3="","",IF(TEXT(O$3,"ddd")="CN","CN",VLOOKUP($A13&amp;O$3,Data_Cong!$R:$AJ,10,0)))</f>
        <v>x</v>
      </c>
      <c r="P13" s="46" t="str">
        <f>IF(P$3="","",IF(TEXT(P$3,"ddd")="CN","CN",VLOOKUP($A13&amp;P$3,Data_Cong!$R:$AJ,10,0)))</f>
        <v>x</v>
      </c>
      <c r="Q13" s="46" t="str">
        <f>IF(Q$3="","",IF(TEXT(Q$3,"ddd")="CN","CN",VLOOKUP($A13&amp;Q$3,Data_Cong!$R:$AJ,10,0)))</f>
        <v>CN</v>
      </c>
      <c r="R13" s="46" t="str">
        <f>IF(R$3="","",IF(TEXT(R$3,"ddd")="CN","CN",VLOOKUP($A13&amp;R$3,Data_Cong!$R:$AJ,10,0)))</f>
        <v>x</v>
      </c>
      <c r="S13" s="46" t="str">
        <f>IF(S$3="","",IF(TEXT(S$3,"ddd")="CN","CN",VLOOKUP($A13&amp;S$3,Data_Cong!$R:$AJ,10,0)))</f>
        <v>x</v>
      </c>
      <c r="T13" s="46" t="str">
        <f>IF(T$3="","",IF(TEXT(T$3,"ddd")="CN","CN",VLOOKUP($A13&amp;T$3,Data_Cong!$R:$AJ,10,0)))</f>
        <v>x</v>
      </c>
      <c r="U13" s="46" t="str">
        <f>IF(U$3="","",IF(TEXT(U$3,"ddd")="CN","CN",VLOOKUP($A13&amp;U$3,Data_Cong!$R:$AJ,10,0)))</f>
        <v>x</v>
      </c>
      <c r="V13" s="46" t="str">
        <f>IF(V$3="","",IF(TEXT(V$3,"ddd")="CN","CN",VLOOKUP($A13&amp;V$3,Data_Cong!$R:$AJ,10,0)))</f>
        <v>x</v>
      </c>
      <c r="W13" s="46" t="str">
        <f>IF(W$3="","",IF(TEXT(W$3,"ddd")="CN","CN",VLOOKUP($A13&amp;W$3,Data_Cong!$R:$AJ,10,0)))</f>
        <v>x</v>
      </c>
      <c r="X13" s="46" t="str">
        <f>IF(X$3="","",IF(TEXT(X$3,"ddd")="CN","CN",VLOOKUP($A13&amp;X$3,Data_Cong!$R:$AJ,10,0)))</f>
        <v>CN</v>
      </c>
      <c r="Y13" s="46" t="str">
        <f>IF(Y$3="","",IF(TEXT(Y$3,"ddd")="CN","CN",VLOOKUP($A13&amp;Y$3,Data_Cong!$R:$AJ,10,0)))</f>
        <v>x</v>
      </c>
      <c r="Z13" s="46" t="str">
        <f>IF(Z$3="","",IF(TEXT(Z$3,"ddd")="CN","CN",VLOOKUP($A13&amp;Z$3,Data_Cong!$R:$AJ,10,0)))</f>
        <v>x</v>
      </c>
      <c r="AA13" s="46" t="str">
        <f>IF(AA$3="","",IF(TEXT(AA$3,"ddd")="CN","CN",VLOOKUP($A13&amp;AA$3,Data_Cong!$R:$AJ,10,0)))</f>
        <v>x</v>
      </c>
      <c r="AB13" s="46" t="str">
        <f>IF(AB$3="","",IF(TEXT(AB$3,"ddd")="CN","CN",VLOOKUP($A13&amp;AB$3,Data_Cong!$R:$AJ,10,0)))</f>
        <v>x</v>
      </c>
      <c r="AC13" s="46" t="str">
        <f>IF(AC$3="","",IF(TEXT(AC$3,"ddd")="CN","CN",VLOOKUP($A13&amp;AC$3,Data_Cong!$R:$AJ,10,0)))</f>
        <v>x</v>
      </c>
      <c r="AD13" s="46" t="str">
        <f>IF(AD$3="","",IF(TEXT(AD$3,"ddd")="CN","CN",VLOOKUP($A13&amp;AD$3,Data_Cong!$R:$AJ,10,0)))</f>
        <v>x</v>
      </c>
      <c r="AE13" s="46" t="str">
        <f>IF(AE$3="","",IF(TEXT(AE$3,"ddd")="CN","CN",VLOOKUP($A13&amp;AE$3,Data_Cong!$R:$AJ,10,0)))</f>
        <v>CN</v>
      </c>
      <c r="AF13" s="46" t="str">
        <f>IF(AF$3="","",IF(TEXT(AF$3,"ddd")="CN","CN",VLOOKUP($A13&amp;AF$3,Data_Cong!$R:$AJ,10,0)))</f>
        <v>x</v>
      </c>
      <c r="AG13" s="46" t="str">
        <f>IF(AG$3="","",IF(TEXT(AG$3,"ddd")="CN","CN",VLOOKUP($A13&amp;AG$3,Data_Cong!$R:$AJ,10,0)))</f>
        <v>x</v>
      </c>
      <c r="AH13" s="46" t="str">
        <f>IF(AH$3="","",IF(TEXT(AH$3,"ddd")="CN","CN",VLOOKUP($A13&amp;AH$3,Data_Cong!$R:$AJ,10,0)))</f>
        <v/>
      </c>
      <c r="AI13" s="47" cm="1">
        <f t="array" ref="AI13">SUMPRODUCT((D13:AH13="x")*1+(D13:AH13="P")*1+(D13:AH13="1/2P")*1+(D13:AH13="1/2")*0.5+(D13:AH13="2x")*2+(D13:AH13="L")*1)</f>
        <v>26</v>
      </c>
      <c r="AJ13" s="48">
        <f>SUMIF(Data_Cong!A:A,$A13,Data_Cong!AE:AE)</f>
        <v>2635</v>
      </c>
      <c r="AK13" s="49">
        <f>COUNTIFS(Data_Cong!AB:AB,"&gt;5",Data_Cong!A:A,A13)</f>
        <v>0</v>
      </c>
      <c r="AL13" s="50"/>
      <c r="AM13" s="50">
        <v>12</v>
      </c>
      <c r="AN13" s="47" cm="1">
        <f t="array" ref="AN13">IF((AM13+1)&gt;12,12,(AM13+1))-SUMPRODUCT((D13:AH13="P")*1+(D13:AH13="1/2P")*0.5)</f>
        <v>12</v>
      </c>
      <c r="AO13" s="47"/>
      <c r="AP13" s="51">
        <f>SUMIFS(Data_Cong!AF:AF,Data_Cong!A:A,$A13)+SUMIFS(Data_Cong!AG:AG,Data_Cong!A:A,$A13)</f>
        <v>0</v>
      </c>
    </row>
    <row r="14" spans="1:42" ht="15.75" x14ac:dyDescent="0.25">
      <c r="A14" s="31" t="s">
        <v>494</v>
      </c>
      <c r="B14" s="44">
        <v>9</v>
      </c>
      <c r="C14" s="45" t="s">
        <v>686</v>
      </c>
      <c r="D14" s="46" t="str">
        <f>IF(D$3="","",IF(TEXT(D$3,"ddd")="CN","CN",VLOOKUP($A14&amp;D$3,Data_Cong!$R:$AJ,10,0)))</f>
        <v>L</v>
      </c>
      <c r="E14" s="46" t="str">
        <f>IF(E$3="","",IF(TEXT(E$3,"ddd")="CN","CN",VLOOKUP($A14&amp;E$3,Data_Cong!$R:$AJ,10,0)))</f>
        <v>L</v>
      </c>
      <c r="F14" s="46" t="str">
        <f>IF(F$3="","",IF(TEXT(F$3,"ddd")="CN","CN",VLOOKUP($A14&amp;F$3,Data_Cong!$R:$AJ,10,0)))</f>
        <v>x</v>
      </c>
      <c r="G14" s="46" t="str">
        <f>IF(G$3="","",IF(TEXT(G$3,"ddd")="CN","CN",VLOOKUP($A14&amp;G$3,Data_Cong!$R:$AJ,10,0)))</f>
        <v>x</v>
      </c>
      <c r="H14" s="46" t="str">
        <f>IF(H$3="","",IF(TEXT(H$3,"ddd")="CN","CN",VLOOKUP($A14&amp;H$3,Data_Cong!$R:$AJ,10,0)))</f>
        <v>x</v>
      </c>
      <c r="I14" s="46" t="str">
        <f>IF(I$3="","",IF(TEXT(I$3,"ddd")="CN","CN",VLOOKUP($A14&amp;I$3,Data_Cong!$R:$AJ,10,0)))</f>
        <v>x</v>
      </c>
      <c r="J14" s="46" t="str">
        <f>IF(J$3="","",IF(TEXT(J$3,"ddd")="CN","CN",VLOOKUP($A14&amp;J$3,Data_Cong!$R:$AJ,10,0)))</f>
        <v>CN</v>
      </c>
      <c r="K14" s="46" t="str">
        <f>IF(K$3="","",IF(TEXT(K$3,"ddd")="CN","CN",VLOOKUP($A14&amp;K$3,Data_Cong!$R:$AJ,10,0)))</f>
        <v>x</v>
      </c>
      <c r="L14" s="46" t="str">
        <f>IF(L$3="","",IF(TEXT(L$3,"ddd")="CN","CN",VLOOKUP($A14&amp;L$3,Data_Cong!$R:$AJ,10,0)))</f>
        <v>x</v>
      </c>
      <c r="M14" s="46" t="str">
        <f>IF(M$3="","",IF(TEXT(M$3,"ddd")="CN","CN",VLOOKUP($A14&amp;M$3,Data_Cong!$R:$AJ,10,0)))</f>
        <v>x</v>
      </c>
      <c r="N14" s="46" t="str">
        <f>IF(N$3="","",IF(TEXT(N$3,"ddd")="CN","CN",VLOOKUP($A14&amp;N$3,Data_Cong!$R:$AJ,10,0)))</f>
        <v>x</v>
      </c>
      <c r="O14" s="46" t="str">
        <f>IF(O$3="","",IF(TEXT(O$3,"ddd")="CN","CN",VLOOKUP($A14&amp;O$3,Data_Cong!$R:$AJ,10,0)))</f>
        <v>1/2</v>
      </c>
      <c r="P14" s="46" t="str">
        <f>IF(P$3="","",IF(TEXT(P$3,"ddd")="CN","CN",VLOOKUP($A14&amp;P$3,Data_Cong!$R:$AJ,10,0)))</f>
        <v>x</v>
      </c>
      <c r="Q14" s="46" t="str">
        <f>IF(Q$3="","",IF(TEXT(Q$3,"ddd")="CN","CN",VLOOKUP($A14&amp;Q$3,Data_Cong!$R:$AJ,10,0)))</f>
        <v>CN</v>
      </c>
      <c r="R14" s="46" t="str">
        <f>IF(R$3="","",IF(TEXT(R$3,"ddd")="CN","CN",VLOOKUP($A14&amp;R$3,Data_Cong!$R:$AJ,10,0)))</f>
        <v>x</v>
      </c>
      <c r="S14" s="46" t="str">
        <f>IF(S$3="","",IF(TEXT(S$3,"ddd")="CN","CN",VLOOKUP($A14&amp;S$3,Data_Cong!$R:$AJ,10,0)))</f>
        <v/>
      </c>
      <c r="T14" s="46" t="str">
        <f>IF(T$3="","",IF(TEXT(T$3,"ddd")="CN","CN",VLOOKUP($A14&amp;T$3,Data_Cong!$R:$AJ,10,0)))</f>
        <v>x</v>
      </c>
      <c r="U14" s="46" t="str">
        <f>IF(U$3="","",IF(TEXT(U$3,"ddd")="CN","CN",VLOOKUP($A14&amp;U$3,Data_Cong!$R:$AJ,10,0)))</f>
        <v>x</v>
      </c>
      <c r="V14" s="46" t="str">
        <f>IF(V$3="","",IF(TEXT(V$3,"ddd")="CN","CN",VLOOKUP($A14&amp;V$3,Data_Cong!$R:$AJ,10,0)))</f>
        <v/>
      </c>
      <c r="W14" s="46" t="str">
        <f>IF(W$3="","",IF(TEXT(W$3,"ddd")="CN","CN",VLOOKUP($A14&amp;W$3,Data_Cong!$R:$AJ,10,0)))</f>
        <v>x</v>
      </c>
      <c r="X14" s="46" t="str">
        <f>IF(X$3="","",IF(TEXT(X$3,"ddd")="CN","CN",VLOOKUP($A14&amp;X$3,Data_Cong!$R:$AJ,10,0)))</f>
        <v>CN</v>
      </c>
      <c r="Y14" s="46" t="str">
        <f>IF(Y$3="","",IF(TEXT(Y$3,"ddd")="CN","CN",VLOOKUP($A14&amp;Y$3,Data_Cong!$R:$AJ,10,0)))</f>
        <v>x</v>
      </c>
      <c r="Z14" s="46" t="str">
        <f>IF(Z$3="","",IF(TEXT(Z$3,"ddd")="CN","CN",VLOOKUP($A14&amp;Z$3,Data_Cong!$R:$AJ,10,0)))</f>
        <v>x</v>
      </c>
      <c r="AA14" s="46" t="str">
        <f>IF(AA$3="","",IF(TEXT(AA$3,"ddd")="CN","CN",VLOOKUP($A14&amp;AA$3,Data_Cong!$R:$AJ,10,0)))</f>
        <v>x</v>
      </c>
      <c r="AB14" s="46" t="str">
        <f>IF(AB$3="","",IF(TEXT(AB$3,"ddd")="CN","CN",VLOOKUP($A14&amp;AB$3,Data_Cong!$R:$AJ,10,0)))</f>
        <v>x</v>
      </c>
      <c r="AC14" s="46" t="str">
        <f>IF(AC$3="","",IF(TEXT(AC$3,"ddd")="CN","CN",VLOOKUP($A14&amp;AC$3,Data_Cong!$R:$AJ,10,0)))</f>
        <v>x</v>
      </c>
      <c r="AD14" s="46" t="str">
        <f>IF(AD$3="","",IF(TEXT(AD$3,"ddd")="CN","CN",VLOOKUP($A14&amp;AD$3,Data_Cong!$R:$AJ,10,0)))</f>
        <v/>
      </c>
      <c r="AE14" s="46" t="str">
        <f>IF(AE$3="","",IF(TEXT(AE$3,"ddd")="CN","CN",VLOOKUP($A14&amp;AE$3,Data_Cong!$R:$AJ,10,0)))</f>
        <v>CN</v>
      </c>
      <c r="AF14" s="46" t="str">
        <f>IF(AF$3="","",IF(TEXT(AF$3,"ddd")="CN","CN",VLOOKUP($A14&amp;AF$3,Data_Cong!$R:$AJ,10,0)))</f>
        <v>x</v>
      </c>
      <c r="AG14" s="46" t="str">
        <f>IF(AG$3="","",IF(TEXT(AG$3,"ddd")="CN","CN",VLOOKUP($A14&amp;AG$3,Data_Cong!$R:$AJ,10,0)))</f>
        <v>x</v>
      </c>
      <c r="AH14" s="46" t="str">
        <f>IF(AH$3="","",IF(TEXT(AH$3,"ddd")="CN","CN",VLOOKUP($A14&amp;AH$3,Data_Cong!$R:$AJ,10,0)))</f>
        <v/>
      </c>
      <c r="AI14" s="47" cm="1">
        <f t="array" ref="AI14">SUMPRODUCT((D14:AH14="x")*1+(D14:AH14="P")*1+(D14:AH14="1/2P")*1+(D14:AH14="1/2")*0.5+(D14:AH14="2x")*2+(D14:AH14="L")*1)</f>
        <v>22.5</v>
      </c>
      <c r="AJ14" s="48">
        <f>SUMIF(Data_Cong!A:A,$A14,Data_Cong!AE:AE)</f>
        <v>698</v>
      </c>
      <c r="AK14" s="49">
        <f>COUNTIFS(Data_Cong!AB:AB,"&gt;5",Data_Cong!A:A,A14)</f>
        <v>2</v>
      </c>
      <c r="AL14" s="50"/>
      <c r="AM14" s="50">
        <v>8</v>
      </c>
      <c r="AN14" s="47" cm="1">
        <f t="array" ref="AN14">IF((AM14+1)&gt;12,12,(AM14+1))-SUMPRODUCT((D14:AH14="P")*1+(D14:AH14="1/2P")*0.5)</f>
        <v>9</v>
      </c>
      <c r="AO14" s="47"/>
      <c r="AP14" s="51">
        <f>SUMIFS(Data_Cong!AF:AF,Data_Cong!A:A,$A14)+SUMIFS(Data_Cong!AG:AG,Data_Cong!A:A,$A14)</f>
        <v>130000</v>
      </c>
    </row>
    <row r="15" spans="1:42" ht="15.75" x14ac:dyDescent="0.25">
      <c r="A15" s="31" t="s">
        <v>590</v>
      </c>
      <c r="B15" s="44">
        <v>10</v>
      </c>
      <c r="C15" s="45" t="s">
        <v>687</v>
      </c>
      <c r="D15" s="46" t="str">
        <f>IF(D$3="","",IF(TEXT(D$3,"ddd")="CN","CN",VLOOKUP($A15&amp;D$3,Data_Cong!$R:$AJ,10,0)))</f>
        <v>L</v>
      </c>
      <c r="E15" s="46" t="str">
        <f>IF(E$3="","",IF(TEXT(E$3,"ddd")="CN","CN",VLOOKUP($A15&amp;E$3,Data_Cong!$R:$AJ,10,0)))</f>
        <v>L</v>
      </c>
      <c r="F15" s="46" t="str">
        <f>IF(F$3="","",IF(TEXT(F$3,"ddd")="CN","CN",VLOOKUP($A15&amp;F$3,Data_Cong!$R:$AJ,10,0)))</f>
        <v>x</v>
      </c>
      <c r="G15" s="46" t="str">
        <f>IF(G$3="","",IF(TEXT(G$3,"ddd")="CN","CN",VLOOKUP($A15&amp;G$3,Data_Cong!$R:$AJ,10,0)))</f>
        <v>x</v>
      </c>
      <c r="H15" s="46" t="str">
        <f>IF(H$3="","",IF(TEXT(H$3,"ddd")="CN","CN",VLOOKUP($A15&amp;H$3,Data_Cong!$R:$AJ,10,0)))</f>
        <v>x</v>
      </c>
      <c r="I15" s="46" t="str">
        <f>IF(I$3="","",IF(TEXT(I$3,"ddd")="CN","CN",VLOOKUP($A15&amp;I$3,Data_Cong!$R:$AJ,10,0)))</f>
        <v>x</v>
      </c>
      <c r="J15" s="46" t="str">
        <f>IF(J$3="","",IF(TEXT(J$3,"ddd")="CN","CN",VLOOKUP($A15&amp;J$3,Data_Cong!$R:$AJ,10,0)))</f>
        <v>CN</v>
      </c>
      <c r="K15" s="46" t="str">
        <f>IF(K$3="","",IF(TEXT(K$3,"ddd")="CN","CN",VLOOKUP($A15&amp;K$3,Data_Cong!$R:$AJ,10,0)))</f>
        <v>x</v>
      </c>
      <c r="L15" s="46" t="str">
        <f>IF(L$3="","",IF(TEXT(L$3,"ddd")="CN","CN",VLOOKUP($A15&amp;L$3,Data_Cong!$R:$AJ,10,0)))</f>
        <v>x</v>
      </c>
      <c r="M15" s="46" t="str">
        <f>IF(M$3="","",IF(TEXT(M$3,"ddd")="CN","CN",VLOOKUP($A15&amp;M$3,Data_Cong!$R:$AJ,10,0)))</f>
        <v>x</v>
      </c>
      <c r="N15" s="46" t="str">
        <f>IF(N$3="","",IF(TEXT(N$3,"ddd")="CN","CN",VLOOKUP($A15&amp;N$3,Data_Cong!$R:$AJ,10,0)))</f>
        <v>x</v>
      </c>
      <c r="O15" s="46" t="str">
        <f>IF(O$3="","",IF(TEXT(O$3,"ddd")="CN","CN",VLOOKUP($A15&amp;O$3,Data_Cong!$R:$AJ,10,0)))</f>
        <v>x</v>
      </c>
      <c r="P15" s="46" t="str">
        <f>IF(P$3="","",IF(TEXT(P$3,"ddd")="CN","CN",VLOOKUP($A15&amp;P$3,Data_Cong!$R:$AJ,10,0)))</f>
        <v>x</v>
      </c>
      <c r="Q15" s="46" t="str">
        <f>IF(Q$3="","",IF(TEXT(Q$3,"ddd")="CN","CN",VLOOKUP($A15&amp;Q$3,Data_Cong!$R:$AJ,10,0)))</f>
        <v>CN</v>
      </c>
      <c r="R15" s="46" t="str">
        <f>IF(R$3="","",IF(TEXT(R$3,"ddd")="CN","CN",VLOOKUP($A15&amp;R$3,Data_Cong!$R:$AJ,10,0)))</f>
        <v>1/2</v>
      </c>
      <c r="S15" s="46" t="str">
        <f>IF(S$3="","",IF(TEXT(S$3,"ddd")="CN","CN",VLOOKUP($A15&amp;S$3,Data_Cong!$R:$AJ,10,0)))</f>
        <v>x</v>
      </c>
      <c r="T15" s="46" t="str">
        <f>IF(T$3="","",IF(TEXT(T$3,"ddd")="CN","CN",VLOOKUP($A15&amp;T$3,Data_Cong!$R:$AJ,10,0)))</f>
        <v>x</v>
      </c>
      <c r="U15" s="46" t="str">
        <f>IF(U$3="","",IF(TEXT(U$3,"ddd")="CN","CN",VLOOKUP($A15&amp;U$3,Data_Cong!$R:$AJ,10,0)))</f>
        <v>x</v>
      </c>
      <c r="V15" s="46" t="str">
        <f>IF(V$3="","",IF(TEXT(V$3,"ddd")="CN","CN",VLOOKUP($A15&amp;V$3,Data_Cong!$R:$AJ,10,0)))</f>
        <v>x</v>
      </c>
      <c r="W15" s="46" t="str">
        <f>IF(W$3="","",IF(TEXT(W$3,"ddd")="CN","CN",VLOOKUP($A15&amp;W$3,Data_Cong!$R:$AJ,10,0)))</f>
        <v>x</v>
      </c>
      <c r="X15" s="46" t="str">
        <f>IF(X$3="","",IF(TEXT(X$3,"ddd")="CN","CN",VLOOKUP($A15&amp;X$3,Data_Cong!$R:$AJ,10,0)))</f>
        <v>CN</v>
      </c>
      <c r="Y15" s="46" t="str">
        <f>IF(Y$3="","",IF(TEXT(Y$3,"ddd")="CN","CN",VLOOKUP($A15&amp;Y$3,Data_Cong!$R:$AJ,10,0)))</f>
        <v>x</v>
      </c>
      <c r="Z15" s="46" t="str">
        <f>IF(Z$3="","",IF(TEXT(Z$3,"ddd")="CN","CN",VLOOKUP($A15&amp;Z$3,Data_Cong!$R:$AJ,10,0)))</f>
        <v>x</v>
      </c>
      <c r="AA15" s="46" t="str">
        <f>IF(AA$3="","",IF(TEXT(AA$3,"ddd")="CN","CN",VLOOKUP($A15&amp;AA$3,Data_Cong!$R:$AJ,10,0)))</f>
        <v>x</v>
      </c>
      <c r="AB15" s="46" t="str">
        <f>IF(AB$3="","",IF(TEXT(AB$3,"ddd")="CN","CN",VLOOKUP($A15&amp;AB$3,Data_Cong!$R:$AJ,10,0)))</f>
        <v>x</v>
      </c>
      <c r="AC15" s="46" t="str">
        <f>IF(AC$3="","",IF(TEXT(AC$3,"ddd")="CN","CN",VLOOKUP($A15&amp;AC$3,Data_Cong!$R:$AJ,10,0)))</f>
        <v>x</v>
      </c>
      <c r="AD15" s="46" t="str">
        <f>IF(AD$3="","",IF(TEXT(AD$3,"ddd")="CN","CN",VLOOKUP($A15&amp;AD$3,Data_Cong!$R:$AJ,10,0)))</f>
        <v>x</v>
      </c>
      <c r="AE15" s="46" t="str">
        <f>IF(AE$3="","",IF(TEXT(AE$3,"ddd")="CN","CN",VLOOKUP($A15&amp;AE$3,Data_Cong!$R:$AJ,10,0)))</f>
        <v>CN</v>
      </c>
      <c r="AF15" s="46" t="str">
        <f>IF(AF$3="","",IF(TEXT(AF$3,"ddd")="CN","CN",VLOOKUP($A15&amp;AF$3,Data_Cong!$R:$AJ,10,0)))</f>
        <v>x</v>
      </c>
      <c r="AG15" s="46" t="str">
        <f>IF(AG$3="","",IF(TEXT(AG$3,"ddd")="CN","CN",VLOOKUP($A15&amp;AG$3,Data_Cong!$R:$AJ,10,0)))</f>
        <v>x</v>
      </c>
      <c r="AH15" s="46" t="str">
        <f>IF(AH$3="","",IF(TEXT(AH$3,"ddd")="CN","CN",VLOOKUP($A15&amp;AH$3,Data_Cong!$R:$AJ,10,0)))</f>
        <v/>
      </c>
      <c r="AI15" s="47" cm="1">
        <f t="array" ref="AI15">SUMPRODUCT((D15:AH15="x")*1+(D15:AH15="P")*1+(D15:AH15="1/2P")*1+(D15:AH15="1/2")*0.5+(D15:AH15="2x")*2+(D15:AH15="L")*1)</f>
        <v>25.5</v>
      </c>
      <c r="AJ15" s="48">
        <f>SUMIF(Data_Cong!A:A,$A15,Data_Cong!AE:AE)</f>
        <v>0</v>
      </c>
      <c r="AK15" s="49">
        <f>COUNTIFS(Data_Cong!AB:AB,"&gt;5",Data_Cong!A:A,A15)</f>
        <v>2</v>
      </c>
      <c r="AL15" s="50"/>
      <c r="AM15" s="50">
        <v>0</v>
      </c>
      <c r="AN15" s="47" cm="1">
        <f t="array" ref="AN15">IF((AM15+1)&gt;12,12,(AM15+1))-SUMPRODUCT((D15:AH15="P")*1+(D15:AH15="1/2P")*0.5)</f>
        <v>1</v>
      </c>
      <c r="AO15" s="47"/>
      <c r="AP15" s="51">
        <f>SUMIFS(Data_Cong!AF:AF,Data_Cong!A:A,$A15)+SUMIFS(Data_Cong!AG:AG,Data_Cong!A:A,$A15)</f>
        <v>30000</v>
      </c>
    </row>
    <row r="16" spans="1:42" ht="15.75" x14ac:dyDescent="0.25">
      <c r="A16" s="31" t="s">
        <v>628</v>
      </c>
      <c r="B16" s="44">
        <v>11</v>
      </c>
      <c r="C16" s="45" t="s">
        <v>688</v>
      </c>
      <c r="D16" s="46" t="str">
        <f>IF(D$3="","",IF(TEXT(D$3,"ddd")="CN","CN",VLOOKUP($A16&amp;D$3,Data_Cong!$R:$AJ,10,0)))</f>
        <v>L</v>
      </c>
      <c r="E16" s="46" t="str">
        <f>IF(E$3="","",IF(TEXT(E$3,"ddd")="CN","CN",VLOOKUP($A16&amp;E$3,Data_Cong!$R:$AJ,10,0)))</f>
        <v>L</v>
      </c>
      <c r="F16" s="46" t="str">
        <f>IF(F$3="","",IF(TEXT(F$3,"ddd")="CN","CN",VLOOKUP($A16&amp;F$3,Data_Cong!$R:$AJ,10,0)))</f>
        <v>x</v>
      </c>
      <c r="G16" s="46" t="str">
        <f>IF(G$3="","",IF(TEXT(G$3,"ddd")="CN","CN",VLOOKUP($A16&amp;G$3,Data_Cong!$R:$AJ,10,0)))</f>
        <v>x</v>
      </c>
      <c r="H16" s="46" t="str">
        <f>IF(H$3="","",IF(TEXT(H$3,"ddd")="CN","CN",VLOOKUP($A16&amp;H$3,Data_Cong!$R:$AJ,10,0)))</f>
        <v>x</v>
      </c>
      <c r="I16" s="46" t="str">
        <f>IF(I$3="","",IF(TEXT(I$3,"ddd")="CN","CN",VLOOKUP($A16&amp;I$3,Data_Cong!$R:$AJ,10,0)))</f>
        <v>x</v>
      </c>
      <c r="J16" s="46" t="str">
        <f>IF(J$3="","",IF(TEXT(J$3,"ddd")="CN","CN",VLOOKUP($A16&amp;J$3,Data_Cong!$R:$AJ,10,0)))</f>
        <v>CN</v>
      </c>
      <c r="K16" s="46" t="str">
        <f>IF(K$3="","",IF(TEXT(K$3,"ddd")="CN","CN",VLOOKUP($A16&amp;K$3,Data_Cong!$R:$AJ,10,0)))</f>
        <v>x</v>
      </c>
      <c r="L16" s="46" t="str">
        <f>IF(L$3="","",IF(TEXT(L$3,"ddd")="CN","CN",VLOOKUP($A16&amp;L$3,Data_Cong!$R:$AJ,10,0)))</f>
        <v>x</v>
      </c>
      <c r="M16" s="46" t="str">
        <f>IF(M$3="","",IF(TEXT(M$3,"ddd")="CN","CN",VLOOKUP($A16&amp;M$3,Data_Cong!$R:$AJ,10,0)))</f>
        <v>x</v>
      </c>
      <c r="N16" s="46" t="str">
        <f>IF(N$3="","",IF(TEXT(N$3,"ddd")="CN","CN",VLOOKUP($A16&amp;N$3,Data_Cong!$R:$AJ,10,0)))</f>
        <v/>
      </c>
      <c r="O16" s="46" t="str">
        <f>IF(O$3="","",IF(TEXT(O$3,"ddd")="CN","CN",VLOOKUP($A16&amp;O$3,Data_Cong!$R:$AJ,10,0)))</f>
        <v>x</v>
      </c>
      <c r="P16" s="46" t="str">
        <f>IF(P$3="","",IF(TEXT(P$3,"ddd")="CN","CN",VLOOKUP($A16&amp;P$3,Data_Cong!$R:$AJ,10,0)))</f>
        <v>x</v>
      </c>
      <c r="Q16" s="46" t="str">
        <f>IF(Q$3="","",IF(TEXT(Q$3,"ddd")="CN","CN",VLOOKUP($A16&amp;Q$3,Data_Cong!$R:$AJ,10,0)))</f>
        <v>CN</v>
      </c>
      <c r="R16" s="46" t="str">
        <f>IF(R$3="","",IF(TEXT(R$3,"ddd")="CN","CN",VLOOKUP($A16&amp;R$3,Data_Cong!$R:$AJ,10,0)))</f>
        <v>x</v>
      </c>
      <c r="S16" s="46" t="str">
        <f>IF(S$3="","",IF(TEXT(S$3,"ddd")="CN","CN",VLOOKUP($A16&amp;S$3,Data_Cong!$R:$AJ,10,0)))</f>
        <v>x</v>
      </c>
      <c r="T16" s="46" t="str">
        <f>IF(T$3="","",IF(TEXT(T$3,"ddd")="CN","CN",VLOOKUP($A16&amp;T$3,Data_Cong!$R:$AJ,10,0)))</f>
        <v>x</v>
      </c>
      <c r="U16" s="46" t="str">
        <f>IF(U$3="","",IF(TEXT(U$3,"ddd")="CN","CN",VLOOKUP($A16&amp;U$3,Data_Cong!$R:$AJ,10,0)))</f>
        <v>x</v>
      </c>
      <c r="V16" s="46" t="str">
        <f>IF(V$3="","",IF(TEXT(V$3,"ddd")="CN","CN",VLOOKUP($A16&amp;V$3,Data_Cong!$R:$AJ,10,0)))</f>
        <v>x</v>
      </c>
      <c r="W16" s="46" t="str">
        <f>IF(W$3="","",IF(TEXT(W$3,"ddd")="CN","CN",VLOOKUP($A16&amp;W$3,Data_Cong!$R:$AJ,10,0)))</f>
        <v>x</v>
      </c>
      <c r="X16" s="46" t="str">
        <f>IF(X$3="","",IF(TEXT(X$3,"ddd")="CN","CN",VLOOKUP($A16&amp;X$3,Data_Cong!$R:$AJ,10,0)))</f>
        <v>CN</v>
      </c>
      <c r="Y16" s="46" t="str">
        <f>IF(Y$3="","",IF(TEXT(Y$3,"ddd")="CN","CN",VLOOKUP($A16&amp;Y$3,Data_Cong!$R:$AJ,10,0)))</f>
        <v>x</v>
      </c>
      <c r="Z16" s="46" t="str">
        <f>IF(Z$3="","",IF(TEXT(Z$3,"ddd")="CN","CN",VLOOKUP($A16&amp;Z$3,Data_Cong!$R:$AJ,10,0)))</f>
        <v>x</v>
      </c>
      <c r="AA16" s="46" t="str">
        <f>IF(AA$3="","",IF(TEXT(AA$3,"ddd")="CN","CN",VLOOKUP($A16&amp;AA$3,Data_Cong!$R:$AJ,10,0)))</f>
        <v>x</v>
      </c>
      <c r="AB16" s="46" t="str">
        <f>IF(AB$3="","",IF(TEXT(AB$3,"ddd")="CN","CN",VLOOKUP($A16&amp;AB$3,Data_Cong!$R:$AJ,10,0)))</f>
        <v>x</v>
      </c>
      <c r="AC16" s="46" t="str">
        <f>IF(AC$3="","",IF(TEXT(AC$3,"ddd")="CN","CN",VLOOKUP($A16&amp;AC$3,Data_Cong!$R:$AJ,10,0)))</f>
        <v>x</v>
      </c>
      <c r="AD16" s="46" t="str">
        <f>IF(AD$3="","",IF(TEXT(AD$3,"ddd")="CN","CN",VLOOKUP($A16&amp;AD$3,Data_Cong!$R:$AJ,10,0)))</f>
        <v>x</v>
      </c>
      <c r="AE16" s="46" t="str">
        <f>IF(AE$3="","",IF(TEXT(AE$3,"ddd")="CN","CN",VLOOKUP($A16&amp;AE$3,Data_Cong!$R:$AJ,10,0)))</f>
        <v>CN</v>
      </c>
      <c r="AF16" s="46" t="str">
        <f>IF(AF$3="","",IF(TEXT(AF$3,"ddd")="CN","CN",VLOOKUP($A16&amp;AF$3,Data_Cong!$R:$AJ,10,0)))</f>
        <v>x</v>
      </c>
      <c r="AG16" s="46" t="str">
        <f>IF(AG$3="","",IF(TEXT(AG$3,"ddd")="CN","CN",VLOOKUP($A16&amp;AG$3,Data_Cong!$R:$AJ,10,0)))</f>
        <v>x</v>
      </c>
      <c r="AH16" s="46" t="str">
        <f>IF(AH$3="","",IF(TEXT(AH$3,"ddd")="CN","CN",VLOOKUP($A16&amp;AH$3,Data_Cong!$R:$AJ,10,0)))</f>
        <v/>
      </c>
      <c r="AI16" s="47" cm="1">
        <f t="array" ref="AI16">SUMPRODUCT((D16:AH16="x")*1+(D16:AH16="P")*1+(D16:AH16="1/2P")*1+(D16:AH16="1/2")*0.5+(D16:AH16="2x")*2+(D16:AH16="L")*1)</f>
        <v>25</v>
      </c>
      <c r="AJ16" s="48">
        <f>SUMIF(Data_Cong!A:A,$A16,Data_Cong!AE:AE)</f>
        <v>0</v>
      </c>
      <c r="AK16" s="49">
        <f>COUNTIFS(Data_Cong!AB:AB,"&gt;5",Data_Cong!A:A,A16)</f>
        <v>0</v>
      </c>
      <c r="AL16" s="50"/>
      <c r="AM16" s="50">
        <v>1</v>
      </c>
      <c r="AN16" s="47" cm="1">
        <f t="array" ref="AN16">IF((AM16+1)&gt;12,12,(AM16+1))-SUMPRODUCT((D16:AH16="P")*1+(D16:AH16="1/2P")*0.5)</f>
        <v>2</v>
      </c>
      <c r="AO16" s="47"/>
      <c r="AP16" s="51">
        <f>SUMIFS(Data_Cong!AF:AF,Data_Cong!A:A,$A16)+SUMIFS(Data_Cong!AG:AG,Data_Cong!A:A,$A16)</f>
        <v>0</v>
      </c>
    </row>
    <row r="17" spans="1:42" ht="15.75" x14ac:dyDescent="0.25">
      <c r="A17" s="31" t="s">
        <v>233</v>
      </c>
      <c r="B17" s="44">
        <v>12</v>
      </c>
      <c r="C17" s="45" t="s">
        <v>689</v>
      </c>
      <c r="D17" s="46" t="str">
        <f>IF(D$3="","",IF(TEXT(D$3,"ddd")="CN","CN",VLOOKUP($A17&amp;D$3,Data_Cong!$R:$AJ,10,0)))</f>
        <v>L</v>
      </c>
      <c r="E17" s="46" t="str">
        <f>IF(E$3="","",IF(TEXT(E$3,"ddd")="CN","CN",VLOOKUP($A17&amp;E$3,Data_Cong!$R:$AJ,10,0)))</f>
        <v>L</v>
      </c>
      <c r="F17" s="46" t="str">
        <f>IF(F$3="","",IF(TEXT(F$3,"ddd")="CN","CN",VLOOKUP($A17&amp;F$3,Data_Cong!$R:$AJ,10,0)))</f>
        <v>x</v>
      </c>
      <c r="G17" s="46" t="str">
        <f>IF(G$3="","",IF(TEXT(G$3,"ddd")="CN","CN",VLOOKUP($A17&amp;G$3,Data_Cong!$R:$AJ,10,0)))</f>
        <v>x</v>
      </c>
      <c r="H17" s="46" t="str">
        <f>IF(H$3="","",IF(TEXT(H$3,"ddd")="CN","CN",VLOOKUP($A17&amp;H$3,Data_Cong!$R:$AJ,10,0)))</f>
        <v>x</v>
      </c>
      <c r="I17" s="46" t="str">
        <f>IF(I$3="","",IF(TEXT(I$3,"ddd")="CN","CN",VLOOKUP($A17&amp;I$3,Data_Cong!$R:$AJ,10,0)))</f>
        <v>x</v>
      </c>
      <c r="J17" s="46" t="str">
        <f>IF(J$3="","",IF(TEXT(J$3,"ddd")="CN","CN",VLOOKUP($A17&amp;J$3,Data_Cong!$R:$AJ,10,0)))</f>
        <v>CN</v>
      </c>
      <c r="K17" s="46" t="str">
        <f>IF(K$3="","",IF(TEXT(K$3,"ddd")="CN","CN",VLOOKUP($A17&amp;K$3,Data_Cong!$R:$AJ,10,0)))</f>
        <v>x</v>
      </c>
      <c r="L17" s="46" t="str">
        <f>IF(L$3="","",IF(TEXT(L$3,"ddd")="CN","CN",VLOOKUP($A17&amp;L$3,Data_Cong!$R:$AJ,10,0)))</f>
        <v>x</v>
      </c>
      <c r="M17" s="46" t="str">
        <f>IF(M$3="","",IF(TEXT(M$3,"ddd")="CN","CN",VLOOKUP($A17&amp;M$3,Data_Cong!$R:$AJ,10,0)))</f>
        <v>x</v>
      </c>
      <c r="N17" s="46" t="str">
        <f>IF(N$3="","",IF(TEXT(N$3,"ddd")="CN","CN",VLOOKUP($A17&amp;N$3,Data_Cong!$R:$AJ,10,0)))</f>
        <v>x</v>
      </c>
      <c r="O17" s="46" t="str">
        <f>IF(O$3="","",IF(TEXT(O$3,"ddd")="CN","CN",VLOOKUP($A17&amp;O$3,Data_Cong!$R:$AJ,10,0)))</f>
        <v>x</v>
      </c>
      <c r="P17" s="46" t="str">
        <f>IF(P$3="","",IF(TEXT(P$3,"ddd")="CN","CN",VLOOKUP($A17&amp;P$3,Data_Cong!$R:$AJ,10,0)))</f>
        <v>x</v>
      </c>
      <c r="Q17" s="46" t="str">
        <f>IF(Q$3="","",IF(TEXT(Q$3,"ddd")="CN","CN",VLOOKUP($A17&amp;Q$3,Data_Cong!$R:$AJ,10,0)))</f>
        <v>CN</v>
      </c>
      <c r="R17" s="46" t="str">
        <f>IF(R$3="","",IF(TEXT(R$3,"ddd")="CN","CN",VLOOKUP($A17&amp;R$3,Data_Cong!$R:$AJ,10,0)))</f>
        <v>x</v>
      </c>
      <c r="S17" s="46" t="str">
        <f>IF(S$3="","",IF(TEXT(S$3,"ddd")="CN","CN",VLOOKUP($A17&amp;S$3,Data_Cong!$R:$AJ,10,0)))</f>
        <v/>
      </c>
      <c r="T17" s="46" t="str">
        <f>IF(T$3="","",IF(TEXT(T$3,"ddd")="CN","CN",VLOOKUP($A17&amp;T$3,Data_Cong!$R:$AJ,10,0)))</f>
        <v/>
      </c>
      <c r="U17" s="46" t="str">
        <f>IF(U$3="","",IF(TEXT(U$3,"ddd")="CN","CN",VLOOKUP($A17&amp;U$3,Data_Cong!$R:$AJ,10,0)))</f>
        <v/>
      </c>
      <c r="V17" s="46" t="str">
        <f>IF(V$3="","",IF(TEXT(V$3,"ddd")="CN","CN",VLOOKUP($A17&amp;V$3,Data_Cong!$R:$AJ,10,0)))</f>
        <v/>
      </c>
      <c r="W17" s="46" t="str">
        <f>IF(W$3="","",IF(TEXT(W$3,"ddd")="CN","CN",VLOOKUP($A17&amp;W$3,Data_Cong!$R:$AJ,10,0)))</f>
        <v/>
      </c>
      <c r="X17" s="46" t="str">
        <f>IF(X$3="","",IF(TEXT(X$3,"ddd")="CN","CN",VLOOKUP($A17&amp;X$3,Data_Cong!$R:$AJ,10,0)))</f>
        <v>CN</v>
      </c>
      <c r="Y17" s="46" t="str">
        <f>IF(Y$3="","",IF(TEXT(Y$3,"ddd")="CN","CN",VLOOKUP($A17&amp;Y$3,Data_Cong!$R:$AJ,10,0)))</f>
        <v>x</v>
      </c>
      <c r="Z17" s="46" t="str">
        <f>IF(Z$3="","",IF(TEXT(Z$3,"ddd")="CN","CN",VLOOKUP($A17&amp;Z$3,Data_Cong!$R:$AJ,10,0)))</f>
        <v>x</v>
      </c>
      <c r="AA17" s="46" t="str">
        <f>IF(AA$3="","",IF(TEXT(AA$3,"ddd")="CN","CN",VLOOKUP($A17&amp;AA$3,Data_Cong!$R:$AJ,10,0)))</f>
        <v>x</v>
      </c>
      <c r="AB17" s="46" t="str">
        <f>IF(AB$3="","",IF(TEXT(AB$3,"ddd")="CN","CN",VLOOKUP($A17&amp;AB$3,Data_Cong!$R:$AJ,10,0)))</f>
        <v>x</v>
      </c>
      <c r="AC17" s="46" t="str">
        <f>IF(AC$3="","",IF(TEXT(AC$3,"ddd")="CN","CN",VLOOKUP($A17&amp;AC$3,Data_Cong!$R:$AJ,10,0)))</f>
        <v>x</v>
      </c>
      <c r="AD17" s="46" t="str">
        <f>IF(AD$3="","",IF(TEXT(AD$3,"ddd")="CN","CN",VLOOKUP($A17&amp;AD$3,Data_Cong!$R:$AJ,10,0)))</f>
        <v>x</v>
      </c>
      <c r="AE17" s="46" t="str">
        <f>IF(AE$3="","",IF(TEXT(AE$3,"ddd")="CN","CN",VLOOKUP($A17&amp;AE$3,Data_Cong!$R:$AJ,10,0)))</f>
        <v>CN</v>
      </c>
      <c r="AF17" s="46" t="str">
        <f>IF(AF$3="","",IF(TEXT(AF$3,"ddd")="CN","CN",VLOOKUP($A17&amp;AF$3,Data_Cong!$R:$AJ,10,0)))</f>
        <v>x</v>
      </c>
      <c r="AG17" s="46" t="str">
        <f>IF(AG$3="","",IF(TEXT(AG$3,"ddd")="CN","CN",VLOOKUP($A17&amp;AG$3,Data_Cong!$R:$AJ,10,0)))</f>
        <v>x</v>
      </c>
      <c r="AH17" s="46" t="str">
        <f>IF(AH$3="","",IF(TEXT(AH$3,"ddd")="CN","CN",VLOOKUP($A17&amp;AH$3,Data_Cong!$R:$AJ,10,0)))</f>
        <v/>
      </c>
      <c r="AI17" s="47" cm="1">
        <f t="array" ref="AI17">SUMPRODUCT((D17:AH17="x")*1+(D17:AH17="P")*1+(D17:AH17="1/2P")*1+(D17:AH17="1/2")*0.5+(D17:AH17="2x")*2+(D17:AH17="L")*1)</f>
        <v>21</v>
      </c>
      <c r="AJ17" s="48">
        <f>SUMIF(Data_Cong!A:A,$A17,Data_Cong!AE:AE)</f>
        <v>1259</v>
      </c>
      <c r="AK17" s="49">
        <f>COUNTIFS(Data_Cong!AB:AB,"&gt;5",Data_Cong!A:A,A17)</f>
        <v>0</v>
      </c>
      <c r="AL17" s="50"/>
      <c r="AM17" s="50">
        <v>10.5</v>
      </c>
      <c r="AN17" s="47" cm="1">
        <f t="array" ref="AN17">IF((AM17+1)&gt;12,12,(AM17+1))-SUMPRODUCT((D17:AH17="P")*1+(D17:AH17="1/2P")*0.5)</f>
        <v>11.5</v>
      </c>
      <c r="AO17" s="47"/>
      <c r="AP17" s="51">
        <f>SUMIFS(Data_Cong!AF:AF,Data_Cong!A:A,$A17)+SUMIFS(Data_Cong!AG:AG,Data_Cong!A:A,$A17)</f>
        <v>0</v>
      </c>
    </row>
    <row r="18" spans="1:42" ht="15.75" x14ac:dyDescent="0.25">
      <c r="A18" s="31"/>
      <c r="B18" s="55"/>
      <c r="C18" s="55"/>
      <c r="D18" s="56"/>
      <c r="E18" s="57"/>
      <c r="F18" s="55"/>
      <c r="G18" s="55"/>
      <c r="H18" s="55"/>
      <c r="I18" s="55"/>
      <c r="J18" s="58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31"/>
      <c r="AK18" s="31"/>
      <c r="AL18" s="31"/>
      <c r="AM18" s="31"/>
      <c r="AN18" s="31"/>
      <c r="AO18" s="31"/>
      <c r="AP18" s="34"/>
    </row>
    <row r="19" spans="1:42" ht="15.75" x14ac:dyDescent="0.25">
      <c r="A19" s="31"/>
      <c r="B19" s="55"/>
      <c r="C19" s="55"/>
      <c r="D19" s="56" t="s">
        <v>762</v>
      </c>
      <c r="E19" s="57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31"/>
      <c r="AK19" s="31"/>
      <c r="AL19" s="31"/>
      <c r="AM19" s="31"/>
      <c r="AN19" s="31"/>
      <c r="AO19" s="31"/>
      <c r="AP19" s="34"/>
    </row>
    <row r="20" spans="1:42" ht="15.75" x14ac:dyDescent="0.25">
      <c r="A20" s="31"/>
      <c r="B20" s="55"/>
      <c r="C20" s="55"/>
      <c r="D20" s="56" t="s">
        <v>763</v>
      </c>
      <c r="E20" s="57" t="s">
        <v>764</v>
      </c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31"/>
      <c r="AK20" s="31"/>
      <c r="AL20" s="31"/>
      <c r="AM20" s="31"/>
      <c r="AN20" s="31"/>
      <c r="AO20" s="31"/>
      <c r="AP20" s="34"/>
    </row>
    <row r="21" spans="1:42" ht="15.75" x14ac:dyDescent="0.25">
      <c r="A21" s="31"/>
      <c r="B21" s="55"/>
      <c r="C21" s="55"/>
      <c r="D21" s="56" t="s">
        <v>765</v>
      </c>
      <c r="E21" s="57" t="s">
        <v>766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31"/>
      <c r="AK21" s="31"/>
      <c r="AL21" s="31"/>
      <c r="AM21" s="31"/>
      <c r="AN21" s="31"/>
      <c r="AO21" s="31"/>
      <c r="AP21" s="34"/>
    </row>
    <row r="22" spans="1:42" ht="15.75" x14ac:dyDescent="0.25">
      <c r="A22" s="31"/>
      <c r="B22" s="55"/>
      <c r="C22" s="55"/>
      <c r="D22" s="59" t="s">
        <v>767</v>
      </c>
      <c r="E22" s="57" t="s">
        <v>768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31"/>
      <c r="AK22" s="31"/>
      <c r="AL22" s="31"/>
      <c r="AM22" s="31"/>
      <c r="AN22" s="31"/>
      <c r="AO22" s="31"/>
      <c r="AP22" s="34"/>
    </row>
    <row r="23" spans="1:42" ht="15.75" x14ac:dyDescent="0.25">
      <c r="A23" s="31"/>
      <c r="B23" s="55"/>
      <c r="C23" s="55"/>
      <c r="D23" s="60" t="s">
        <v>769</v>
      </c>
      <c r="E23" s="57" t="s">
        <v>770</v>
      </c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31"/>
      <c r="Z23" s="61"/>
      <c r="AA23" s="61"/>
      <c r="AB23" s="61"/>
      <c r="AC23" s="61"/>
      <c r="AD23" s="61"/>
      <c r="AE23" s="61"/>
      <c r="AF23" s="61"/>
      <c r="AG23" s="61"/>
      <c r="AH23" s="61"/>
      <c r="AI23" s="55"/>
      <c r="AJ23" s="31"/>
      <c r="AK23" s="31"/>
      <c r="AL23" s="31"/>
      <c r="AM23" s="31"/>
      <c r="AN23" s="31"/>
      <c r="AO23" s="31"/>
      <c r="AP23" s="34"/>
    </row>
    <row r="24" spans="1:42" ht="15.75" x14ac:dyDescent="0.25">
      <c r="A24" s="31"/>
      <c r="B24" s="55"/>
      <c r="C24" s="55"/>
      <c r="D24" s="62" t="s">
        <v>771</v>
      </c>
      <c r="E24" s="57" t="s">
        <v>772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31"/>
      <c r="Z24" s="61"/>
      <c r="AA24" s="61"/>
      <c r="AB24" s="61"/>
      <c r="AC24" s="61"/>
      <c r="AD24" s="61"/>
      <c r="AE24" s="61"/>
      <c r="AF24" s="61"/>
      <c r="AG24" s="61"/>
      <c r="AH24" s="61"/>
      <c r="AI24" s="55"/>
      <c r="AJ24" s="31"/>
      <c r="AK24" s="31"/>
      <c r="AL24" s="31"/>
      <c r="AM24" s="31"/>
      <c r="AN24" s="31"/>
      <c r="AO24" s="31"/>
      <c r="AP24" s="34"/>
    </row>
    <row r="25" spans="1:42" ht="15.75" x14ac:dyDescent="0.25">
      <c r="A25" s="31"/>
      <c r="B25" s="55"/>
      <c r="C25" s="55"/>
      <c r="D25" s="56" t="s">
        <v>773</v>
      </c>
      <c r="E25" s="57" t="s">
        <v>774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55"/>
      <c r="AJ25" s="31"/>
      <c r="AK25" s="31"/>
      <c r="AL25" s="31"/>
      <c r="AM25" s="31"/>
      <c r="AN25" s="31"/>
      <c r="AO25" s="31"/>
      <c r="AP25" s="34"/>
    </row>
    <row r="26" spans="1:42" ht="15.75" x14ac:dyDescent="0.25">
      <c r="A26" s="31"/>
      <c r="B26" s="55"/>
      <c r="C26" s="55"/>
      <c r="D26" s="63" t="s">
        <v>775</v>
      </c>
      <c r="E26" s="57" t="s">
        <v>776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64"/>
      <c r="AD26" s="64"/>
      <c r="AE26" s="64"/>
      <c r="AF26" s="64"/>
      <c r="AG26" s="64"/>
      <c r="AH26" s="64"/>
      <c r="AI26" s="55"/>
      <c r="AJ26" s="31"/>
      <c r="AK26" s="31"/>
      <c r="AL26" s="31"/>
      <c r="AM26" s="31"/>
      <c r="AN26" s="31"/>
      <c r="AO26" s="31"/>
      <c r="AP26" s="34"/>
    </row>
    <row r="27" spans="1:42" ht="15.75" x14ac:dyDescent="0.25">
      <c r="A27" s="31"/>
      <c r="B27" s="55"/>
      <c r="C27" s="55"/>
      <c r="D27" s="65" t="s">
        <v>777</v>
      </c>
      <c r="E27" s="57" t="s">
        <v>778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55"/>
      <c r="AD27" s="55"/>
      <c r="AE27" s="55"/>
      <c r="AF27" s="55"/>
      <c r="AG27" s="55"/>
      <c r="AH27" s="55"/>
      <c r="AI27" s="55"/>
      <c r="AJ27" s="31"/>
      <c r="AK27" s="31"/>
      <c r="AL27" s="31"/>
      <c r="AM27" s="31"/>
      <c r="AN27" s="31"/>
      <c r="AO27" s="31"/>
      <c r="AP27" s="34"/>
    </row>
    <row r="28" spans="1:42" ht="15.75" x14ac:dyDescent="0.25">
      <c r="A28" s="31"/>
      <c r="B28" s="55"/>
      <c r="C28" s="55"/>
      <c r="D28" s="56"/>
      <c r="E28" s="57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55"/>
      <c r="AD28" s="55"/>
      <c r="AE28" s="55"/>
      <c r="AF28" s="55"/>
      <c r="AG28" s="55"/>
      <c r="AH28" s="55"/>
      <c r="AI28" s="55"/>
      <c r="AJ28" s="31"/>
      <c r="AK28" s="31"/>
      <c r="AL28" s="31"/>
      <c r="AM28" s="31"/>
      <c r="AN28" s="31"/>
      <c r="AO28" s="31"/>
      <c r="AP28" s="34"/>
    </row>
    <row r="29" spans="1:42" ht="15.75" x14ac:dyDescent="0.25">
      <c r="A29" s="31"/>
      <c r="B29" s="55"/>
      <c r="C29" s="55"/>
      <c r="D29" s="56"/>
      <c r="E29" s="57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61" t="str">
        <f>"Ngày "&amp;DAY(EOMONTH(AN1,0))&amp;" Tháng "&amp;MONTH(AN1)&amp;" Năm "&amp;YEAR(AN1)</f>
        <v>Ngày 30 Tháng 9 Năm 2025</v>
      </c>
      <c r="Z29" s="31"/>
      <c r="AA29" s="31"/>
      <c r="AB29" s="31"/>
      <c r="AC29" s="55"/>
      <c r="AD29" s="55"/>
      <c r="AE29" s="55"/>
      <c r="AF29" s="55"/>
      <c r="AG29" s="55"/>
      <c r="AH29" s="55"/>
      <c r="AI29" s="55"/>
      <c r="AJ29" s="31"/>
      <c r="AK29" s="31"/>
      <c r="AL29" s="31"/>
      <c r="AM29" s="31"/>
      <c r="AN29" s="31"/>
      <c r="AO29" s="31"/>
      <c r="AP29" s="34"/>
    </row>
    <row r="30" spans="1:42" ht="15.75" x14ac:dyDescent="0.25">
      <c r="A30" s="31"/>
      <c r="B30" s="55"/>
      <c r="C30" s="55"/>
      <c r="D30" s="55"/>
      <c r="E30" s="55"/>
      <c r="F30" s="74" t="s">
        <v>779</v>
      </c>
      <c r="G30" s="74"/>
      <c r="H30" s="74"/>
      <c r="I30" s="74"/>
      <c r="J30" s="74"/>
      <c r="K30" s="74"/>
      <c r="L30" s="64"/>
      <c r="M30" s="64"/>
      <c r="N30" s="64"/>
      <c r="O30" s="55"/>
      <c r="P30" s="55"/>
      <c r="Q30" s="55"/>
      <c r="R30" s="55"/>
      <c r="S30" s="55"/>
      <c r="T30" s="55"/>
      <c r="U30" s="55"/>
      <c r="V30" s="55"/>
      <c r="W30" s="74" t="s">
        <v>780</v>
      </c>
      <c r="X30" s="74"/>
      <c r="Y30" s="74"/>
      <c r="Z30" s="74"/>
      <c r="AA30" s="74"/>
      <c r="AB30" s="74"/>
      <c r="AC30" s="55"/>
      <c r="AD30" s="55"/>
      <c r="AE30" s="55"/>
      <c r="AF30" s="55"/>
      <c r="AG30" s="55"/>
      <c r="AH30" s="55"/>
      <c r="AI30" s="55"/>
      <c r="AJ30" s="31"/>
      <c r="AK30" s="31"/>
      <c r="AL30" s="31"/>
      <c r="AM30" s="31"/>
      <c r="AN30" s="31"/>
      <c r="AO30" s="31"/>
      <c r="AP30" s="34"/>
    </row>
    <row r="31" spans="1:42" x14ac:dyDescent="0.25">
      <c r="A31" s="31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31"/>
      <c r="AK31" s="31"/>
      <c r="AL31" s="31"/>
      <c r="AM31" s="31"/>
      <c r="AN31" s="31"/>
      <c r="AO31" s="31"/>
      <c r="AP31" s="34"/>
    </row>
    <row r="32" spans="1:42" x14ac:dyDescent="0.25">
      <c r="A32" s="31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31"/>
      <c r="AK32" s="31"/>
      <c r="AL32" s="31"/>
      <c r="AM32" s="31"/>
      <c r="AN32" s="31"/>
      <c r="AO32" s="31"/>
      <c r="AP32" s="34"/>
    </row>
    <row r="33" spans="1:42" x14ac:dyDescent="0.25">
      <c r="A33" s="31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31"/>
      <c r="AK33" s="31"/>
      <c r="AL33" s="31"/>
      <c r="AM33" s="31"/>
      <c r="AN33" s="31"/>
      <c r="AO33" s="31"/>
      <c r="AP33" s="34"/>
    </row>
    <row r="34" spans="1:42" x14ac:dyDescent="0.25">
      <c r="A34" s="31"/>
      <c r="B34" s="55"/>
      <c r="C34" s="55"/>
      <c r="D34" s="55"/>
      <c r="E34" s="55"/>
      <c r="F34" s="66"/>
      <c r="G34" s="66"/>
      <c r="H34" s="66"/>
      <c r="I34" s="66"/>
      <c r="J34" s="66"/>
      <c r="K34" s="66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66"/>
      <c r="X34" s="66"/>
      <c r="Y34" s="66"/>
      <c r="Z34" s="66"/>
      <c r="AA34" s="66"/>
      <c r="AB34" s="66"/>
      <c r="AC34" s="55"/>
      <c r="AD34" s="55"/>
      <c r="AE34" s="55"/>
      <c r="AF34" s="55"/>
      <c r="AG34" s="55"/>
      <c r="AH34" s="55"/>
      <c r="AI34" s="55"/>
      <c r="AJ34" s="31"/>
      <c r="AK34" s="31"/>
      <c r="AL34" s="31"/>
      <c r="AM34" s="31"/>
      <c r="AN34" s="31"/>
      <c r="AO34" s="31"/>
      <c r="AP34" s="34"/>
    </row>
    <row r="35" spans="1:42" x14ac:dyDescent="0.25">
      <c r="A35" s="31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31"/>
      <c r="AK35" s="31"/>
      <c r="AL35" s="31"/>
      <c r="AM35" s="31"/>
      <c r="AN35" s="31"/>
      <c r="AO35" s="31"/>
      <c r="AP35" s="34"/>
    </row>
    <row r="36" spans="1:42" ht="15.75" x14ac:dyDescent="0.25">
      <c r="A36" s="31"/>
      <c r="B36" s="55"/>
      <c r="C36" s="55"/>
      <c r="D36" s="55"/>
      <c r="E36" s="55"/>
      <c r="F36" s="74" t="s">
        <v>691</v>
      </c>
      <c r="G36" s="74"/>
      <c r="H36" s="74"/>
      <c r="I36" s="74"/>
      <c r="J36" s="74"/>
      <c r="K36" s="7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74" t="s">
        <v>781</v>
      </c>
      <c r="X36" s="74"/>
      <c r="Y36" s="74"/>
      <c r="Z36" s="74"/>
      <c r="AA36" s="74"/>
      <c r="AB36" s="74"/>
      <c r="AC36" s="55"/>
      <c r="AD36" s="55"/>
      <c r="AE36" s="55"/>
      <c r="AF36" s="55"/>
      <c r="AG36" s="55"/>
      <c r="AH36" s="55"/>
      <c r="AI36" s="55"/>
      <c r="AJ36" s="31"/>
      <c r="AK36" s="31"/>
      <c r="AL36" s="31"/>
      <c r="AM36" s="31"/>
      <c r="AN36" s="31"/>
      <c r="AO36" s="31"/>
      <c r="AP36" s="34"/>
    </row>
  </sheetData>
  <mergeCells count="18">
    <mergeCell ref="B3:B4"/>
    <mergeCell ref="C3:C4"/>
    <mergeCell ref="AI3:AI4"/>
    <mergeCell ref="AJ3:AJ4"/>
    <mergeCell ref="AK3:AK4"/>
    <mergeCell ref="AP3:AP4"/>
    <mergeCell ref="F30:K30"/>
    <mergeCell ref="W30:AB30"/>
    <mergeCell ref="C1:AK1"/>
    <mergeCell ref="AN1:AO1"/>
    <mergeCell ref="R2:S2"/>
    <mergeCell ref="U2:W2"/>
    <mergeCell ref="AL3:AL4"/>
    <mergeCell ref="F36:K36"/>
    <mergeCell ref="W36:AB36"/>
    <mergeCell ref="AM3:AM4"/>
    <mergeCell ref="AN3:AN4"/>
    <mergeCell ref="AO3:AO4"/>
  </mergeCells>
  <conditionalFormatting sqref="C5">
    <cfRule type="duplicateValues" dxfId="15" priority="27"/>
  </conditionalFormatting>
  <conditionalFormatting sqref="C6">
    <cfRule type="duplicateValues" dxfId="14" priority="26"/>
  </conditionalFormatting>
  <conditionalFormatting sqref="C15">
    <cfRule type="duplicateValues" dxfId="13" priority="25"/>
  </conditionalFormatting>
  <conditionalFormatting sqref="D6:AH17">
    <cfRule type="containsText" dxfId="12" priority="8" operator="containsText" text="CN">
      <formula>NOT(ISERROR(SEARCH("CN",D6)))</formula>
    </cfRule>
    <cfRule type="containsText" dxfId="11" priority="9" operator="containsText" text="1/2P">
      <formula>NOT(ISERROR(SEARCH("1/2P",D6)))</formula>
    </cfRule>
    <cfRule type="containsText" dxfId="10" priority="10" operator="containsText" text="1/2">
      <formula>NOT(ISERROR(SEARCH("1/2",D6)))</formula>
    </cfRule>
    <cfRule type="containsText" dxfId="9" priority="11" operator="containsText" text="P">
      <formula>NOT(ISERROR(SEARCH("P",D6)))</formula>
    </cfRule>
    <cfRule type="containsText" dxfId="8" priority="12" operator="containsText" text="v">
      <formula>NOT(ISERROR(SEARCH("v",D6)))</formula>
    </cfRule>
  </conditionalFormatting>
  <conditionalFormatting sqref="D6:AH17">
    <cfRule type="containsText" dxfId="7" priority="7" operator="containsText" text="1/2CP">
      <formula>NOT(ISERROR(SEARCH("1/2CP",D6)))</formula>
    </cfRule>
  </conditionalFormatting>
  <conditionalFormatting sqref="D5:AP5">
    <cfRule type="containsText" dxfId="6" priority="19" operator="containsText" text="1/2CP">
      <formula>NOT(ISERROR(SEARCH("1/2CP",D5)))</formula>
    </cfRule>
    <cfRule type="containsText" dxfId="5" priority="20" operator="containsText" text="CN">
      <formula>NOT(ISERROR(SEARCH("CN",D5)))</formula>
    </cfRule>
    <cfRule type="containsText" dxfId="4" priority="21" operator="containsText" text="1/2P">
      <formula>NOT(ISERROR(SEARCH("1/2P",D5)))</formula>
    </cfRule>
    <cfRule type="containsText" dxfId="3" priority="22" operator="containsText" text="1/2">
      <formula>NOT(ISERROR(SEARCH("1/2",D5)))</formula>
    </cfRule>
    <cfRule type="containsText" dxfId="2" priority="24" operator="containsText" text="v">
      <formula>NOT(ISERROR(SEARCH("v",D5)))</formula>
    </cfRule>
  </conditionalFormatting>
  <conditionalFormatting sqref="E5:AP5">
    <cfRule type="containsText" dxfId="1" priority="23" operator="containsText" text="P">
      <formula>NOT(ISERROR(SEARCH("P",E5)))</formula>
    </cfRule>
  </conditionalFormatting>
  <conditionalFormatting sqref="AI3:AP3">
    <cfRule type="expression" dxfId="0" priority="47" stopIfTrue="1">
      <formula>"weekdey(r2,u2,1)&gt;5"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3E85-38C0-41F9-B1C6-79FC7B9134AC}">
  <dimension ref="A1:I66"/>
  <sheetViews>
    <sheetView workbookViewId="0">
      <selection activeCell="G1" sqref="G1"/>
    </sheetView>
  </sheetViews>
  <sheetFormatPr defaultRowHeight="15" x14ac:dyDescent="0.25"/>
  <cols>
    <col min="1" max="1" width="5" customWidth="1"/>
    <col min="2" max="2" width="6.5703125" customWidth="1"/>
    <col min="3" max="3" width="23.28515625" bestFit="1" customWidth="1"/>
    <col min="4" max="4" width="20.85546875" bestFit="1" customWidth="1"/>
    <col min="5" max="5" width="14.85546875" customWidth="1"/>
    <col min="7" max="7" width="9.28515625" customWidth="1"/>
    <col min="8" max="8" width="17" style="11" bestFit="1" customWidth="1"/>
    <col min="9" max="9" width="12.42578125" style="11" bestFit="1" customWidth="1"/>
  </cols>
  <sheetData>
    <row r="1" spans="1:9" ht="47.25" x14ac:dyDescent="0.25">
      <c r="A1" s="5" t="s">
        <v>668</v>
      </c>
      <c r="B1" s="6" t="s">
        <v>666</v>
      </c>
      <c r="C1" s="7" t="s">
        <v>667</v>
      </c>
      <c r="D1" s="7" t="s">
        <v>3</v>
      </c>
      <c r="E1" s="7" t="s">
        <v>705</v>
      </c>
      <c r="F1" s="8" t="s">
        <v>707</v>
      </c>
      <c r="G1" s="9" t="s">
        <v>710</v>
      </c>
      <c r="H1" s="13" t="s">
        <v>713</v>
      </c>
      <c r="I1" s="13" t="s">
        <v>715</v>
      </c>
    </row>
    <row r="2" spans="1:9" ht="15.75" x14ac:dyDescent="0.25">
      <c r="A2" s="3" t="s">
        <v>619</v>
      </c>
      <c r="B2" s="3">
        <v>1</v>
      </c>
      <c r="C2" s="2" t="s">
        <v>670</v>
      </c>
      <c r="D2" s="2" t="s">
        <v>669</v>
      </c>
      <c r="E2" t="s">
        <v>703</v>
      </c>
      <c r="F2" t="s">
        <v>708</v>
      </c>
      <c r="G2" t="s">
        <v>708</v>
      </c>
      <c r="H2" s="11">
        <v>0.33333333333333331</v>
      </c>
      <c r="I2" s="11">
        <v>0.70833333333333337</v>
      </c>
    </row>
    <row r="3" spans="1:9" ht="15.75" x14ac:dyDescent="0.25">
      <c r="A3" s="3" t="s">
        <v>572</v>
      </c>
      <c r="B3" s="3">
        <v>2</v>
      </c>
      <c r="C3" s="2" t="s">
        <v>671</v>
      </c>
      <c r="D3" s="2" t="s">
        <v>669</v>
      </c>
      <c r="E3" t="s">
        <v>703</v>
      </c>
      <c r="F3" t="s">
        <v>708</v>
      </c>
      <c r="G3" t="s">
        <v>708</v>
      </c>
      <c r="H3" s="11">
        <v>0.33333333333333331</v>
      </c>
      <c r="I3" s="11">
        <v>0.70833333333333337</v>
      </c>
    </row>
    <row r="4" spans="1:9" ht="15.75" x14ac:dyDescent="0.25">
      <c r="A4" s="3" t="s">
        <v>307</v>
      </c>
      <c r="B4" s="3">
        <v>3</v>
      </c>
      <c r="C4" s="2" t="s">
        <v>672</v>
      </c>
      <c r="D4" s="2" t="s">
        <v>669</v>
      </c>
      <c r="E4" t="s">
        <v>703</v>
      </c>
      <c r="F4" t="s">
        <v>708</v>
      </c>
      <c r="G4" t="s">
        <v>708</v>
      </c>
      <c r="H4" s="11">
        <v>0.33333333333333331</v>
      </c>
      <c r="I4" s="11">
        <v>0.70833333333333337</v>
      </c>
    </row>
    <row r="5" spans="1:9" ht="15.75" x14ac:dyDescent="0.25">
      <c r="A5" s="3" t="s">
        <v>231</v>
      </c>
      <c r="B5" s="3">
        <v>4</v>
      </c>
      <c r="C5" s="2" t="s">
        <v>673</v>
      </c>
      <c r="D5" s="2" t="s">
        <v>669</v>
      </c>
      <c r="E5" t="s">
        <v>703</v>
      </c>
      <c r="F5" t="s">
        <v>708</v>
      </c>
      <c r="G5" t="s">
        <v>708</v>
      </c>
      <c r="H5" s="11">
        <v>0.33333333333333331</v>
      </c>
      <c r="I5" s="11">
        <v>0.70833333333333337</v>
      </c>
    </row>
    <row r="6" spans="1:9" ht="15.75" x14ac:dyDescent="0.25">
      <c r="A6" s="3" t="s">
        <v>568</v>
      </c>
      <c r="B6" s="3">
        <v>5</v>
      </c>
      <c r="C6" s="2" t="s">
        <v>674</v>
      </c>
      <c r="D6" s="2" t="s">
        <v>669</v>
      </c>
      <c r="E6" t="s">
        <v>703</v>
      </c>
      <c r="F6" t="s">
        <v>708</v>
      </c>
      <c r="G6" t="s">
        <v>708</v>
      </c>
      <c r="H6" s="11">
        <v>0.33333333333333331</v>
      </c>
      <c r="I6" s="11">
        <v>0.70833333333333337</v>
      </c>
    </row>
    <row r="7" spans="1:9" ht="15.75" x14ac:dyDescent="0.25">
      <c r="A7" s="3" t="s">
        <v>580</v>
      </c>
      <c r="B7" s="3">
        <v>6</v>
      </c>
      <c r="C7" s="2" t="s">
        <v>675</v>
      </c>
      <c r="D7" s="2" t="s">
        <v>669</v>
      </c>
      <c r="E7" t="s">
        <v>703</v>
      </c>
      <c r="F7" t="s">
        <v>708</v>
      </c>
      <c r="G7" t="s">
        <v>708</v>
      </c>
      <c r="H7" s="11">
        <v>0.33333333333333331</v>
      </c>
      <c r="I7" s="11">
        <v>0.70833333333333337</v>
      </c>
    </row>
    <row r="8" spans="1:9" ht="15.75" x14ac:dyDescent="0.25">
      <c r="A8" s="3" t="s">
        <v>615</v>
      </c>
      <c r="B8" s="3">
        <v>7</v>
      </c>
      <c r="C8" s="2" t="s">
        <v>676</v>
      </c>
      <c r="D8" s="2" t="s">
        <v>669</v>
      </c>
      <c r="E8" t="s">
        <v>703</v>
      </c>
      <c r="F8" t="s">
        <v>708</v>
      </c>
      <c r="G8" t="s">
        <v>708</v>
      </c>
      <c r="H8" s="11">
        <v>0.33333333333333331</v>
      </c>
      <c r="I8" s="11">
        <v>0.70833333333333337</v>
      </c>
    </row>
    <row r="9" spans="1:9" ht="15.75" x14ac:dyDescent="0.25">
      <c r="A9" s="3" t="s">
        <v>567</v>
      </c>
      <c r="B9" s="3">
        <v>8</v>
      </c>
      <c r="C9" s="2" t="s">
        <v>677</v>
      </c>
      <c r="D9" s="2" t="s">
        <v>669</v>
      </c>
      <c r="E9" t="s">
        <v>703</v>
      </c>
      <c r="F9" t="s">
        <v>709</v>
      </c>
      <c r="G9" t="s">
        <v>709</v>
      </c>
      <c r="H9" s="11">
        <v>0.33333333333333331</v>
      </c>
      <c r="I9" s="11">
        <v>0.70833333333333337</v>
      </c>
    </row>
    <row r="10" spans="1:9" ht="15.75" x14ac:dyDescent="0.25">
      <c r="A10" s="3" t="s">
        <v>18</v>
      </c>
      <c r="B10" s="3">
        <v>9</v>
      </c>
      <c r="C10" s="2" t="s">
        <v>678</v>
      </c>
      <c r="D10" s="2" t="s">
        <v>704</v>
      </c>
      <c r="E10" t="s">
        <v>703</v>
      </c>
      <c r="F10" t="s">
        <v>708</v>
      </c>
      <c r="G10" t="s">
        <v>709</v>
      </c>
      <c r="H10" s="11">
        <v>0.3125</v>
      </c>
      <c r="I10" s="11">
        <v>0.6875</v>
      </c>
    </row>
    <row r="11" spans="1:9" ht="15.75" x14ac:dyDescent="0.25">
      <c r="A11" s="3" t="s">
        <v>172</v>
      </c>
      <c r="B11" s="3">
        <v>10</v>
      </c>
      <c r="C11" s="2" t="s">
        <v>679</v>
      </c>
      <c r="D11" s="2" t="s">
        <v>704</v>
      </c>
      <c r="E11" t="s">
        <v>703</v>
      </c>
      <c r="F11" t="s">
        <v>708</v>
      </c>
      <c r="G11" t="s">
        <v>708</v>
      </c>
      <c r="H11" s="11">
        <v>0.3125</v>
      </c>
      <c r="I11" s="11">
        <v>0.6875</v>
      </c>
    </row>
    <row r="12" spans="1:9" ht="15.75" x14ac:dyDescent="0.25">
      <c r="A12" s="3" t="s">
        <v>198</v>
      </c>
      <c r="B12" s="3">
        <v>11</v>
      </c>
      <c r="C12" s="2" t="s">
        <v>680</v>
      </c>
      <c r="D12" s="2" t="s">
        <v>704</v>
      </c>
      <c r="E12" t="s">
        <v>703</v>
      </c>
      <c r="F12" t="s">
        <v>708</v>
      </c>
      <c r="G12" t="s">
        <v>708</v>
      </c>
      <c r="H12" s="11">
        <v>0.3125</v>
      </c>
      <c r="I12" s="11">
        <v>0.6875</v>
      </c>
    </row>
    <row r="13" spans="1:9" ht="15.75" x14ac:dyDescent="0.25">
      <c r="A13" s="3" t="s">
        <v>455</v>
      </c>
      <c r="B13" s="3">
        <v>12</v>
      </c>
      <c r="C13" s="2" t="s">
        <v>681</v>
      </c>
      <c r="D13" s="2" t="s">
        <v>704</v>
      </c>
      <c r="E13" t="s">
        <v>703</v>
      </c>
      <c r="F13" t="s">
        <v>708</v>
      </c>
      <c r="G13" t="s">
        <v>708</v>
      </c>
      <c r="H13" s="11">
        <v>0.3125</v>
      </c>
      <c r="I13" s="11">
        <v>0.6875</v>
      </c>
    </row>
    <row r="14" spans="1:9" ht="15.75" x14ac:dyDescent="0.25">
      <c r="A14" s="3" t="s">
        <v>163</v>
      </c>
      <c r="B14" s="3">
        <v>13</v>
      </c>
      <c r="C14" s="2" t="s">
        <v>682</v>
      </c>
      <c r="D14" s="2" t="s">
        <v>704</v>
      </c>
      <c r="E14" t="s">
        <v>703</v>
      </c>
      <c r="F14" t="s">
        <v>708</v>
      </c>
      <c r="G14" t="s">
        <v>708</v>
      </c>
      <c r="H14" s="11">
        <v>0.3125</v>
      </c>
      <c r="I14" s="11">
        <v>0.6875</v>
      </c>
    </row>
    <row r="15" spans="1:9" ht="15.75" x14ac:dyDescent="0.25">
      <c r="A15" s="3" t="s">
        <v>141</v>
      </c>
      <c r="B15" s="3">
        <v>14</v>
      </c>
      <c r="C15" s="2" t="s">
        <v>683</v>
      </c>
      <c r="D15" s="2" t="s">
        <v>704</v>
      </c>
      <c r="E15" t="s">
        <v>703</v>
      </c>
      <c r="F15" t="s">
        <v>708</v>
      </c>
      <c r="G15" t="s">
        <v>708</v>
      </c>
      <c r="H15" s="11">
        <v>0.3125</v>
      </c>
      <c r="I15" s="11">
        <v>0.6875</v>
      </c>
    </row>
    <row r="16" spans="1:9" ht="15.75" x14ac:dyDescent="0.25">
      <c r="A16" s="3" t="s">
        <v>390</v>
      </c>
      <c r="B16" s="3">
        <v>15</v>
      </c>
      <c r="C16" s="2" t="s">
        <v>684</v>
      </c>
      <c r="D16" s="2" t="s">
        <v>704</v>
      </c>
      <c r="E16" t="s">
        <v>703</v>
      </c>
      <c r="F16" t="s">
        <v>709</v>
      </c>
      <c r="G16" t="s">
        <v>709</v>
      </c>
      <c r="H16" s="11">
        <v>0.33333333333333331</v>
      </c>
      <c r="I16" s="11">
        <v>0.70833333333333337</v>
      </c>
    </row>
    <row r="17" spans="1:9" ht="15.75" x14ac:dyDescent="0.25">
      <c r="A17" s="3" t="s">
        <v>322</v>
      </c>
      <c r="B17" s="3">
        <v>16</v>
      </c>
      <c r="C17" s="2" t="s">
        <v>685</v>
      </c>
      <c r="D17" s="2" t="s">
        <v>704</v>
      </c>
      <c r="E17" t="s">
        <v>703</v>
      </c>
      <c r="F17" t="s">
        <v>709</v>
      </c>
      <c r="G17" t="s">
        <v>709</v>
      </c>
      <c r="H17" s="11">
        <v>0.33333333333333331</v>
      </c>
      <c r="I17" s="11">
        <v>0.70833333333333337</v>
      </c>
    </row>
    <row r="18" spans="1:9" ht="15.75" x14ac:dyDescent="0.25">
      <c r="A18" s="3" t="s">
        <v>494</v>
      </c>
      <c r="B18" s="3">
        <v>17</v>
      </c>
      <c r="C18" s="2" t="s">
        <v>686</v>
      </c>
      <c r="D18" s="2" t="s">
        <v>704</v>
      </c>
      <c r="E18" t="s">
        <v>703</v>
      </c>
      <c r="F18" t="s">
        <v>709</v>
      </c>
      <c r="G18" t="s">
        <v>709</v>
      </c>
      <c r="H18" s="11">
        <v>0.3125</v>
      </c>
      <c r="I18" s="11">
        <v>0.6875</v>
      </c>
    </row>
    <row r="19" spans="1:9" ht="15.75" x14ac:dyDescent="0.25">
      <c r="A19" s="3" t="s">
        <v>590</v>
      </c>
      <c r="B19" s="3">
        <v>18</v>
      </c>
      <c r="C19" s="2" t="s">
        <v>687</v>
      </c>
      <c r="D19" s="2" t="s">
        <v>704</v>
      </c>
      <c r="E19" t="s">
        <v>703</v>
      </c>
      <c r="F19" t="s">
        <v>708</v>
      </c>
      <c r="G19" t="s">
        <v>708</v>
      </c>
      <c r="H19" s="11">
        <v>0.3125</v>
      </c>
      <c r="I19" s="11">
        <v>0.6875</v>
      </c>
    </row>
    <row r="20" spans="1:9" ht="15.75" x14ac:dyDescent="0.25">
      <c r="A20" s="3" t="s">
        <v>628</v>
      </c>
      <c r="B20" s="3">
        <v>19</v>
      </c>
      <c r="C20" s="2" t="s">
        <v>688</v>
      </c>
      <c r="D20" s="2" t="s">
        <v>704</v>
      </c>
      <c r="E20" t="s">
        <v>703</v>
      </c>
      <c r="F20" t="s">
        <v>708</v>
      </c>
      <c r="G20" t="s">
        <v>708</v>
      </c>
      <c r="H20" s="11">
        <v>0.3125</v>
      </c>
      <c r="I20" s="11">
        <v>0.6875</v>
      </c>
    </row>
    <row r="21" spans="1:9" ht="15.75" x14ac:dyDescent="0.25">
      <c r="A21" s="3" t="s">
        <v>233</v>
      </c>
      <c r="B21" s="3">
        <v>20</v>
      </c>
      <c r="C21" s="2" t="s">
        <v>689</v>
      </c>
      <c r="D21" s="2" t="s">
        <v>704</v>
      </c>
      <c r="E21" t="s">
        <v>703</v>
      </c>
      <c r="F21" t="s">
        <v>709</v>
      </c>
      <c r="G21" t="s">
        <v>709</v>
      </c>
      <c r="H21" s="11">
        <v>0.33333333333333331</v>
      </c>
      <c r="I21" s="11">
        <v>0.70833333333333337</v>
      </c>
    </row>
    <row r="22" spans="1:9" ht="15.75" x14ac:dyDescent="0.25">
      <c r="A22" s="3" t="s">
        <v>659</v>
      </c>
      <c r="B22" s="3">
        <v>21</v>
      </c>
      <c r="C22" s="2" t="s">
        <v>691</v>
      </c>
      <c r="D22" s="2" t="s">
        <v>690</v>
      </c>
      <c r="E22" t="s">
        <v>703</v>
      </c>
      <c r="F22" t="s">
        <v>708</v>
      </c>
      <c r="G22" t="s">
        <v>709</v>
      </c>
      <c r="H22" s="11">
        <v>0.33333333333333331</v>
      </c>
      <c r="I22" s="11">
        <v>0.70833333333333337</v>
      </c>
    </row>
    <row r="23" spans="1:9" ht="15.75" x14ac:dyDescent="0.25">
      <c r="A23" s="3" t="s">
        <v>658</v>
      </c>
      <c r="B23" s="3">
        <v>22</v>
      </c>
      <c r="C23" s="2" t="s">
        <v>692</v>
      </c>
      <c r="D23" s="2" t="s">
        <v>690</v>
      </c>
      <c r="E23" t="s">
        <v>703</v>
      </c>
      <c r="F23" t="s">
        <v>709</v>
      </c>
      <c r="G23" t="s">
        <v>709</v>
      </c>
      <c r="H23" s="11">
        <v>0.33333333333333331</v>
      </c>
      <c r="I23" s="11">
        <v>0.70833333333333337</v>
      </c>
    </row>
    <row r="24" spans="1:9" ht="15.75" x14ac:dyDescent="0.25">
      <c r="A24" s="3" t="s">
        <v>660</v>
      </c>
      <c r="B24" s="3">
        <v>23</v>
      </c>
      <c r="C24" s="2" t="s">
        <v>693</v>
      </c>
      <c r="D24" s="2" t="s">
        <v>690</v>
      </c>
      <c r="E24" t="s">
        <v>703</v>
      </c>
      <c r="F24" t="s">
        <v>709</v>
      </c>
      <c r="G24" t="s">
        <v>709</v>
      </c>
      <c r="H24" s="11">
        <v>0.33333333333333331</v>
      </c>
      <c r="I24" s="11">
        <v>0.70833333333333337</v>
      </c>
    </row>
    <row r="25" spans="1:9" ht="15.75" x14ac:dyDescent="0.25">
      <c r="A25" s="3" t="s">
        <v>665</v>
      </c>
      <c r="B25" s="3">
        <v>24</v>
      </c>
      <c r="C25" s="2" t="s">
        <v>694</v>
      </c>
      <c r="D25" s="2" t="s">
        <v>690</v>
      </c>
      <c r="E25" t="s">
        <v>703</v>
      </c>
      <c r="F25" t="s">
        <v>709</v>
      </c>
      <c r="G25" t="s">
        <v>709</v>
      </c>
      <c r="H25" s="11">
        <v>0.33333333333333331</v>
      </c>
      <c r="I25" s="11">
        <v>0.70833333333333337</v>
      </c>
    </row>
    <row r="26" spans="1:9" ht="15.75" x14ac:dyDescent="0.25">
      <c r="A26" s="3" t="s">
        <v>309</v>
      </c>
      <c r="B26" s="3">
        <v>25</v>
      </c>
      <c r="C26" s="2" t="s">
        <v>695</v>
      </c>
      <c r="D26" s="2" t="s">
        <v>690</v>
      </c>
      <c r="E26" t="s">
        <v>703</v>
      </c>
      <c r="F26" t="s">
        <v>709</v>
      </c>
      <c r="G26" t="s">
        <v>709</v>
      </c>
      <c r="H26" s="11">
        <v>0.33333333333333331</v>
      </c>
      <c r="I26" s="11">
        <v>0.70833333333333337</v>
      </c>
    </row>
    <row r="27" spans="1:9" ht="15.75" x14ac:dyDescent="0.25">
      <c r="A27" s="3" t="s">
        <v>589</v>
      </c>
      <c r="B27" s="3">
        <v>26</v>
      </c>
      <c r="C27" s="2" t="s">
        <v>696</v>
      </c>
      <c r="D27" s="2" t="s">
        <v>690</v>
      </c>
      <c r="E27" t="s">
        <v>703</v>
      </c>
      <c r="F27" t="s">
        <v>709</v>
      </c>
      <c r="G27" t="s">
        <v>709</v>
      </c>
      <c r="H27" s="11">
        <v>0.33333333333333331</v>
      </c>
      <c r="I27" s="11">
        <v>0.70833333333333337</v>
      </c>
    </row>
    <row r="28" spans="1:9" ht="15.75" x14ac:dyDescent="0.25">
      <c r="A28" s="3" t="s">
        <v>624</v>
      </c>
      <c r="B28" s="3">
        <v>27</v>
      </c>
      <c r="C28" s="2" t="s">
        <v>697</v>
      </c>
      <c r="D28" s="2" t="s">
        <v>690</v>
      </c>
      <c r="E28" t="s">
        <v>703</v>
      </c>
      <c r="F28" t="s">
        <v>709</v>
      </c>
      <c r="G28" t="s">
        <v>709</v>
      </c>
      <c r="H28" s="11">
        <v>0.33333333333333331</v>
      </c>
      <c r="I28" s="11">
        <v>0.70833333333333337</v>
      </c>
    </row>
    <row r="29" spans="1:9" ht="15.75" x14ac:dyDescent="0.25">
      <c r="A29" s="3" t="s">
        <v>627</v>
      </c>
      <c r="B29" s="3">
        <v>28</v>
      </c>
      <c r="C29" s="2" t="s">
        <v>698</v>
      </c>
      <c r="D29" s="2" t="s">
        <v>690</v>
      </c>
      <c r="E29" t="s">
        <v>702</v>
      </c>
      <c r="F29" t="s">
        <v>709</v>
      </c>
      <c r="G29" t="s">
        <v>709</v>
      </c>
      <c r="H29" s="11">
        <v>0.33333333333333331</v>
      </c>
      <c r="I29" s="11">
        <v>0.70833333333333337</v>
      </c>
    </row>
    <row r="30" spans="1:9" ht="15.75" x14ac:dyDescent="0.25">
      <c r="A30" s="3" t="s">
        <v>655</v>
      </c>
      <c r="B30" s="3">
        <v>29</v>
      </c>
      <c r="C30" s="2" t="s">
        <v>699</v>
      </c>
      <c r="D30" s="2" t="s">
        <v>690</v>
      </c>
      <c r="E30" t="s">
        <v>702</v>
      </c>
      <c r="F30" t="s">
        <v>709</v>
      </c>
      <c r="G30" t="s">
        <v>709</v>
      </c>
      <c r="H30" s="11">
        <v>0.33333333333333331</v>
      </c>
      <c r="I30" s="11">
        <v>0.70833333333333337</v>
      </c>
    </row>
    <row r="31" spans="1:9" ht="15.75" x14ac:dyDescent="0.25">
      <c r="A31" s="3" t="s">
        <v>661</v>
      </c>
      <c r="B31" s="3">
        <v>30</v>
      </c>
      <c r="C31" s="2" t="s">
        <v>701</v>
      </c>
      <c r="D31" s="2" t="s">
        <v>690</v>
      </c>
      <c r="E31" t="s">
        <v>703</v>
      </c>
      <c r="F31" t="s">
        <v>709</v>
      </c>
      <c r="G31" t="s">
        <v>709</v>
      </c>
      <c r="H31" s="11">
        <v>0.33333333333333331</v>
      </c>
      <c r="I31" s="11">
        <v>0.70833333333333337</v>
      </c>
    </row>
    <row r="32" spans="1:9" ht="15.75" x14ac:dyDescent="0.25">
      <c r="A32" s="3" t="s">
        <v>221</v>
      </c>
      <c r="B32" s="3">
        <v>31</v>
      </c>
      <c r="C32" s="2" t="s">
        <v>222</v>
      </c>
      <c r="D32" s="2"/>
      <c r="E32" t="s">
        <v>702</v>
      </c>
      <c r="H32" s="11">
        <v>0.33333333333333331</v>
      </c>
      <c r="I32" s="11">
        <v>0.70833333333333337</v>
      </c>
    </row>
    <row r="33" spans="1:9" ht="15.75" x14ac:dyDescent="0.25">
      <c r="A33" s="3" t="s">
        <v>223</v>
      </c>
      <c r="B33" s="3">
        <v>32</v>
      </c>
      <c r="C33" s="2" t="s">
        <v>224</v>
      </c>
      <c r="D33" s="2"/>
      <c r="E33" t="s">
        <v>702</v>
      </c>
      <c r="H33" s="11">
        <v>0.33333333333333331</v>
      </c>
      <c r="I33" s="11">
        <v>0.70833333333333337</v>
      </c>
    </row>
    <row r="34" spans="1:9" ht="15.75" x14ac:dyDescent="0.25">
      <c r="A34" s="3" t="s">
        <v>225</v>
      </c>
      <c r="B34" s="3">
        <v>33</v>
      </c>
      <c r="C34" s="2" t="s">
        <v>226</v>
      </c>
      <c r="D34" s="2"/>
      <c r="E34" t="s">
        <v>702</v>
      </c>
      <c r="H34" s="11">
        <v>0.33333333333333331</v>
      </c>
      <c r="I34" s="11">
        <v>0.70833333333333337</v>
      </c>
    </row>
    <row r="35" spans="1:9" ht="15.75" x14ac:dyDescent="0.25">
      <c r="A35" s="3" t="s">
        <v>227</v>
      </c>
      <c r="B35" s="3">
        <v>34</v>
      </c>
      <c r="C35" s="2" t="s">
        <v>228</v>
      </c>
      <c r="D35" s="2"/>
      <c r="E35" t="s">
        <v>702</v>
      </c>
      <c r="H35" s="11">
        <v>0.33333333333333331</v>
      </c>
      <c r="I35" s="11">
        <v>0.70833333333333337</v>
      </c>
    </row>
    <row r="36" spans="1:9" ht="15.75" x14ac:dyDescent="0.25">
      <c r="A36" s="3" t="s">
        <v>229</v>
      </c>
      <c r="B36" s="3">
        <v>35</v>
      </c>
      <c r="C36" s="2" t="s">
        <v>230</v>
      </c>
      <c r="D36" s="2"/>
      <c r="E36" t="s">
        <v>702</v>
      </c>
      <c r="H36" s="11">
        <v>0.33333333333333331</v>
      </c>
      <c r="I36" s="11">
        <v>0.70833333333333337</v>
      </c>
    </row>
    <row r="37" spans="1:9" ht="15.75" x14ac:dyDescent="0.25">
      <c r="A37" s="3" t="s">
        <v>320</v>
      </c>
      <c r="B37" s="3">
        <v>36</v>
      </c>
      <c r="C37" s="2" t="s">
        <v>321</v>
      </c>
      <c r="D37" s="2"/>
      <c r="E37" t="s">
        <v>702</v>
      </c>
      <c r="H37" s="11">
        <v>0.33333333333333331</v>
      </c>
      <c r="I37" s="11">
        <v>0.70833333333333337</v>
      </c>
    </row>
    <row r="38" spans="1:9" ht="15.75" x14ac:dyDescent="0.25">
      <c r="A38" s="3" t="s">
        <v>480</v>
      </c>
      <c r="B38" s="3">
        <v>37</v>
      </c>
      <c r="C38" s="2" t="s">
        <v>481</v>
      </c>
      <c r="D38" s="2"/>
      <c r="E38" t="s">
        <v>702</v>
      </c>
      <c r="H38" s="11">
        <v>0.33333333333333331</v>
      </c>
      <c r="I38" s="11">
        <v>0.70833333333333337</v>
      </c>
    </row>
    <row r="39" spans="1:9" ht="15.75" x14ac:dyDescent="0.25">
      <c r="A39" s="3" t="s">
        <v>482</v>
      </c>
      <c r="B39" s="3">
        <v>38</v>
      </c>
      <c r="C39" s="2" t="s">
        <v>483</v>
      </c>
      <c r="D39" s="2"/>
      <c r="E39" t="s">
        <v>702</v>
      </c>
      <c r="H39" s="11">
        <v>0.33333333333333331</v>
      </c>
      <c r="I39" s="11">
        <v>0.70833333333333337</v>
      </c>
    </row>
    <row r="40" spans="1:9" ht="15.75" x14ac:dyDescent="0.25">
      <c r="A40" s="3" t="s">
        <v>484</v>
      </c>
      <c r="B40" s="3">
        <v>39</v>
      </c>
      <c r="C40" s="2" t="s">
        <v>485</v>
      </c>
      <c r="D40" s="2"/>
      <c r="E40" t="s">
        <v>702</v>
      </c>
      <c r="H40" s="11">
        <v>0.33333333333333331</v>
      </c>
      <c r="I40" s="11">
        <v>0.70833333333333337</v>
      </c>
    </row>
    <row r="41" spans="1:9" ht="15.75" x14ac:dyDescent="0.25">
      <c r="A41" s="3" t="s">
        <v>486</v>
      </c>
      <c r="B41" s="3">
        <v>40</v>
      </c>
      <c r="C41" s="2" t="s">
        <v>487</v>
      </c>
      <c r="D41" s="2"/>
      <c r="E41" t="s">
        <v>702</v>
      </c>
      <c r="H41" s="11">
        <v>0.33333333333333331</v>
      </c>
      <c r="I41" s="11">
        <v>0.70833333333333337</v>
      </c>
    </row>
    <row r="42" spans="1:9" ht="15.75" x14ac:dyDescent="0.25">
      <c r="A42" s="3" t="s">
        <v>488</v>
      </c>
      <c r="B42" s="3">
        <v>41</v>
      </c>
      <c r="C42" s="2" t="s">
        <v>489</v>
      </c>
      <c r="D42" s="2"/>
      <c r="E42" t="s">
        <v>702</v>
      </c>
      <c r="H42" s="11">
        <v>0.33333333333333331</v>
      </c>
      <c r="I42" s="11">
        <v>0.70833333333333337</v>
      </c>
    </row>
    <row r="43" spans="1:9" ht="15.75" x14ac:dyDescent="0.25">
      <c r="A43" s="3" t="s">
        <v>490</v>
      </c>
      <c r="B43" s="3">
        <v>42</v>
      </c>
      <c r="C43" s="2" t="s">
        <v>491</v>
      </c>
      <c r="D43" s="2"/>
      <c r="E43" t="s">
        <v>702</v>
      </c>
      <c r="H43" s="11">
        <v>0.33333333333333331</v>
      </c>
      <c r="I43" s="11">
        <v>0.70833333333333337</v>
      </c>
    </row>
    <row r="44" spans="1:9" ht="15.75" x14ac:dyDescent="0.25">
      <c r="A44" s="3" t="s">
        <v>492</v>
      </c>
      <c r="B44" s="3">
        <v>43</v>
      </c>
      <c r="C44" s="2" t="s">
        <v>493</v>
      </c>
      <c r="D44" s="2"/>
      <c r="E44" t="s">
        <v>702</v>
      </c>
      <c r="H44" s="11">
        <v>0.33333333333333331</v>
      </c>
      <c r="I44" s="11">
        <v>0.70833333333333337</v>
      </c>
    </row>
    <row r="45" spans="1:9" ht="15.75" x14ac:dyDescent="0.25">
      <c r="A45" s="3" t="s">
        <v>559</v>
      </c>
      <c r="B45" s="3">
        <v>44</v>
      </c>
      <c r="C45" s="2" t="s">
        <v>560</v>
      </c>
      <c r="D45" s="2"/>
      <c r="E45" t="s">
        <v>702</v>
      </c>
      <c r="H45" s="11">
        <v>0.33333333333333331</v>
      </c>
      <c r="I45" s="11">
        <v>0.70833333333333337</v>
      </c>
    </row>
    <row r="46" spans="1:9" ht="15.75" x14ac:dyDescent="0.25">
      <c r="A46" s="3" t="s">
        <v>561</v>
      </c>
      <c r="B46" s="3">
        <v>45</v>
      </c>
      <c r="C46" s="2" t="s">
        <v>562</v>
      </c>
      <c r="D46" s="2"/>
      <c r="E46" t="s">
        <v>702</v>
      </c>
      <c r="H46" s="11">
        <v>0.33333333333333331</v>
      </c>
      <c r="I46" s="11">
        <v>0.70833333333333337</v>
      </c>
    </row>
    <row r="47" spans="1:9" ht="15.75" x14ac:dyDescent="0.25">
      <c r="A47" s="3" t="s">
        <v>563</v>
      </c>
      <c r="B47" s="3">
        <v>46</v>
      </c>
      <c r="C47" s="2" t="s">
        <v>564</v>
      </c>
      <c r="D47" s="2"/>
      <c r="E47" t="s">
        <v>702</v>
      </c>
      <c r="H47" s="11">
        <v>0.33333333333333331</v>
      </c>
      <c r="I47" s="11">
        <v>0.70833333333333337</v>
      </c>
    </row>
    <row r="48" spans="1:9" ht="15.75" x14ac:dyDescent="0.25">
      <c r="A48" s="3" t="s">
        <v>565</v>
      </c>
      <c r="B48" s="3">
        <v>47</v>
      </c>
      <c r="C48" s="2" t="s">
        <v>566</v>
      </c>
      <c r="D48" s="2"/>
      <c r="E48" t="s">
        <v>702</v>
      </c>
      <c r="H48" s="11">
        <v>0.33333333333333331</v>
      </c>
      <c r="I48" s="11">
        <v>0.70833333333333337</v>
      </c>
    </row>
    <row r="49" spans="1:9" ht="15.75" x14ac:dyDescent="0.25">
      <c r="A49" s="3" t="s">
        <v>569</v>
      </c>
      <c r="B49" s="3">
        <v>48</v>
      </c>
      <c r="C49" s="2" t="s">
        <v>487</v>
      </c>
      <c r="D49" s="2"/>
      <c r="E49" t="s">
        <v>702</v>
      </c>
      <c r="H49" s="11">
        <v>0.33333333333333331</v>
      </c>
      <c r="I49" s="11">
        <v>0.70833333333333337</v>
      </c>
    </row>
    <row r="50" spans="1:9" ht="15.75" x14ac:dyDescent="0.25">
      <c r="A50" s="3" t="s">
        <v>570</v>
      </c>
      <c r="B50" s="3">
        <v>49</v>
      </c>
      <c r="C50" s="2" t="s">
        <v>571</v>
      </c>
      <c r="D50" s="2"/>
      <c r="E50" t="s">
        <v>702</v>
      </c>
      <c r="H50" s="11">
        <v>0.33333333333333331</v>
      </c>
      <c r="I50" s="11">
        <v>0.70833333333333337</v>
      </c>
    </row>
    <row r="51" spans="1:9" ht="15.75" x14ac:dyDescent="0.25">
      <c r="A51" s="3" t="s">
        <v>573</v>
      </c>
      <c r="B51" s="3">
        <v>50</v>
      </c>
      <c r="C51" s="2" t="s">
        <v>574</v>
      </c>
      <c r="D51" s="2"/>
      <c r="E51" t="s">
        <v>702</v>
      </c>
      <c r="H51" s="11">
        <v>0.33333333333333331</v>
      </c>
      <c r="I51" s="11">
        <v>0.70833333333333337</v>
      </c>
    </row>
    <row r="52" spans="1:9" ht="15.75" x14ac:dyDescent="0.25">
      <c r="A52" s="3" t="s">
        <v>575</v>
      </c>
      <c r="B52" s="3">
        <v>51</v>
      </c>
      <c r="C52" s="2" t="s">
        <v>576</v>
      </c>
      <c r="D52" s="2"/>
      <c r="E52" t="s">
        <v>702</v>
      </c>
      <c r="H52" s="11">
        <v>0.33333333333333331</v>
      </c>
      <c r="I52" s="11">
        <v>0.70833333333333337</v>
      </c>
    </row>
    <row r="53" spans="1:9" ht="15.75" x14ac:dyDescent="0.25">
      <c r="A53" s="3" t="s">
        <v>577</v>
      </c>
      <c r="B53" s="3">
        <v>52</v>
      </c>
      <c r="C53" s="2" t="s">
        <v>571</v>
      </c>
      <c r="D53" s="2"/>
      <c r="E53" t="s">
        <v>702</v>
      </c>
      <c r="H53" s="11">
        <v>0.33333333333333331</v>
      </c>
      <c r="I53" s="11">
        <v>0.70833333333333337</v>
      </c>
    </row>
    <row r="54" spans="1:9" ht="15.75" x14ac:dyDescent="0.25">
      <c r="A54" s="3" t="s">
        <v>578</v>
      </c>
      <c r="B54" s="3">
        <v>53</v>
      </c>
      <c r="C54" s="2" t="s">
        <v>579</v>
      </c>
      <c r="D54" s="2"/>
      <c r="E54" t="s">
        <v>702</v>
      </c>
      <c r="H54" s="11">
        <v>0.33333333333333331</v>
      </c>
      <c r="I54" s="11">
        <v>0.70833333333333337</v>
      </c>
    </row>
    <row r="55" spans="1:9" ht="15.75" x14ac:dyDescent="0.25">
      <c r="A55" s="3" t="s">
        <v>581</v>
      </c>
      <c r="B55" s="3">
        <v>54</v>
      </c>
      <c r="C55" s="2" t="s">
        <v>582</v>
      </c>
      <c r="D55" s="2"/>
      <c r="E55" t="s">
        <v>702</v>
      </c>
      <c r="H55" s="11">
        <v>0.33333333333333331</v>
      </c>
      <c r="I55" s="11">
        <v>0.70833333333333337</v>
      </c>
    </row>
    <row r="56" spans="1:9" ht="15.75" x14ac:dyDescent="0.25">
      <c r="A56" s="3" t="s">
        <v>583</v>
      </c>
      <c r="B56" s="3">
        <v>55</v>
      </c>
      <c r="C56" s="2" t="s">
        <v>584</v>
      </c>
      <c r="D56" s="2"/>
      <c r="E56" t="s">
        <v>702</v>
      </c>
      <c r="H56" s="11">
        <v>0.33333333333333331</v>
      </c>
      <c r="I56" s="11">
        <v>0.70833333333333337</v>
      </c>
    </row>
    <row r="57" spans="1:9" ht="15.75" x14ac:dyDescent="0.25">
      <c r="A57" s="3" t="s">
        <v>585</v>
      </c>
      <c r="B57" s="3">
        <v>56</v>
      </c>
      <c r="C57" s="2" t="s">
        <v>586</v>
      </c>
      <c r="D57" s="2"/>
      <c r="E57" t="s">
        <v>702</v>
      </c>
      <c r="H57" s="11">
        <v>0.33333333333333331</v>
      </c>
      <c r="I57" s="11">
        <v>0.70833333333333337</v>
      </c>
    </row>
    <row r="58" spans="1:9" ht="15.75" x14ac:dyDescent="0.25">
      <c r="A58" s="3" t="s">
        <v>587</v>
      </c>
      <c r="B58" s="3">
        <v>57</v>
      </c>
      <c r="C58" s="2" t="s">
        <v>588</v>
      </c>
      <c r="D58" s="2"/>
      <c r="E58" t="s">
        <v>702</v>
      </c>
      <c r="H58" s="11">
        <v>0.33333333333333331</v>
      </c>
      <c r="I58" s="11">
        <v>0.70833333333333337</v>
      </c>
    </row>
    <row r="59" spans="1:9" ht="15.75" x14ac:dyDescent="0.25">
      <c r="A59" s="3" t="s">
        <v>617</v>
      </c>
      <c r="B59" s="3">
        <v>58</v>
      </c>
      <c r="C59" s="2" t="s">
        <v>618</v>
      </c>
      <c r="D59" s="2"/>
      <c r="E59" t="s">
        <v>702</v>
      </c>
      <c r="H59" s="11">
        <v>0.33333333333333331</v>
      </c>
      <c r="I59" s="11">
        <v>0.70833333333333337</v>
      </c>
    </row>
    <row r="60" spans="1:9" ht="15.75" x14ac:dyDescent="0.25">
      <c r="A60" s="3" t="s">
        <v>620</v>
      </c>
      <c r="B60" s="3">
        <v>59</v>
      </c>
      <c r="C60" s="2" t="s">
        <v>621</v>
      </c>
      <c r="D60" s="2"/>
      <c r="E60" t="s">
        <v>702</v>
      </c>
      <c r="H60" s="11">
        <v>0.33333333333333331</v>
      </c>
      <c r="I60" s="11">
        <v>0.70833333333333337</v>
      </c>
    </row>
    <row r="61" spans="1:9" ht="15.75" x14ac:dyDescent="0.25">
      <c r="A61" s="3" t="s">
        <v>622</v>
      </c>
      <c r="B61" s="3">
        <v>60</v>
      </c>
      <c r="C61" s="2" t="s">
        <v>623</v>
      </c>
      <c r="D61" s="2"/>
      <c r="E61" t="s">
        <v>702</v>
      </c>
      <c r="H61" s="11">
        <v>0.33333333333333331</v>
      </c>
      <c r="I61" s="11">
        <v>0.70833333333333337</v>
      </c>
    </row>
    <row r="62" spans="1:9" ht="15.75" x14ac:dyDescent="0.25">
      <c r="A62" s="3" t="s">
        <v>625</v>
      </c>
      <c r="B62" s="3">
        <v>61</v>
      </c>
      <c r="C62" s="2" t="s">
        <v>626</v>
      </c>
      <c r="D62" s="2"/>
      <c r="E62" t="s">
        <v>702</v>
      </c>
      <c r="H62" s="11">
        <v>0.33333333333333331</v>
      </c>
      <c r="I62" s="11">
        <v>0.70833333333333337</v>
      </c>
    </row>
    <row r="63" spans="1:9" ht="15.75" x14ac:dyDescent="0.25">
      <c r="A63" s="3" t="s">
        <v>653</v>
      </c>
      <c r="B63" s="3">
        <v>62</v>
      </c>
      <c r="C63" s="2" t="s">
        <v>654</v>
      </c>
      <c r="D63" s="2"/>
      <c r="E63" t="s">
        <v>702</v>
      </c>
      <c r="H63" s="11">
        <v>0.33333333333333331</v>
      </c>
      <c r="I63" s="11">
        <v>0.70833333333333337</v>
      </c>
    </row>
    <row r="64" spans="1:9" ht="15.75" x14ac:dyDescent="0.25">
      <c r="A64" s="3" t="s">
        <v>656</v>
      </c>
      <c r="B64" s="3">
        <v>63</v>
      </c>
      <c r="C64" s="2" t="s">
        <v>657</v>
      </c>
      <c r="D64" s="2"/>
      <c r="E64" t="s">
        <v>702</v>
      </c>
      <c r="H64" s="11">
        <v>0.33333333333333331</v>
      </c>
      <c r="I64" s="11">
        <v>0.70833333333333337</v>
      </c>
    </row>
    <row r="65" spans="1:9" ht="15.75" x14ac:dyDescent="0.25">
      <c r="A65" s="3" t="s">
        <v>662</v>
      </c>
      <c r="B65" s="3">
        <v>64</v>
      </c>
      <c r="C65" s="2" t="s">
        <v>663</v>
      </c>
      <c r="D65" s="2"/>
      <c r="E65" t="s">
        <v>702</v>
      </c>
      <c r="H65" s="11">
        <v>0.33333333333333331</v>
      </c>
      <c r="I65" s="11">
        <v>0.70833333333333337</v>
      </c>
    </row>
    <row r="66" spans="1:9" ht="15.75" x14ac:dyDescent="0.25">
      <c r="A66" s="3" t="s">
        <v>664</v>
      </c>
      <c r="B66" s="3">
        <v>65</v>
      </c>
      <c r="C66" s="2" t="s">
        <v>616</v>
      </c>
      <c r="D66" s="2"/>
      <c r="E66" t="s">
        <v>702</v>
      </c>
      <c r="H66" s="11">
        <v>0.33333333333333331</v>
      </c>
      <c r="I66" s="11">
        <v>0.70833333333333337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6C6-6E44-4E46-93EB-0CAA4DA6691E}">
  <dimension ref="A1:C24"/>
  <sheetViews>
    <sheetView workbookViewId="0">
      <selection activeCell="G1" sqref="G1"/>
    </sheetView>
  </sheetViews>
  <sheetFormatPr defaultRowHeight="15" x14ac:dyDescent="0.25"/>
  <cols>
    <col min="1" max="1" width="33.140625" bestFit="1" customWidth="1"/>
    <col min="2" max="2" width="27.42578125" bestFit="1" customWidth="1"/>
  </cols>
  <sheetData>
    <row r="1" spans="1:3" x14ac:dyDescent="0.25">
      <c r="A1" s="22" t="s">
        <v>719</v>
      </c>
      <c r="B1" s="22" t="s">
        <v>720</v>
      </c>
      <c r="C1" s="22" t="s">
        <v>721</v>
      </c>
    </row>
    <row r="2" spans="1:3" x14ac:dyDescent="0.25">
      <c r="A2" t="s">
        <v>690</v>
      </c>
      <c r="B2" s="11">
        <v>0.33333333333333331</v>
      </c>
      <c r="C2" s="11">
        <v>0.70833333333333337</v>
      </c>
    </row>
    <row r="3" spans="1:3" x14ac:dyDescent="0.25">
      <c r="A3" t="s">
        <v>669</v>
      </c>
      <c r="B3" s="11">
        <v>0.33333333333333331</v>
      </c>
      <c r="C3" s="11">
        <v>0.70833333333333337</v>
      </c>
    </row>
    <row r="4" spans="1:3" x14ac:dyDescent="0.25">
      <c r="A4" t="s">
        <v>722</v>
      </c>
      <c r="B4" s="11">
        <v>0.3125</v>
      </c>
      <c r="C4" s="11">
        <v>0.6875</v>
      </c>
    </row>
    <row r="6" spans="1:3" x14ac:dyDescent="0.25">
      <c r="A6" s="26" t="s">
        <v>723</v>
      </c>
      <c r="B6" s="26"/>
      <c r="C6" s="26"/>
    </row>
    <row r="7" spans="1:3" x14ac:dyDescent="0.25">
      <c r="A7" t="s">
        <v>724</v>
      </c>
      <c r="B7" s="23">
        <v>30000</v>
      </c>
      <c r="C7" t="s">
        <v>725</v>
      </c>
    </row>
    <row r="8" spans="1:3" x14ac:dyDescent="0.25">
      <c r="A8" t="s">
        <v>726</v>
      </c>
      <c r="B8" s="23">
        <v>50000</v>
      </c>
      <c r="C8" t="s">
        <v>725</v>
      </c>
    </row>
    <row r="9" spans="1:3" x14ac:dyDescent="0.25">
      <c r="A9" t="s">
        <v>727</v>
      </c>
      <c r="B9" s="24" t="s">
        <v>728</v>
      </c>
    </row>
    <row r="10" spans="1:3" x14ac:dyDescent="0.25">
      <c r="A10" t="s">
        <v>729</v>
      </c>
      <c r="B10" s="25" t="s">
        <v>730</v>
      </c>
    </row>
    <row r="13" spans="1:3" x14ac:dyDescent="0.25">
      <c r="A13" s="26" t="s">
        <v>731</v>
      </c>
      <c r="B13" s="26"/>
      <c r="C13" s="26"/>
    </row>
    <row r="14" spans="1:3" x14ac:dyDescent="0.25">
      <c r="A14" t="s">
        <v>732</v>
      </c>
      <c r="B14" s="23">
        <v>50000</v>
      </c>
      <c r="C14" t="s">
        <v>725</v>
      </c>
    </row>
    <row r="15" spans="1:3" x14ac:dyDescent="0.25">
      <c r="A15" t="s">
        <v>734</v>
      </c>
      <c r="B15" s="24" t="s">
        <v>737</v>
      </c>
    </row>
    <row r="16" spans="1:3" x14ac:dyDescent="0.25">
      <c r="A16" t="s">
        <v>733</v>
      </c>
      <c r="B16" s="24" t="s">
        <v>736</v>
      </c>
    </row>
    <row r="17" spans="1:3" x14ac:dyDescent="0.25">
      <c r="A17" t="s">
        <v>735</v>
      </c>
      <c r="B17" s="25" t="s">
        <v>730</v>
      </c>
    </row>
    <row r="20" spans="1:3" x14ac:dyDescent="0.25">
      <c r="A20" s="26" t="s">
        <v>738</v>
      </c>
      <c r="B20" s="26"/>
      <c r="C20" s="26"/>
    </row>
    <row r="21" spans="1:3" x14ac:dyDescent="0.25">
      <c r="A21" t="s">
        <v>739</v>
      </c>
      <c r="B21" s="23" t="s">
        <v>740</v>
      </c>
    </row>
    <row r="22" spans="1:3" x14ac:dyDescent="0.25">
      <c r="A22" t="s">
        <v>734</v>
      </c>
      <c r="B22" s="24" t="s">
        <v>741</v>
      </c>
    </row>
    <row r="23" spans="1:3" x14ac:dyDescent="0.25">
      <c r="A23" t="s">
        <v>742</v>
      </c>
      <c r="B23" s="24" t="s">
        <v>743</v>
      </c>
    </row>
    <row r="24" spans="1:3" x14ac:dyDescent="0.25">
      <c r="B24" s="25"/>
    </row>
  </sheetData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DF" shapeId="3073" r:id="rId4">
          <objectPr defaultSize="0" autoPict="0" r:id="rId5">
            <anchor moveWithCells="1">
              <from>
                <xdr:col>7</xdr:col>
                <xdr:colOff>247650</xdr:colOff>
                <xdr:row>0</xdr:row>
                <xdr:rowOff>0</xdr:rowOff>
              </from>
              <to>
                <xdr:col>15</xdr:col>
                <xdr:colOff>161925</xdr:colOff>
                <xdr:row>35</xdr:row>
                <xdr:rowOff>114300</xdr:rowOff>
              </to>
            </anchor>
          </objectPr>
        </oleObject>
      </mc:Choice>
      <mc:Fallback>
        <oleObject progId="PDF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Data_Cong</vt:lpstr>
      <vt:lpstr>BANG_CHAM_CONG</vt:lpstr>
      <vt:lpstr>Data_NV</vt:lpstr>
      <vt:lpstr>NQ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PC</dc:creator>
  <cp:lastModifiedBy>PC</cp:lastModifiedBy>
  <dcterms:created xsi:type="dcterms:W3CDTF">2025-10-01T07:04:14Z</dcterms:created>
  <dcterms:modified xsi:type="dcterms:W3CDTF">2025-10-01T07:46:24Z</dcterms:modified>
</cp:coreProperties>
</file>