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\\MAYCHUDELL\PKT - Copy 2\01 KTT\CHAM CONG\"/>
    </mc:Choice>
  </mc:AlternateContent>
  <xr:revisionPtr revIDLastSave="0" documentId="8_{36621D55-853F-4290-89D4-5FF04AFFD0FE}" xr6:coauthVersionLast="47" xr6:coauthVersionMax="47" xr10:uidLastSave="{00000000-0000-0000-0000-000000000000}"/>
  <bookViews>
    <workbookView xWindow="-120" yWindow="-120" windowWidth="29040" windowHeight="15720" xr2:uid="{7D0D8955-9970-4CC8-A9C3-9E0BDCE4E355}"/>
  </bookViews>
  <sheets>
    <sheet name="BANG_CHAM_CONG" sheetId="4" r:id="rId1"/>
    <sheet name="Data_Cong" sheetId="1" r:id="rId2"/>
    <sheet name="Data_NV" sheetId="2" state="hidden" r:id="rId3"/>
    <sheet name="NQ" sheetId="3" state="hidden" r:id="rId4"/>
  </sheets>
  <definedNames>
    <definedName name="_xlnm._FilterDatabase" localSheetId="1" hidden="1">Data_Cong!$A$2:$S$152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35" i="4" l="1"/>
  <c r="AE35" i="4"/>
  <c r="X35" i="4"/>
  <c r="Q35" i="4"/>
  <c r="J35" i="4"/>
  <c r="AH34" i="4"/>
  <c r="AE34" i="4"/>
  <c r="X34" i="4"/>
  <c r="Q34" i="4"/>
  <c r="J34" i="4"/>
  <c r="AH33" i="4"/>
  <c r="AE33" i="4"/>
  <c r="X33" i="4"/>
  <c r="Q33" i="4"/>
  <c r="J33" i="4"/>
  <c r="AH32" i="4"/>
  <c r="AE32" i="4"/>
  <c r="X32" i="4"/>
  <c r="Q32" i="4"/>
  <c r="J32" i="4"/>
  <c r="AH31" i="4"/>
  <c r="AE31" i="4"/>
  <c r="X31" i="4"/>
  <c r="Q31" i="4"/>
  <c r="J31" i="4"/>
  <c r="AH30" i="4"/>
  <c r="AE30" i="4"/>
  <c r="X30" i="4"/>
  <c r="Q30" i="4"/>
  <c r="J30" i="4"/>
  <c r="AH29" i="4"/>
  <c r="AE29" i="4"/>
  <c r="X29" i="4"/>
  <c r="Q29" i="4"/>
  <c r="J29" i="4"/>
  <c r="AH28" i="4"/>
  <c r="AE28" i="4"/>
  <c r="X28" i="4"/>
  <c r="Q28" i="4"/>
  <c r="J28" i="4"/>
  <c r="AH26" i="4"/>
  <c r="AE26" i="4"/>
  <c r="X26" i="4"/>
  <c r="Q26" i="4"/>
  <c r="J26" i="4"/>
  <c r="AH25" i="4"/>
  <c r="AE25" i="4"/>
  <c r="X25" i="4"/>
  <c r="Q25" i="4"/>
  <c r="J25" i="4"/>
  <c r="AH24" i="4"/>
  <c r="AE24" i="4"/>
  <c r="X24" i="4"/>
  <c r="Q24" i="4"/>
  <c r="J24" i="4"/>
  <c r="AH23" i="4"/>
  <c r="AE23" i="4"/>
  <c r="X23" i="4"/>
  <c r="Q23" i="4"/>
  <c r="J23" i="4"/>
  <c r="AH22" i="4"/>
  <c r="AE22" i="4"/>
  <c r="X22" i="4"/>
  <c r="Q22" i="4"/>
  <c r="J22" i="4"/>
  <c r="AH21" i="4"/>
  <c r="AE21" i="4"/>
  <c r="X21" i="4"/>
  <c r="Q21" i="4"/>
  <c r="J21" i="4"/>
  <c r="AH20" i="4"/>
  <c r="AE20" i="4"/>
  <c r="X20" i="4"/>
  <c r="Q20" i="4"/>
  <c r="J20" i="4"/>
  <c r="AH19" i="4"/>
  <c r="AE19" i="4"/>
  <c r="X19" i="4"/>
  <c r="Q19" i="4"/>
  <c r="J19" i="4"/>
  <c r="AH18" i="4"/>
  <c r="AE18" i="4"/>
  <c r="X18" i="4"/>
  <c r="Q18" i="4"/>
  <c r="J18" i="4"/>
  <c r="AH17" i="4"/>
  <c r="AE17" i="4"/>
  <c r="X17" i="4"/>
  <c r="Q17" i="4"/>
  <c r="J17" i="4"/>
  <c r="AH16" i="4"/>
  <c r="AE16" i="4"/>
  <c r="X16" i="4"/>
  <c r="Q16" i="4"/>
  <c r="J16" i="4"/>
  <c r="AH15" i="4"/>
  <c r="AE15" i="4"/>
  <c r="X15" i="4"/>
  <c r="Q15" i="4"/>
  <c r="J15" i="4"/>
  <c r="AH13" i="4"/>
  <c r="AE13" i="4"/>
  <c r="X13" i="4"/>
  <c r="Q13" i="4"/>
  <c r="J13" i="4"/>
  <c r="AH12" i="4"/>
  <c r="AE12" i="4"/>
  <c r="X12" i="4"/>
  <c r="Q12" i="4"/>
  <c r="J12" i="4"/>
  <c r="AH11" i="4"/>
  <c r="AE11" i="4"/>
  <c r="X11" i="4"/>
  <c r="Q11" i="4"/>
  <c r="J11" i="4"/>
  <c r="AH10" i="4"/>
  <c r="AE10" i="4"/>
  <c r="X10" i="4"/>
  <c r="Q10" i="4"/>
  <c r="J10" i="4"/>
  <c r="AH9" i="4"/>
  <c r="AE9" i="4"/>
  <c r="X9" i="4"/>
  <c r="Q9" i="4"/>
  <c r="J9" i="4"/>
  <c r="AH8" i="4"/>
  <c r="AE8" i="4"/>
  <c r="X8" i="4"/>
  <c r="Q8" i="4"/>
  <c r="J8" i="4"/>
  <c r="AH7" i="4"/>
  <c r="AE7" i="4"/>
  <c r="X7" i="4"/>
  <c r="Q7" i="4"/>
  <c r="J7" i="4"/>
  <c r="J6" i="4"/>
  <c r="Q6" i="4"/>
  <c r="X6" i="4"/>
  <c r="AE6" i="4"/>
  <c r="AH6" i="4"/>
  <c r="AL35" i="4"/>
  <c r="AL34" i="4"/>
  <c r="AL33" i="4"/>
  <c r="AL32" i="4"/>
  <c r="AL31" i="4"/>
  <c r="AL30" i="4"/>
  <c r="AL29" i="4"/>
  <c r="AL28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7" i="4"/>
  <c r="AL8" i="4"/>
  <c r="AL9" i="4"/>
  <c r="AL10" i="4"/>
  <c r="AL11" i="4"/>
  <c r="AL12" i="4"/>
  <c r="AL13" i="4"/>
  <c r="AL6" i="4"/>
  <c r="U3" i="1" l="1"/>
  <c r="U4" i="1"/>
  <c r="U5" i="1"/>
  <c r="U6" i="1"/>
  <c r="U7" i="1"/>
  <c r="U8" i="1"/>
  <c r="U9" i="1"/>
  <c r="AA9" i="1" s="1"/>
  <c r="U10" i="1"/>
  <c r="U11" i="1"/>
  <c r="U12" i="1"/>
  <c r="U13" i="1"/>
  <c r="U14" i="1"/>
  <c r="U15" i="1"/>
  <c r="U16" i="1"/>
  <c r="AA16" i="1" s="1"/>
  <c r="U17" i="1"/>
  <c r="U18" i="1"/>
  <c r="U19" i="1"/>
  <c r="U20" i="1"/>
  <c r="U21" i="1"/>
  <c r="U22" i="1"/>
  <c r="U23" i="1"/>
  <c r="AA23" i="1" s="1"/>
  <c r="U24" i="1"/>
  <c r="U25" i="1"/>
  <c r="U26" i="1"/>
  <c r="U27" i="1"/>
  <c r="U28" i="1"/>
  <c r="U29" i="1"/>
  <c r="U30" i="1"/>
  <c r="AA30" i="1" s="1"/>
  <c r="U31" i="1"/>
  <c r="U32" i="1"/>
  <c r="U33" i="1"/>
  <c r="U34" i="1"/>
  <c r="U35" i="1"/>
  <c r="U36" i="1"/>
  <c r="U37" i="1"/>
  <c r="U38" i="1"/>
  <c r="U39" i="1"/>
  <c r="AA39" i="1" s="1"/>
  <c r="U40" i="1"/>
  <c r="U41" i="1"/>
  <c r="U42" i="1"/>
  <c r="U43" i="1"/>
  <c r="U44" i="1"/>
  <c r="U45" i="1"/>
  <c r="U46" i="1"/>
  <c r="AA46" i="1" s="1"/>
  <c r="U47" i="1"/>
  <c r="U48" i="1"/>
  <c r="U49" i="1"/>
  <c r="U50" i="1"/>
  <c r="U51" i="1"/>
  <c r="U52" i="1"/>
  <c r="U53" i="1"/>
  <c r="AA53" i="1" s="1"/>
  <c r="U54" i="1"/>
  <c r="U55" i="1"/>
  <c r="U56" i="1"/>
  <c r="U57" i="1"/>
  <c r="U58" i="1"/>
  <c r="U59" i="1"/>
  <c r="U60" i="1"/>
  <c r="AA60" i="1" s="1"/>
  <c r="U61" i="1"/>
  <c r="U62" i="1"/>
  <c r="U63" i="1"/>
  <c r="U64" i="1"/>
  <c r="U65" i="1"/>
  <c r="U66" i="1"/>
  <c r="U67" i="1"/>
  <c r="U68" i="1"/>
  <c r="U69" i="1"/>
  <c r="AA69" i="1" s="1"/>
  <c r="U70" i="1"/>
  <c r="U71" i="1"/>
  <c r="U72" i="1"/>
  <c r="U73" i="1"/>
  <c r="U74" i="1"/>
  <c r="U75" i="1"/>
  <c r="U76" i="1"/>
  <c r="AA76" i="1" s="1"/>
  <c r="U77" i="1"/>
  <c r="U78" i="1"/>
  <c r="U79" i="1"/>
  <c r="U80" i="1"/>
  <c r="U81" i="1"/>
  <c r="U82" i="1"/>
  <c r="U83" i="1"/>
  <c r="AA83" i="1" s="1"/>
  <c r="U84" i="1"/>
  <c r="U85" i="1"/>
  <c r="U86" i="1"/>
  <c r="U87" i="1"/>
  <c r="U88" i="1"/>
  <c r="U89" i="1"/>
  <c r="U90" i="1"/>
  <c r="AA90" i="1" s="1"/>
  <c r="U91" i="1"/>
  <c r="U92" i="1"/>
  <c r="U93" i="1"/>
  <c r="U94" i="1"/>
  <c r="U95" i="1"/>
  <c r="U96" i="1"/>
  <c r="U97" i="1"/>
  <c r="U98" i="1"/>
  <c r="U99" i="1"/>
  <c r="AA99" i="1" s="1"/>
  <c r="U100" i="1"/>
  <c r="U101" i="1"/>
  <c r="U102" i="1"/>
  <c r="U103" i="1"/>
  <c r="U104" i="1"/>
  <c r="U105" i="1"/>
  <c r="U106" i="1"/>
  <c r="AA106" i="1" s="1"/>
  <c r="U107" i="1"/>
  <c r="U108" i="1"/>
  <c r="U109" i="1"/>
  <c r="U110" i="1"/>
  <c r="U111" i="1"/>
  <c r="U112" i="1"/>
  <c r="U113" i="1"/>
  <c r="AA113" i="1" s="1"/>
  <c r="U114" i="1"/>
  <c r="U115" i="1"/>
  <c r="U116" i="1"/>
  <c r="U117" i="1"/>
  <c r="U118" i="1"/>
  <c r="U119" i="1"/>
  <c r="U120" i="1"/>
  <c r="AA120" i="1" s="1"/>
  <c r="U121" i="1"/>
  <c r="U122" i="1"/>
  <c r="U123" i="1"/>
  <c r="U124" i="1"/>
  <c r="U125" i="1"/>
  <c r="U126" i="1"/>
  <c r="U127" i="1"/>
  <c r="U128" i="1"/>
  <c r="U129" i="1"/>
  <c r="AA129" i="1" s="1"/>
  <c r="U130" i="1"/>
  <c r="U131" i="1"/>
  <c r="U132" i="1"/>
  <c r="U133" i="1"/>
  <c r="U134" i="1"/>
  <c r="U135" i="1"/>
  <c r="U136" i="1"/>
  <c r="AA136" i="1" s="1"/>
  <c r="U137" i="1"/>
  <c r="U138" i="1"/>
  <c r="U139" i="1"/>
  <c r="U140" i="1"/>
  <c r="U141" i="1"/>
  <c r="U142" i="1"/>
  <c r="U143" i="1"/>
  <c r="AA143" i="1" s="1"/>
  <c r="U144" i="1"/>
  <c r="U145" i="1"/>
  <c r="U146" i="1"/>
  <c r="U147" i="1"/>
  <c r="U148" i="1"/>
  <c r="U149" i="1"/>
  <c r="U150" i="1"/>
  <c r="AA150" i="1" s="1"/>
  <c r="U151" i="1"/>
  <c r="U152" i="1"/>
  <c r="AG14" i="4"/>
  <c r="AN1" i="4"/>
  <c r="D3" i="4" s="1"/>
  <c r="R108" i="1" l="1"/>
  <c r="R140" i="1"/>
  <c r="R122" i="1"/>
  <c r="R62" i="1"/>
  <c r="R14" i="1"/>
  <c r="R139" i="1"/>
  <c r="R123" i="1"/>
  <c r="R121" i="1"/>
  <c r="R105" i="1"/>
  <c r="R87" i="1"/>
  <c r="R71" i="1"/>
  <c r="R61" i="1"/>
  <c r="R45" i="1"/>
  <c r="R29" i="1"/>
  <c r="R13" i="1"/>
  <c r="R48" i="1"/>
  <c r="R72" i="1"/>
  <c r="R30" i="1"/>
  <c r="R138" i="1"/>
  <c r="R120" i="1"/>
  <c r="R104" i="1"/>
  <c r="R86" i="1"/>
  <c r="R70" i="1"/>
  <c r="R60" i="1"/>
  <c r="R44" i="1"/>
  <c r="R28" i="1"/>
  <c r="R12" i="1"/>
  <c r="R89" i="1"/>
  <c r="R15" i="1"/>
  <c r="R124" i="1"/>
  <c r="R106" i="1"/>
  <c r="R88" i="1"/>
  <c r="R46" i="1"/>
  <c r="R137" i="1"/>
  <c r="R119" i="1"/>
  <c r="R103" i="1"/>
  <c r="R85" i="1"/>
  <c r="R69" i="1"/>
  <c r="R59" i="1"/>
  <c r="R43" i="1"/>
  <c r="R27" i="1"/>
  <c r="R11" i="1"/>
  <c r="R126" i="1"/>
  <c r="R32" i="1"/>
  <c r="R73" i="1"/>
  <c r="R152" i="1"/>
  <c r="R136" i="1"/>
  <c r="R118" i="1"/>
  <c r="R102" i="1"/>
  <c r="R84" i="1"/>
  <c r="R68" i="1"/>
  <c r="R58" i="1"/>
  <c r="R42" i="1"/>
  <c r="R26" i="1"/>
  <c r="R10" i="1"/>
  <c r="R151" i="1"/>
  <c r="R135" i="1"/>
  <c r="R117" i="1"/>
  <c r="R101" i="1"/>
  <c r="R83" i="1"/>
  <c r="R67" i="1"/>
  <c r="R57" i="1"/>
  <c r="R41" i="1"/>
  <c r="R25" i="1"/>
  <c r="R9" i="1"/>
  <c r="R125" i="1"/>
  <c r="R47" i="1"/>
  <c r="R150" i="1"/>
  <c r="R134" i="1"/>
  <c r="R116" i="1"/>
  <c r="R100" i="1"/>
  <c r="R82" i="1"/>
  <c r="R66" i="1"/>
  <c r="R56" i="1"/>
  <c r="R40" i="1"/>
  <c r="R24" i="1"/>
  <c r="R8" i="1"/>
  <c r="R90" i="1"/>
  <c r="R149" i="1"/>
  <c r="R133" i="1"/>
  <c r="R115" i="1"/>
  <c r="R99" i="1"/>
  <c r="R81" i="1"/>
  <c r="R65" i="1"/>
  <c r="R55" i="1"/>
  <c r="R39" i="1"/>
  <c r="R23" i="1"/>
  <c r="R7" i="1"/>
  <c r="R148" i="1"/>
  <c r="R132" i="1"/>
  <c r="R114" i="1"/>
  <c r="R98" i="1"/>
  <c r="R80" i="1"/>
  <c r="R64" i="1"/>
  <c r="R54" i="1"/>
  <c r="R38" i="1"/>
  <c r="R22" i="1"/>
  <c r="R6" i="1"/>
  <c r="R74" i="1"/>
  <c r="R107" i="1"/>
  <c r="R147" i="1"/>
  <c r="R131" i="1"/>
  <c r="R113" i="1"/>
  <c r="R97" i="1"/>
  <c r="R79" i="1"/>
  <c r="R63" i="1"/>
  <c r="R53" i="1"/>
  <c r="R37" i="1"/>
  <c r="R21" i="1"/>
  <c r="R5" i="1"/>
  <c r="R16" i="1"/>
  <c r="R31" i="1"/>
  <c r="R146" i="1"/>
  <c r="R130" i="1"/>
  <c r="R112" i="1"/>
  <c r="R96" i="1"/>
  <c r="R78" i="1"/>
  <c r="R52" i="1"/>
  <c r="R36" i="1"/>
  <c r="R20" i="1"/>
  <c r="R4" i="1"/>
  <c r="R145" i="1"/>
  <c r="R129" i="1"/>
  <c r="R111" i="1"/>
  <c r="R95" i="1"/>
  <c r="R77" i="1"/>
  <c r="R51" i="1"/>
  <c r="R35" i="1"/>
  <c r="R19" i="1"/>
  <c r="R3" i="1"/>
  <c r="R142" i="1"/>
  <c r="R141" i="1"/>
  <c r="R144" i="1"/>
  <c r="R128" i="1"/>
  <c r="R110" i="1"/>
  <c r="R94" i="1"/>
  <c r="R92" i="1"/>
  <c r="R76" i="1"/>
  <c r="R50" i="1"/>
  <c r="R34" i="1"/>
  <c r="R18" i="1"/>
  <c r="R143" i="1"/>
  <c r="R127" i="1"/>
  <c r="R109" i="1"/>
  <c r="R93" i="1"/>
  <c r="R91" i="1"/>
  <c r="R75" i="1"/>
  <c r="R49" i="1"/>
  <c r="R33" i="1"/>
  <c r="R17" i="1"/>
  <c r="E3" i="4"/>
  <c r="Y49" i="4"/>
  <c r="D4" i="4"/>
  <c r="E4" i="4" s="1"/>
  <c r="F4" i="4" s="1"/>
  <c r="G4" i="4" s="1"/>
  <c r="H4" i="4" s="1"/>
  <c r="I4" i="4" s="1"/>
  <c r="J4" i="4" s="1"/>
  <c r="K4" i="4" s="1"/>
  <c r="L4" i="4" s="1"/>
  <c r="M4" i="4" s="1"/>
  <c r="N4" i="4" s="1"/>
  <c r="O4" i="4" s="1"/>
  <c r="P4" i="4" s="1"/>
  <c r="Q4" i="4" s="1"/>
  <c r="R4" i="4" s="1"/>
  <c r="S4" i="4" s="1"/>
  <c r="T4" i="4" s="1"/>
  <c r="U4" i="4" s="1"/>
  <c r="V4" i="4" s="1"/>
  <c r="W4" i="4" s="1"/>
  <c r="X4" i="4" s="1"/>
  <c r="Y4" i="4" s="1"/>
  <c r="Z4" i="4" s="1"/>
  <c r="AA4" i="4" s="1"/>
  <c r="AB4" i="4" s="1"/>
  <c r="AC4" i="4" s="1"/>
  <c r="AD4" i="4" s="1"/>
  <c r="AE4" i="4" s="1"/>
  <c r="AF4" i="4" s="1"/>
  <c r="AG4" i="4" s="1"/>
  <c r="AH4" i="4" s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AE146" i="1" l="1"/>
  <c r="Y25" i="4"/>
  <c r="E21" i="4"/>
  <c r="D20" i="4"/>
  <c r="R6" i="4"/>
  <c r="E6" i="4"/>
  <c r="E22" i="4"/>
  <c r="D21" i="4"/>
  <c r="AG18" i="4"/>
  <c r="W7" i="4"/>
  <c r="E23" i="4"/>
  <c r="D22" i="4"/>
  <c r="E28" i="4"/>
  <c r="P7" i="4"/>
  <c r="AG8" i="4"/>
  <c r="V25" i="4"/>
  <c r="E24" i="4"/>
  <c r="D23" i="4"/>
  <c r="E7" i="4"/>
  <c r="D6" i="4"/>
  <c r="T6" i="4"/>
  <c r="D25" i="4"/>
  <c r="D8" i="4"/>
  <c r="D9" i="4"/>
  <c r="U25" i="4"/>
  <c r="E25" i="4"/>
  <c r="D24" i="4"/>
  <c r="Y12" i="4"/>
  <c r="H11" i="4"/>
  <c r="W10" i="4"/>
  <c r="E8" i="4"/>
  <c r="D7" i="4"/>
  <c r="E26" i="4"/>
  <c r="W11" i="4"/>
  <c r="E9" i="4"/>
  <c r="S7" i="4"/>
  <c r="N20" i="4"/>
  <c r="E10" i="4"/>
  <c r="D26" i="4"/>
  <c r="E29" i="4"/>
  <c r="D28" i="4"/>
  <c r="AC20" i="4"/>
  <c r="M20" i="4"/>
  <c r="L19" i="4"/>
  <c r="AA18" i="4"/>
  <c r="V12" i="4"/>
  <c r="U11" i="4"/>
  <c r="E11" i="4"/>
  <c r="T10" i="4"/>
  <c r="D10" i="4"/>
  <c r="S9" i="4"/>
  <c r="E30" i="4"/>
  <c r="D29" i="4"/>
  <c r="L20" i="4"/>
  <c r="Z18" i="4"/>
  <c r="H16" i="4"/>
  <c r="E12" i="4"/>
  <c r="D11" i="4"/>
  <c r="R9" i="4"/>
  <c r="E31" i="4"/>
  <c r="D30" i="4"/>
  <c r="E35" i="4"/>
  <c r="D34" i="4"/>
  <c r="N25" i="4"/>
  <c r="M24" i="4"/>
  <c r="U20" i="4"/>
  <c r="S11" i="4"/>
  <c r="N6" i="4"/>
  <c r="O7" i="4"/>
  <c r="M11" i="4"/>
  <c r="F16" i="4"/>
  <c r="K7" i="4"/>
  <c r="D19" i="4"/>
  <c r="E15" i="4"/>
  <c r="D31" i="4"/>
  <c r="AA8" i="4"/>
  <c r="M25" i="4"/>
  <c r="T19" i="4"/>
  <c r="P9" i="4"/>
  <c r="R17" i="4"/>
  <c r="P8" i="4"/>
  <c r="F17" i="4"/>
  <c r="D13" i="4"/>
  <c r="D35" i="4"/>
  <c r="V19" i="4"/>
  <c r="AA7" i="4"/>
  <c r="E32" i="4"/>
  <c r="E34" i="4"/>
  <c r="Y19" i="4"/>
  <c r="AD7" i="4"/>
  <c r="D32" i="4"/>
  <c r="Y6" i="4"/>
  <c r="L9" i="4"/>
  <c r="E13" i="4"/>
  <c r="AC11" i="4"/>
  <c r="I19" i="4"/>
  <c r="P12" i="4"/>
  <c r="O11" i="4"/>
  <c r="O8" i="4"/>
  <c r="E17" i="4"/>
  <c r="AG9" i="4"/>
  <c r="Z20" i="4"/>
  <c r="AD10" i="4"/>
  <c r="AB7" i="4"/>
  <c r="E33" i="4"/>
  <c r="H19" i="4"/>
  <c r="M9" i="4"/>
  <c r="N7" i="4"/>
  <c r="E18" i="4"/>
  <c r="Y18" i="4"/>
  <c r="V17" i="4"/>
  <c r="D33" i="4"/>
  <c r="D12" i="4"/>
  <c r="AF11" i="4"/>
  <c r="L6" i="4"/>
  <c r="F19" i="4"/>
  <c r="G17" i="4"/>
  <c r="L7" i="4"/>
  <c r="AB6" i="4"/>
  <c r="AD25" i="4"/>
  <c r="E20" i="4"/>
  <c r="E19" i="4"/>
  <c r="E16" i="4"/>
  <c r="AG10" i="4"/>
  <c r="Z24" i="4"/>
  <c r="AF12" i="4"/>
  <c r="AD8" i="4"/>
  <c r="K6" i="4"/>
  <c r="D18" i="4"/>
  <c r="D17" i="4"/>
  <c r="D16" i="4"/>
  <c r="D15" i="4"/>
  <c r="AA25" i="4"/>
  <c r="AG12" i="4"/>
  <c r="AG16" i="4"/>
  <c r="AA9" i="4"/>
  <c r="W19" i="4"/>
  <c r="W18" i="4"/>
  <c r="W17" i="4"/>
  <c r="S19" i="4"/>
  <c r="AC7" i="4"/>
  <c r="K9" i="4"/>
  <c r="U8" i="4"/>
  <c r="O12" i="4"/>
  <c r="AG17" i="4"/>
  <c r="AC19" i="4"/>
  <c r="M19" i="4"/>
  <c r="V6" i="4"/>
  <c r="AD11" i="4"/>
  <c r="P20" i="4"/>
  <c r="AD19" i="4"/>
  <c r="W9" i="4"/>
  <c r="AG19" i="4"/>
  <c r="O20" i="4"/>
  <c r="AF19" i="4"/>
  <c r="Y8" i="4"/>
  <c r="I8" i="4"/>
  <c r="O19" i="4"/>
  <c r="AD12" i="4"/>
  <c r="K19" i="4"/>
  <c r="Y20" i="4"/>
  <c r="I20" i="4"/>
  <c r="Z19" i="4"/>
  <c r="AD9" i="4"/>
  <c r="AJ15" i="4"/>
  <c r="AJ6" i="4"/>
  <c r="AJ28" i="4"/>
  <c r="F3" i="4"/>
  <c r="AE34" i="1"/>
  <c r="AE6" i="1"/>
  <c r="AB137" i="1"/>
  <c r="AF137" i="1" s="1"/>
  <c r="AH137" i="1" s="1"/>
  <c r="AC137" i="1"/>
  <c r="AG137" i="1" s="1"/>
  <c r="L35" i="4"/>
  <c r="AB115" i="1"/>
  <c r="AF115" i="1" s="1"/>
  <c r="AC115" i="1"/>
  <c r="AG115" i="1" s="1"/>
  <c r="AB99" i="1"/>
  <c r="AF99" i="1" s="1"/>
  <c r="AH99" i="1" s="1"/>
  <c r="AC99" i="1"/>
  <c r="AG99" i="1" s="1"/>
  <c r="AB81" i="1"/>
  <c r="AF81" i="1" s="1"/>
  <c r="AH81" i="1" s="1"/>
  <c r="AC81" i="1"/>
  <c r="AG81" i="1" s="1"/>
  <c r="AB65" i="1"/>
  <c r="AF65" i="1" s="1"/>
  <c r="AH65" i="1" s="1"/>
  <c r="AC65" i="1"/>
  <c r="AG65" i="1" s="1"/>
  <c r="AA65" i="1" s="1"/>
  <c r="F29" i="4" s="1"/>
  <c r="N12" i="4"/>
  <c r="AB24" i="4"/>
  <c r="L24" i="4"/>
  <c r="AB55" i="1"/>
  <c r="AF55" i="1" s="1"/>
  <c r="AH55" i="1" s="1"/>
  <c r="AC55" i="1"/>
  <c r="AG55" i="1" s="1"/>
  <c r="AA55" i="1" s="1"/>
  <c r="Z33" i="4" s="1"/>
  <c r="AB39" i="1"/>
  <c r="AF39" i="1" s="1"/>
  <c r="AH39" i="1" s="1"/>
  <c r="AC39" i="1"/>
  <c r="AG39" i="1" s="1"/>
  <c r="P11" i="4"/>
  <c r="V7" i="4"/>
  <c r="F7" i="4"/>
  <c r="AF10" i="4"/>
  <c r="P10" i="4"/>
  <c r="T18" i="4"/>
  <c r="AB27" i="1"/>
  <c r="AF27" i="1" s="1"/>
  <c r="AH27" i="1" s="1"/>
  <c r="AC27" i="1"/>
  <c r="AG27" i="1" s="1"/>
  <c r="AB11" i="1"/>
  <c r="AF11" i="1" s="1"/>
  <c r="AH11" i="1" s="1"/>
  <c r="AC11" i="1"/>
  <c r="AG11" i="1" s="1"/>
  <c r="Z8" i="4"/>
  <c r="V9" i="4"/>
  <c r="F9" i="4"/>
  <c r="Z17" i="4"/>
  <c r="T20" i="4"/>
  <c r="AB152" i="1"/>
  <c r="AF152" i="1" s="1"/>
  <c r="AH152" i="1" s="1"/>
  <c r="AC152" i="1"/>
  <c r="AG152" i="1" s="1"/>
  <c r="AD136" i="1"/>
  <c r="AB136" i="1"/>
  <c r="AF136" i="1" s="1"/>
  <c r="AH136" i="1" s="1"/>
  <c r="AC136" i="1"/>
  <c r="AG136" i="1" s="1"/>
  <c r="K35" i="4"/>
  <c r="AB114" i="1"/>
  <c r="AF114" i="1" s="1"/>
  <c r="AC114" i="1"/>
  <c r="AG114" i="1" s="1"/>
  <c r="AB98" i="1"/>
  <c r="AF98" i="1" s="1"/>
  <c r="AH98" i="1" s="1"/>
  <c r="AC98" i="1"/>
  <c r="AG98" i="1" s="1"/>
  <c r="AB80" i="1"/>
  <c r="AF80" i="1" s="1"/>
  <c r="AH80" i="1" s="1"/>
  <c r="AC80" i="1"/>
  <c r="AG80" i="1" s="1"/>
  <c r="AD64" i="1"/>
  <c r="AB64" i="1"/>
  <c r="AF64" i="1" s="1"/>
  <c r="AH64" i="1" s="1"/>
  <c r="AC64" i="1"/>
  <c r="AG64" i="1" s="1"/>
  <c r="AC25" i="4"/>
  <c r="AG6" i="4"/>
  <c r="AC12" i="4"/>
  <c r="M12" i="4"/>
  <c r="AA24" i="4"/>
  <c r="K24" i="4"/>
  <c r="AB54" i="1"/>
  <c r="AF54" i="1" s="1"/>
  <c r="AH54" i="1" s="1"/>
  <c r="AC54" i="1"/>
  <c r="AG54" i="1" s="1"/>
  <c r="AB38" i="1"/>
  <c r="AF38" i="1" s="1"/>
  <c r="AH38" i="1" s="1"/>
  <c r="AC38" i="1"/>
  <c r="AG38" i="1" s="1"/>
  <c r="U7" i="4"/>
  <c r="O10" i="4"/>
  <c r="S18" i="4"/>
  <c r="AB26" i="1"/>
  <c r="AF26" i="1" s="1"/>
  <c r="AH26" i="1" s="1"/>
  <c r="AC26" i="1"/>
  <c r="AG26" i="1" s="1"/>
  <c r="AB10" i="1"/>
  <c r="AF10" i="1" s="1"/>
  <c r="AH10" i="1" s="1"/>
  <c r="AC10" i="1"/>
  <c r="AG10" i="1" s="1"/>
  <c r="W26" i="4"/>
  <c r="U9" i="4"/>
  <c r="Y17" i="4"/>
  <c r="I17" i="4"/>
  <c r="W16" i="4"/>
  <c r="G16" i="4"/>
  <c r="U19" i="4"/>
  <c r="S20" i="4"/>
  <c r="AB151" i="1"/>
  <c r="AF151" i="1" s="1"/>
  <c r="AH151" i="1" s="1"/>
  <c r="AC151" i="1"/>
  <c r="AG151" i="1" s="1"/>
  <c r="AB135" i="1"/>
  <c r="AF135" i="1" s="1"/>
  <c r="AH135" i="1" s="1"/>
  <c r="AC135" i="1"/>
  <c r="AG135" i="1" s="1"/>
  <c r="AB113" i="1"/>
  <c r="AF113" i="1" s="1"/>
  <c r="AH113" i="1" s="1"/>
  <c r="AC113" i="1"/>
  <c r="AG113" i="1" s="1"/>
  <c r="AB97" i="1"/>
  <c r="AF97" i="1" s="1"/>
  <c r="AC97" i="1"/>
  <c r="AG97" i="1" s="1"/>
  <c r="AB79" i="1"/>
  <c r="AF79" i="1" s="1"/>
  <c r="AH79" i="1" s="1"/>
  <c r="AC79" i="1"/>
  <c r="AG79" i="1" s="1"/>
  <c r="AB63" i="1"/>
  <c r="AF63" i="1" s="1"/>
  <c r="AH63" i="1" s="1"/>
  <c r="AC63" i="1"/>
  <c r="AG63" i="1" s="1"/>
  <c r="AB25" i="4"/>
  <c r="L25" i="4"/>
  <c r="AF6" i="4"/>
  <c r="P6" i="4"/>
  <c r="AB12" i="4"/>
  <c r="L12" i="4"/>
  <c r="AB53" i="1"/>
  <c r="AF53" i="1" s="1"/>
  <c r="AH53" i="1" s="1"/>
  <c r="AC53" i="1"/>
  <c r="AG53" i="1" s="1"/>
  <c r="AB37" i="1"/>
  <c r="AF37" i="1" s="1"/>
  <c r="AH37" i="1" s="1"/>
  <c r="AC37" i="1"/>
  <c r="AG37" i="1" s="1"/>
  <c r="N11" i="4"/>
  <c r="T7" i="4"/>
  <c r="N10" i="4"/>
  <c r="R18" i="4"/>
  <c r="AB25" i="1"/>
  <c r="AF25" i="1" s="1"/>
  <c r="AH25" i="1" s="1"/>
  <c r="AC25" i="1"/>
  <c r="AG25" i="1" s="1"/>
  <c r="AC9" i="1"/>
  <c r="AG9" i="1" s="1"/>
  <c r="AB9" i="1"/>
  <c r="AF9" i="1" s="1"/>
  <c r="AH9" i="1" s="1"/>
  <c r="H8" i="4"/>
  <c r="V26" i="4"/>
  <c r="T9" i="4"/>
  <c r="H17" i="4"/>
  <c r="V16" i="4"/>
  <c r="R20" i="4"/>
  <c r="AB150" i="1"/>
  <c r="AF150" i="1" s="1"/>
  <c r="AH150" i="1" s="1"/>
  <c r="AC150" i="1"/>
  <c r="AG150" i="1" s="1"/>
  <c r="AB134" i="1"/>
  <c r="AF134" i="1" s="1"/>
  <c r="AH134" i="1" s="1"/>
  <c r="AC134" i="1"/>
  <c r="AG134" i="1" s="1"/>
  <c r="I35" i="4"/>
  <c r="AB112" i="1"/>
  <c r="AF112" i="1" s="1"/>
  <c r="AH112" i="1" s="1"/>
  <c r="AC112" i="1"/>
  <c r="AG112" i="1" s="1"/>
  <c r="AB96" i="1"/>
  <c r="AF96" i="1" s="1"/>
  <c r="AH96" i="1" s="1"/>
  <c r="AC96" i="1"/>
  <c r="AG96" i="1" s="1"/>
  <c r="AA96" i="1" s="1"/>
  <c r="G30" i="4" s="1"/>
  <c r="AB78" i="1"/>
  <c r="AF78" i="1" s="1"/>
  <c r="AH78" i="1" s="1"/>
  <c r="AC78" i="1"/>
  <c r="AG78" i="1" s="1"/>
  <c r="K25" i="4"/>
  <c r="O6" i="4"/>
  <c r="AA12" i="4"/>
  <c r="K12" i="4"/>
  <c r="Y24" i="4"/>
  <c r="I24" i="4"/>
  <c r="AB52" i="1"/>
  <c r="AF52" i="1" s="1"/>
  <c r="AH52" i="1" s="1"/>
  <c r="AC52" i="1"/>
  <c r="AG52" i="1" s="1"/>
  <c r="AB36" i="1"/>
  <c r="AF36" i="1" s="1"/>
  <c r="AH36" i="1" s="1"/>
  <c r="AC36" i="1"/>
  <c r="AG36" i="1" s="1"/>
  <c r="AC10" i="4"/>
  <c r="M10" i="4"/>
  <c r="AB24" i="1"/>
  <c r="AF24" i="1" s="1"/>
  <c r="AH24" i="1" s="1"/>
  <c r="AC24" i="1"/>
  <c r="AG24" i="1" s="1"/>
  <c r="AB8" i="1"/>
  <c r="AF8" i="1" s="1"/>
  <c r="AH8" i="1" s="1"/>
  <c r="AC8" i="1"/>
  <c r="AG8" i="1" s="1"/>
  <c r="W8" i="4"/>
  <c r="G8" i="4"/>
  <c r="U26" i="4"/>
  <c r="U16" i="4"/>
  <c r="AG20" i="4"/>
  <c r="AB149" i="1"/>
  <c r="AF149" i="1" s="1"/>
  <c r="AH149" i="1" s="1"/>
  <c r="AC149" i="1"/>
  <c r="AG149" i="1" s="1"/>
  <c r="AB133" i="1"/>
  <c r="AF133" i="1" s="1"/>
  <c r="AH133" i="1" s="1"/>
  <c r="AC133" i="1"/>
  <c r="AG133" i="1" s="1"/>
  <c r="H35" i="4"/>
  <c r="AB111" i="1"/>
  <c r="AF111" i="1" s="1"/>
  <c r="AC111" i="1"/>
  <c r="AG111" i="1" s="1"/>
  <c r="AB95" i="1"/>
  <c r="AF95" i="1" s="1"/>
  <c r="AH95" i="1" s="1"/>
  <c r="AC95" i="1"/>
  <c r="AG95" i="1" s="1"/>
  <c r="AB77" i="1"/>
  <c r="AF77" i="1" s="1"/>
  <c r="AH77" i="1" s="1"/>
  <c r="AC77" i="1"/>
  <c r="AG77" i="1" s="1"/>
  <c r="Z25" i="4"/>
  <c r="AD6" i="4"/>
  <c r="Z12" i="4"/>
  <c r="H24" i="4"/>
  <c r="AB51" i="1"/>
  <c r="AF51" i="1" s="1"/>
  <c r="AH51" i="1" s="1"/>
  <c r="AC51" i="1"/>
  <c r="AG51" i="1" s="1"/>
  <c r="AB35" i="1"/>
  <c r="AF35" i="1" s="1"/>
  <c r="AH35" i="1" s="1"/>
  <c r="AC35" i="1"/>
  <c r="AG35" i="1" s="1"/>
  <c r="AB11" i="4"/>
  <c r="L11" i="4"/>
  <c r="R7" i="4"/>
  <c r="AB10" i="4"/>
  <c r="L10" i="4"/>
  <c r="AF18" i="4"/>
  <c r="P18" i="4"/>
  <c r="AB23" i="1"/>
  <c r="AF23" i="1" s="1"/>
  <c r="AH23" i="1" s="1"/>
  <c r="AC23" i="1"/>
  <c r="AG23" i="1" s="1"/>
  <c r="AB7" i="1"/>
  <c r="AF7" i="1" s="1"/>
  <c r="AH7" i="1" s="1"/>
  <c r="AC7" i="1"/>
  <c r="AG7" i="1" s="1"/>
  <c r="V8" i="4"/>
  <c r="F8" i="4"/>
  <c r="T26" i="4"/>
  <c r="T16" i="4"/>
  <c r="R19" i="4"/>
  <c r="AF20" i="4"/>
  <c r="AB148" i="1"/>
  <c r="AF148" i="1" s="1"/>
  <c r="AH148" i="1" s="1"/>
  <c r="AC148" i="1"/>
  <c r="AG148" i="1" s="1"/>
  <c r="AB132" i="1"/>
  <c r="AF132" i="1" s="1"/>
  <c r="AH132" i="1" s="1"/>
  <c r="AC132" i="1"/>
  <c r="AG132" i="1" s="1"/>
  <c r="G35" i="4"/>
  <c r="AB110" i="1"/>
  <c r="AF110" i="1" s="1"/>
  <c r="AH110" i="1" s="1"/>
  <c r="AC110" i="1"/>
  <c r="AG110" i="1" s="1"/>
  <c r="AD94" i="1"/>
  <c r="AB94" i="1"/>
  <c r="AF94" i="1" s="1"/>
  <c r="AH94" i="1" s="1"/>
  <c r="AC94" i="1"/>
  <c r="AG94" i="1" s="1"/>
  <c r="AB92" i="1"/>
  <c r="AF92" i="1" s="1"/>
  <c r="AH92" i="1" s="1"/>
  <c r="AC92" i="1"/>
  <c r="AG92" i="1" s="1"/>
  <c r="AD76" i="1"/>
  <c r="AB76" i="1"/>
  <c r="AF76" i="1" s="1"/>
  <c r="AH76" i="1" s="1"/>
  <c r="AC76" i="1"/>
  <c r="AG76" i="1" s="1"/>
  <c r="I25" i="4"/>
  <c r="AC6" i="4"/>
  <c r="M6" i="4"/>
  <c r="I12" i="4"/>
  <c r="W24" i="4"/>
  <c r="G24" i="4"/>
  <c r="AB50" i="1"/>
  <c r="AF50" i="1" s="1"/>
  <c r="AH50" i="1" s="1"/>
  <c r="AC50" i="1"/>
  <c r="AG50" i="1" s="1"/>
  <c r="AB34" i="1"/>
  <c r="AF34" i="1" s="1"/>
  <c r="AH34" i="1" s="1"/>
  <c r="AC34" i="1"/>
  <c r="AG34" i="1" s="1"/>
  <c r="AA11" i="4"/>
  <c r="K11" i="4"/>
  <c r="AG7" i="4"/>
  <c r="AA10" i="4"/>
  <c r="K10" i="4"/>
  <c r="O18" i="4"/>
  <c r="AB22" i="1"/>
  <c r="AF22" i="1" s="1"/>
  <c r="AH22" i="1" s="1"/>
  <c r="AC22" i="1"/>
  <c r="AG22" i="1" s="1"/>
  <c r="AB6" i="1"/>
  <c r="AF6" i="1" s="1"/>
  <c r="AH6" i="1" s="1"/>
  <c r="AC6" i="1"/>
  <c r="AG6" i="1" s="1"/>
  <c r="S26" i="4"/>
  <c r="U17" i="4"/>
  <c r="S16" i="4"/>
  <c r="AB147" i="1"/>
  <c r="AF147" i="1" s="1"/>
  <c r="AH147" i="1" s="1"/>
  <c r="AC147" i="1"/>
  <c r="AG147" i="1" s="1"/>
  <c r="AB131" i="1"/>
  <c r="AF131" i="1" s="1"/>
  <c r="AH131" i="1" s="1"/>
  <c r="AC131" i="1"/>
  <c r="AG131" i="1" s="1"/>
  <c r="F35" i="4"/>
  <c r="AB109" i="1"/>
  <c r="AF109" i="1" s="1"/>
  <c r="AC109" i="1"/>
  <c r="AG109" i="1" s="1"/>
  <c r="AD93" i="1"/>
  <c r="AB93" i="1"/>
  <c r="AC93" i="1"/>
  <c r="AG93" i="1" s="1"/>
  <c r="R28" i="4"/>
  <c r="AB91" i="1"/>
  <c r="AF91" i="1" s="1"/>
  <c r="AC91" i="1"/>
  <c r="AG91" i="1" s="1"/>
  <c r="AB75" i="1"/>
  <c r="AF75" i="1" s="1"/>
  <c r="AH75" i="1" s="1"/>
  <c r="AC75" i="1"/>
  <c r="AG75" i="1" s="1"/>
  <c r="H25" i="4"/>
  <c r="H12" i="4"/>
  <c r="V24" i="4"/>
  <c r="F24" i="4"/>
  <c r="AB49" i="1"/>
  <c r="AF49" i="1" s="1"/>
  <c r="AH49" i="1" s="1"/>
  <c r="AC49" i="1"/>
  <c r="AG49" i="1" s="1"/>
  <c r="AD33" i="1"/>
  <c r="AB33" i="1"/>
  <c r="AC33" i="1"/>
  <c r="AG33" i="1" s="1"/>
  <c r="Z11" i="4"/>
  <c r="AF7" i="4"/>
  <c r="Z10" i="4"/>
  <c r="AD18" i="4"/>
  <c r="N18" i="4"/>
  <c r="AB21" i="1"/>
  <c r="AF21" i="1" s="1"/>
  <c r="AH21" i="1" s="1"/>
  <c r="AC21" i="1"/>
  <c r="AG21" i="1" s="1"/>
  <c r="AD5" i="1"/>
  <c r="AB5" i="1"/>
  <c r="AF5" i="1" s="1"/>
  <c r="AH5" i="1" s="1"/>
  <c r="AC5" i="1"/>
  <c r="AG5" i="1" s="1"/>
  <c r="AA5" i="1" s="1"/>
  <c r="F32" i="4" s="1"/>
  <c r="T8" i="4"/>
  <c r="AF9" i="4"/>
  <c r="T17" i="4"/>
  <c r="R16" i="4"/>
  <c r="P19" i="4"/>
  <c r="AD20" i="4"/>
  <c r="AB146" i="1"/>
  <c r="AF146" i="1" s="1"/>
  <c r="AH146" i="1" s="1"/>
  <c r="AC146" i="1"/>
  <c r="AG146" i="1" s="1"/>
  <c r="AB130" i="1"/>
  <c r="AF130" i="1" s="1"/>
  <c r="AH130" i="1" s="1"/>
  <c r="AC130" i="1"/>
  <c r="AG130" i="1" s="1"/>
  <c r="AB108" i="1"/>
  <c r="AF108" i="1" s="1"/>
  <c r="AC108" i="1"/>
  <c r="AG108" i="1" s="1"/>
  <c r="AD90" i="1"/>
  <c r="AB90" i="1"/>
  <c r="AF90" i="1" s="1"/>
  <c r="AH90" i="1" s="1"/>
  <c r="AC90" i="1"/>
  <c r="AG90" i="1" s="1"/>
  <c r="AB74" i="1"/>
  <c r="AF74" i="1" s="1"/>
  <c r="AH74" i="1" s="1"/>
  <c r="AC74" i="1"/>
  <c r="AG74" i="1" s="1"/>
  <c r="W25" i="4"/>
  <c r="G25" i="4"/>
  <c r="AA6" i="4"/>
  <c r="W12" i="4"/>
  <c r="G12" i="4"/>
  <c r="U24" i="4"/>
  <c r="AB48" i="1"/>
  <c r="AF48" i="1" s="1"/>
  <c r="AH48" i="1" s="1"/>
  <c r="AC48" i="1"/>
  <c r="AG48" i="1" s="1"/>
  <c r="Y11" i="4"/>
  <c r="I11" i="4"/>
  <c r="Y10" i="4"/>
  <c r="I10" i="4"/>
  <c r="AC18" i="4"/>
  <c r="M18" i="4"/>
  <c r="AB20" i="1"/>
  <c r="AF20" i="1" s="1"/>
  <c r="AH20" i="1" s="1"/>
  <c r="AC20" i="1"/>
  <c r="AG20" i="1" s="1"/>
  <c r="AD4" i="1"/>
  <c r="AB4" i="1"/>
  <c r="AF4" i="1" s="1"/>
  <c r="AH4" i="1" s="1"/>
  <c r="AC4" i="1"/>
  <c r="AG4" i="1" s="1"/>
  <c r="S8" i="4"/>
  <c r="O9" i="4"/>
  <c r="S17" i="4"/>
  <c r="AB145" i="1"/>
  <c r="AF145" i="1" s="1"/>
  <c r="AH145" i="1" s="1"/>
  <c r="AC145" i="1"/>
  <c r="AG145" i="1" s="1"/>
  <c r="AD129" i="1"/>
  <c r="AB129" i="1"/>
  <c r="AF129" i="1" s="1"/>
  <c r="AH129" i="1" s="1"/>
  <c r="AC129" i="1"/>
  <c r="AG129" i="1" s="1"/>
  <c r="AB107" i="1"/>
  <c r="AF107" i="1" s="1"/>
  <c r="AC107" i="1"/>
  <c r="AG107" i="1" s="1"/>
  <c r="P28" i="4"/>
  <c r="AB89" i="1"/>
  <c r="AF89" i="1" s="1"/>
  <c r="AH89" i="1" s="1"/>
  <c r="AC89" i="1"/>
  <c r="AG89" i="1" s="1"/>
  <c r="AB73" i="1"/>
  <c r="AF73" i="1" s="1"/>
  <c r="AH73" i="1" s="1"/>
  <c r="AC73" i="1"/>
  <c r="AG73" i="1" s="1"/>
  <c r="F25" i="4"/>
  <c r="AF34" i="4"/>
  <c r="F12" i="4"/>
  <c r="T24" i="4"/>
  <c r="AB47" i="1"/>
  <c r="AF47" i="1" s="1"/>
  <c r="AH47" i="1" s="1"/>
  <c r="AC47" i="1"/>
  <c r="AG47" i="1" s="1"/>
  <c r="H10" i="4"/>
  <c r="AB18" i="4"/>
  <c r="L18" i="4"/>
  <c r="AB19" i="1"/>
  <c r="AF19" i="1" s="1"/>
  <c r="AH19" i="1" s="1"/>
  <c r="AC19" i="1"/>
  <c r="AG19" i="1" s="1"/>
  <c r="AD3" i="1"/>
  <c r="AB3" i="1"/>
  <c r="AC3" i="1"/>
  <c r="AG3" i="1" s="1"/>
  <c r="R8" i="4"/>
  <c r="N9" i="4"/>
  <c r="AF16" i="4"/>
  <c r="P16" i="4"/>
  <c r="N19" i="4"/>
  <c r="AB20" i="4"/>
  <c r="AB144" i="1"/>
  <c r="AF144" i="1" s="1"/>
  <c r="AH144" i="1" s="1"/>
  <c r="AC144" i="1"/>
  <c r="AG144" i="1" s="1"/>
  <c r="AB128" i="1"/>
  <c r="AF128" i="1" s="1"/>
  <c r="AH128" i="1" s="1"/>
  <c r="AC128" i="1"/>
  <c r="AB122" i="1"/>
  <c r="AF122" i="1" s="1"/>
  <c r="AC122" i="1"/>
  <c r="AG122" i="1" s="1"/>
  <c r="AB106" i="1"/>
  <c r="AF106" i="1" s="1"/>
  <c r="AH106" i="1" s="1"/>
  <c r="AC106" i="1"/>
  <c r="AG106" i="1" s="1"/>
  <c r="AB88" i="1"/>
  <c r="AF88" i="1" s="1"/>
  <c r="AH88" i="1" s="1"/>
  <c r="AC88" i="1"/>
  <c r="AG88" i="1" s="1"/>
  <c r="AB72" i="1"/>
  <c r="AF72" i="1" s="1"/>
  <c r="AH72" i="1" s="1"/>
  <c r="AC72" i="1"/>
  <c r="AG72" i="1" s="1"/>
  <c r="I6" i="4"/>
  <c r="U12" i="4"/>
  <c r="AB62" i="1"/>
  <c r="AF62" i="1" s="1"/>
  <c r="AH62" i="1" s="1"/>
  <c r="AC62" i="1"/>
  <c r="AG62" i="1" s="1"/>
  <c r="AC46" i="1"/>
  <c r="AG46" i="1" s="1"/>
  <c r="AB46" i="1"/>
  <c r="AF46" i="1" s="1"/>
  <c r="AH46" i="1" s="1"/>
  <c r="G11" i="4"/>
  <c r="M7" i="4"/>
  <c r="G10" i="4"/>
  <c r="K18" i="4"/>
  <c r="AB18" i="1"/>
  <c r="AF18" i="1" s="1"/>
  <c r="AH18" i="1" s="1"/>
  <c r="AC18" i="1"/>
  <c r="AG18" i="1" s="1"/>
  <c r="AC9" i="4"/>
  <c r="O16" i="4"/>
  <c r="AA20" i="4"/>
  <c r="K20" i="4"/>
  <c r="AB143" i="1"/>
  <c r="AF143" i="1" s="1"/>
  <c r="AH143" i="1" s="1"/>
  <c r="AC143" i="1"/>
  <c r="AG143" i="1" s="1"/>
  <c r="AB127" i="1"/>
  <c r="AF127" i="1" s="1"/>
  <c r="AH127" i="1" s="1"/>
  <c r="AC127" i="1"/>
  <c r="AG127" i="1" s="1"/>
  <c r="AB121" i="1"/>
  <c r="AF121" i="1" s="1"/>
  <c r="AC121" i="1"/>
  <c r="AG121" i="1" s="1"/>
  <c r="AB105" i="1"/>
  <c r="AF105" i="1" s="1"/>
  <c r="AH105" i="1" s="1"/>
  <c r="AC105" i="1"/>
  <c r="AB87" i="1"/>
  <c r="AF87" i="1" s="1"/>
  <c r="AH87" i="1" s="1"/>
  <c r="AC87" i="1"/>
  <c r="AG87" i="1" s="1"/>
  <c r="AB71" i="1"/>
  <c r="AF71" i="1" s="1"/>
  <c r="AH71" i="1" s="1"/>
  <c r="AC71" i="1"/>
  <c r="AG71" i="1" s="1"/>
  <c r="T25" i="4"/>
  <c r="AD34" i="4"/>
  <c r="H6" i="4"/>
  <c r="T12" i="4"/>
  <c r="R24" i="4"/>
  <c r="AB61" i="1"/>
  <c r="AF61" i="1" s="1"/>
  <c r="AH61" i="1" s="1"/>
  <c r="AC61" i="1"/>
  <c r="AG61" i="1" s="1"/>
  <c r="AC45" i="1"/>
  <c r="AG45" i="1" s="1"/>
  <c r="AB45" i="1"/>
  <c r="AF45" i="1" s="1"/>
  <c r="AH45" i="1" s="1"/>
  <c r="V11" i="4"/>
  <c r="F11" i="4"/>
  <c r="V10" i="4"/>
  <c r="F10" i="4"/>
  <c r="AB17" i="1"/>
  <c r="AF17" i="1" s="1"/>
  <c r="AH17" i="1" s="1"/>
  <c r="AC17" i="1"/>
  <c r="AG17" i="1" s="1"/>
  <c r="AF8" i="4"/>
  <c r="AB9" i="4"/>
  <c r="AF17" i="4"/>
  <c r="P17" i="4"/>
  <c r="AD16" i="4"/>
  <c r="N16" i="4"/>
  <c r="AB19" i="4"/>
  <c r="AB142" i="1"/>
  <c r="AF142" i="1" s="1"/>
  <c r="AH142" i="1" s="1"/>
  <c r="AC142" i="1"/>
  <c r="AG142" i="1" s="1"/>
  <c r="AB126" i="1"/>
  <c r="AF126" i="1" s="1"/>
  <c r="AH126" i="1" s="1"/>
  <c r="AC126" i="1"/>
  <c r="AG126" i="1" s="1"/>
  <c r="AB120" i="1"/>
  <c r="AF120" i="1" s="1"/>
  <c r="AH120" i="1" s="1"/>
  <c r="AC120" i="1"/>
  <c r="AG120" i="1" s="1"/>
  <c r="AB104" i="1"/>
  <c r="AF104" i="1" s="1"/>
  <c r="AC104" i="1"/>
  <c r="AG104" i="1" s="1"/>
  <c r="AB86" i="1"/>
  <c r="AF86" i="1" s="1"/>
  <c r="AH86" i="1" s="1"/>
  <c r="AC86" i="1"/>
  <c r="AG86" i="1" s="1"/>
  <c r="AB70" i="1"/>
  <c r="AF70" i="1" s="1"/>
  <c r="AH70" i="1" s="1"/>
  <c r="AC70" i="1"/>
  <c r="AG70" i="1" s="1"/>
  <c r="S25" i="4"/>
  <c r="M34" i="4"/>
  <c r="W6" i="4"/>
  <c r="G6" i="4"/>
  <c r="S12" i="4"/>
  <c r="AG24" i="4"/>
  <c r="AB60" i="1"/>
  <c r="AF60" i="1" s="1"/>
  <c r="AH60" i="1" s="1"/>
  <c r="AC60" i="1"/>
  <c r="AG60" i="1" s="1"/>
  <c r="AC44" i="1"/>
  <c r="AG44" i="1" s="1"/>
  <c r="AB44" i="1"/>
  <c r="AF44" i="1" s="1"/>
  <c r="AH44" i="1" s="1"/>
  <c r="U10" i="4"/>
  <c r="I18" i="4"/>
  <c r="AB32" i="1"/>
  <c r="AF32" i="1" s="1"/>
  <c r="AH32" i="1" s="1"/>
  <c r="AC32" i="1"/>
  <c r="AG32" i="1" s="1"/>
  <c r="AB16" i="1"/>
  <c r="AF16" i="1" s="1"/>
  <c r="AH16" i="1" s="1"/>
  <c r="AC16" i="1"/>
  <c r="AG16" i="1" s="1"/>
  <c r="O17" i="4"/>
  <c r="AC16" i="4"/>
  <c r="M16" i="4"/>
  <c r="AA19" i="4"/>
  <c r="AB141" i="1"/>
  <c r="AF141" i="1" s="1"/>
  <c r="AH141" i="1" s="1"/>
  <c r="AC141" i="1"/>
  <c r="AG141" i="1" s="1"/>
  <c r="AB125" i="1"/>
  <c r="AF125" i="1" s="1"/>
  <c r="AH125" i="1" s="1"/>
  <c r="AC125" i="1"/>
  <c r="AG125" i="1" s="1"/>
  <c r="AB119" i="1"/>
  <c r="AF119" i="1" s="1"/>
  <c r="AH119" i="1" s="1"/>
  <c r="AC119" i="1"/>
  <c r="AG119" i="1" s="1"/>
  <c r="AB103" i="1"/>
  <c r="AF103" i="1" s="1"/>
  <c r="AC103" i="1"/>
  <c r="AG103" i="1" s="1"/>
  <c r="AB85" i="1"/>
  <c r="AF85" i="1" s="1"/>
  <c r="AH85" i="1" s="1"/>
  <c r="AC85" i="1"/>
  <c r="AG85" i="1" s="1"/>
  <c r="AB69" i="1"/>
  <c r="AF69" i="1" s="1"/>
  <c r="AH69" i="1" s="1"/>
  <c r="AC69" i="1"/>
  <c r="AG69" i="1" s="1"/>
  <c r="R25" i="4"/>
  <c r="L34" i="4"/>
  <c r="F6" i="4"/>
  <c r="R12" i="4"/>
  <c r="AF24" i="4"/>
  <c r="P24" i="4"/>
  <c r="AB59" i="1"/>
  <c r="AF59" i="1" s="1"/>
  <c r="AH59" i="1" s="1"/>
  <c r="AC59" i="1"/>
  <c r="AG59" i="1" s="1"/>
  <c r="AC43" i="1"/>
  <c r="AG43" i="1" s="1"/>
  <c r="AB43" i="1"/>
  <c r="AF43" i="1" s="1"/>
  <c r="AH43" i="1" s="1"/>
  <c r="T11" i="4"/>
  <c r="Z7" i="4"/>
  <c r="H18" i="4"/>
  <c r="AB31" i="1"/>
  <c r="AF31" i="1" s="1"/>
  <c r="AH31" i="1" s="1"/>
  <c r="AC31" i="1"/>
  <c r="AG31" i="1" s="1"/>
  <c r="AB15" i="1"/>
  <c r="AF15" i="1" s="1"/>
  <c r="AH15" i="1" s="1"/>
  <c r="AC15" i="1"/>
  <c r="AG15" i="1" s="1"/>
  <c r="N8" i="4"/>
  <c r="Z9" i="4"/>
  <c r="AD17" i="4"/>
  <c r="N17" i="4"/>
  <c r="AB16" i="4"/>
  <c r="L16" i="4"/>
  <c r="H20" i="4"/>
  <c r="AB140" i="1"/>
  <c r="AF140" i="1" s="1"/>
  <c r="AH140" i="1" s="1"/>
  <c r="AC140" i="1"/>
  <c r="AG140" i="1" s="1"/>
  <c r="AC124" i="1"/>
  <c r="AG124" i="1" s="1"/>
  <c r="AB124" i="1"/>
  <c r="AF124" i="1" s="1"/>
  <c r="AH124" i="1" s="1"/>
  <c r="AB118" i="1"/>
  <c r="AF118" i="1" s="1"/>
  <c r="AC118" i="1"/>
  <c r="AG118" i="1" s="1"/>
  <c r="AB102" i="1"/>
  <c r="AF102" i="1" s="1"/>
  <c r="AH102" i="1" s="1"/>
  <c r="AC102" i="1"/>
  <c r="AG102" i="1" s="1"/>
  <c r="AC84" i="1"/>
  <c r="AG84" i="1" s="1"/>
  <c r="AB84" i="1"/>
  <c r="AF84" i="1" s="1"/>
  <c r="AH84" i="1" s="1"/>
  <c r="AB68" i="1"/>
  <c r="AF68" i="1" s="1"/>
  <c r="AH68" i="1" s="1"/>
  <c r="AC68" i="1"/>
  <c r="AG68" i="1" s="1"/>
  <c r="AG25" i="4"/>
  <c r="K34" i="4"/>
  <c r="U6" i="4"/>
  <c r="O24" i="4"/>
  <c r="AB58" i="1"/>
  <c r="AF58" i="1" s="1"/>
  <c r="AH58" i="1" s="1"/>
  <c r="AC58" i="1"/>
  <c r="AG58" i="1" s="1"/>
  <c r="AB42" i="1"/>
  <c r="AF42" i="1" s="1"/>
  <c r="AH42" i="1" s="1"/>
  <c r="AC42" i="1"/>
  <c r="AG42" i="1" s="1"/>
  <c r="Y7" i="4"/>
  <c r="I7" i="4"/>
  <c r="S10" i="4"/>
  <c r="G18" i="4"/>
  <c r="AB30" i="1"/>
  <c r="AF30" i="1" s="1"/>
  <c r="AH30" i="1" s="1"/>
  <c r="AC30" i="1"/>
  <c r="AG30" i="1" s="1"/>
  <c r="AB14" i="1"/>
  <c r="AF14" i="1" s="1"/>
  <c r="AH14" i="1" s="1"/>
  <c r="AC14" i="1"/>
  <c r="AG14" i="1" s="1"/>
  <c r="AC8" i="4"/>
  <c r="M8" i="4"/>
  <c r="Y9" i="4"/>
  <c r="I9" i="4"/>
  <c r="AC17" i="4"/>
  <c r="M17" i="4"/>
  <c r="AA16" i="4"/>
  <c r="K16" i="4"/>
  <c r="W20" i="4"/>
  <c r="G20" i="4"/>
  <c r="AB139" i="1"/>
  <c r="AF139" i="1" s="1"/>
  <c r="AH139" i="1" s="1"/>
  <c r="AC139" i="1"/>
  <c r="AG139" i="1" s="1"/>
  <c r="AD123" i="1"/>
  <c r="AB123" i="1"/>
  <c r="AC123" i="1"/>
  <c r="AG123" i="1" s="1"/>
  <c r="AD117" i="1"/>
  <c r="AB117" i="1"/>
  <c r="AF117" i="1" s="1"/>
  <c r="AH117" i="1" s="1"/>
  <c r="AC117" i="1"/>
  <c r="AG117" i="1" s="1"/>
  <c r="AA117" i="1" s="1"/>
  <c r="AB30" i="4" s="1"/>
  <c r="AB101" i="1"/>
  <c r="AF101" i="1" s="1"/>
  <c r="AC101" i="1"/>
  <c r="AG101" i="1" s="1"/>
  <c r="AD83" i="1"/>
  <c r="AB83" i="1"/>
  <c r="AF83" i="1" s="1"/>
  <c r="AH83" i="1" s="1"/>
  <c r="AC83" i="1"/>
  <c r="AG83" i="1" s="1"/>
  <c r="AB67" i="1"/>
  <c r="AF67" i="1" s="1"/>
  <c r="AC67" i="1"/>
  <c r="AG67" i="1" s="1"/>
  <c r="AF25" i="4"/>
  <c r="P25" i="4"/>
  <c r="AD24" i="4"/>
  <c r="N24" i="4"/>
  <c r="AB57" i="1"/>
  <c r="AF57" i="1" s="1"/>
  <c r="AH57" i="1" s="1"/>
  <c r="AC57" i="1"/>
  <c r="AG57" i="1" s="1"/>
  <c r="AB41" i="1"/>
  <c r="AF41" i="1" s="1"/>
  <c r="AH41" i="1" s="1"/>
  <c r="AC41" i="1"/>
  <c r="AG41" i="1" s="1"/>
  <c r="R11" i="4"/>
  <c r="H7" i="4"/>
  <c r="R10" i="4"/>
  <c r="V18" i="4"/>
  <c r="F18" i="4"/>
  <c r="AB29" i="1"/>
  <c r="AF29" i="1" s="1"/>
  <c r="AH29" i="1" s="1"/>
  <c r="AC29" i="1"/>
  <c r="AG29" i="1" s="1"/>
  <c r="AB13" i="1"/>
  <c r="AF13" i="1" s="1"/>
  <c r="AH13" i="1" s="1"/>
  <c r="AC13" i="1"/>
  <c r="AG13" i="1" s="1"/>
  <c r="AB8" i="4"/>
  <c r="L8" i="4"/>
  <c r="H9" i="4"/>
  <c r="AB17" i="4"/>
  <c r="L17" i="4"/>
  <c r="Z16" i="4"/>
  <c r="V20" i="4"/>
  <c r="F20" i="4"/>
  <c r="AB138" i="1"/>
  <c r="AF138" i="1" s="1"/>
  <c r="AH138" i="1" s="1"/>
  <c r="AC138" i="1"/>
  <c r="AG138" i="1" s="1"/>
  <c r="AB116" i="1"/>
  <c r="AF116" i="1" s="1"/>
  <c r="AC116" i="1"/>
  <c r="AG116" i="1" s="1"/>
  <c r="AB100" i="1"/>
  <c r="AF100" i="1" s="1"/>
  <c r="AC100" i="1"/>
  <c r="AG100" i="1" s="1"/>
  <c r="AB82" i="1"/>
  <c r="AF82" i="1" s="1"/>
  <c r="AH82" i="1" s="1"/>
  <c r="AC82" i="1"/>
  <c r="AG82" i="1" s="1"/>
  <c r="AB66" i="1"/>
  <c r="AF66" i="1" s="1"/>
  <c r="AC66" i="1"/>
  <c r="AG66" i="1" s="1"/>
  <c r="O25" i="4"/>
  <c r="S6" i="4"/>
  <c r="AC24" i="4"/>
  <c r="AB56" i="1"/>
  <c r="AF56" i="1" s="1"/>
  <c r="AH56" i="1" s="1"/>
  <c r="AC56" i="1"/>
  <c r="AG56" i="1" s="1"/>
  <c r="AA56" i="1" s="1"/>
  <c r="AA33" i="4" s="1"/>
  <c r="AB40" i="1"/>
  <c r="AF40" i="1" s="1"/>
  <c r="AH40" i="1" s="1"/>
  <c r="AC40" i="1"/>
  <c r="AG40" i="1" s="1"/>
  <c r="AG11" i="4"/>
  <c r="G7" i="4"/>
  <c r="U18" i="4"/>
  <c r="AB28" i="1"/>
  <c r="AF28" i="1" s="1"/>
  <c r="AH28" i="1" s="1"/>
  <c r="AC28" i="1"/>
  <c r="AG28" i="1" s="1"/>
  <c r="AB12" i="1"/>
  <c r="AF12" i="1" s="1"/>
  <c r="AH12" i="1" s="1"/>
  <c r="AC12" i="1"/>
  <c r="AG12" i="1" s="1"/>
  <c r="K8" i="4"/>
  <c r="G9" i="4"/>
  <c r="AA17" i="4"/>
  <c r="K17" i="4"/>
  <c r="Y16" i="4"/>
  <c r="I16" i="4"/>
  <c r="G19" i="4"/>
  <c r="AD34" i="1"/>
  <c r="AD9" i="1"/>
  <c r="AD145" i="1"/>
  <c r="AD107" i="1"/>
  <c r="AD89" i="1"/>
  <c r="AD73" i="1"/>
  <c r="AD47" i="1"/>
  <c r="AD56" i="1"/>
  <c r="AD99" i="1"/>
  <c r="AD65" i="1"/>
  <c r="AD55" i="1"/>
  <c r="AD39" i="1"/>
  <c r="AE116" i="1"/>
  <c r="AE11" i="1"/>
  <c r="AD120" i="1"/>
  <c r="AD124" i="1"/>
  <c r="AD30" i="1"/>
  <c r="AD150" i="1"/>
  <c r="AD96" i="1"/>
  <c r="AD23" i="1"/>
  <c r="AD146" i="1"/>
  <c r="AD130" i="1"/>
  <c r="AD108" i="1"/>
  <c r="AD74" i="1"/>
  <c r="AD48" i="1"/>
  <c r="AD20" i="1"/>
  <c r="AD113" i="1"/>
  <c r="AD63" i="1"/>
  <c r="AD53" i="1"/>
  <c r="AD69" i="1"/>
  <c r="AD143" i="1"/>
  <c r="AD60" i="1"/>
  <c r="AD144" i="1"/>
  <c r="AD128" i="1"/>
  <c r="AD122" i="1"/>
  <c r="AD106" i="1"/>
  <c r="AD140" i="1"/>
  <c r="AD118" i="1"/>
  <c r="AD102" i="1"/>
  <c r="AD84" i="1"/>
  <c r="AD68" i="1"/>
  <c r="AD58" i="1"/>
  <c r="AD42" i="1"/>
  <c r="AD137" i="1"/>
  <c r="AD115" i="1"/>
  <c r="AD81" i="1"/>
  <c r="AD151" i="1"/>
  <c r="AD135" i="1"/>
  <c r="AD97" i="1"/>
  <c r="AD79" i="1"/>
  <c r="AD37" i="1"/>
  <c r="AD19" i="1"/>
  <c r="AD88" i="1"/>
  <c r="AD72" i="1"/>
  <c r="AD62" i="1"/>
  <c r="AD46" i="1"/>
  <c r="AD18" i="1"/>
  <c r="AD127" i="1"/>
  <c r="AD121" i="1"/>
  <c r="AD105" i="1"/>
  <c r="AD87" i="1"/>
  <c r="AD71" i="1"/>
  <c r="AD61" i="1"/>
  <c r="AD45" i="1"/>
  <c r="AD17" i="1"/>
  <c r="AD142" i="1"/>
  <c r="AD126" i="1"/>
  <c r="AD104" i="1"/>
  <c r="AD86" i="1"/>
  <c r="AD70" i="1"/>
  <c r="AD44" i="1"/>
  <c r="AD32" i="1"/>
  <c r="AD16" i="1"/>
  <c r="AD141" i="1"/>
  <c r="AD125" i="1"/>
  <c r="AD119" i="1"/>
  <c r="AD103" i="1"/>
  <c r="AD85" i="1"/>
  <c r="AD59" i="1"/>
  <c r="AD43" i="1"/>
  <c r="AD31" i="1"/>
  <c r="AD15" i="1"/>
  <c r="AD14" i="1"/>
  <c r="AD139" i="1"/>
  <c r="AD101" i="1"/>
  <c r="AD67" i="1"/>
  <c r="AD57" i="1"/>
  <c r="AD41" i="1"/>
  <c r="AD29" i="1"/>
  <c r="AD13" i="1"/>
  <c r="AD138" i="1"/>
  <c r="AD116" i="1"/>
  <c r="AD100" i="1"/>
  <c r="AD82" i="1"/>
  <c r="AD66" i="1"/>
  <c r="AD40" i="1"/>
  <c r="AD28" i="1"/>
  <c r="AD12" i="1"/>
  <c r="AD27" i="1"/>
  <c r="AD11" i="1"/>
  <c r="AD152" i="1"/>
  <c r="AD114" i="1"/>
  <c r="AD98" i="1"/>
  <c r="AD80" i="1"/>
  <c r="AD54" i="1"/>
  <c r="AD38" i="1"/>
  <c r="AD26" i="1"/>
  <c r="AD10" i="1"/>
  <c r="AD25" i="1"/>
  <c r="AD134" i="1"/>
  <c r="AD112" i="1"/>
  <c r="AD78" i="1"/>
  <c r="AD52" i="1"/>
  <c r="AD36" i="1"/>
  <c r="AD24" i="1"/>
  <c r="AD8" i="1"/>
  <c r="AD149" i="1"/>
  <c r="AD133" i="1"/>
  <c r="AD111" i="1"/>
  <c r="AD95" i="1"/>
  <c r="AD77" i="1"/>
  <c r="AD51" i="1"/>
  <c r="AD35" i="1"/>
  <c r="AD7" i="1"/>
  <c r="AD148" i="1"/>
  <c r="AD132" i="1"/>
  <c r="AD110" i="1"/>
  <c r="AD92" i="1"/>
  <c r="AD50" i="1"/>
  <c r="AD22" i="1"/>
  <c r="AD6" i="1"/>
  <c r="AD147" i="1"/>
  <c r="AD131" i="1"/>
  <c r="AD109" i="1"/>
  <c r="AD91" i="1"/>
  <c r="AD75" i="1"/>
  <c r="AD49" i="1"/>
  <c r="AD21" i="1"/>
  <c r="AE62" i="1"/>
  <c r="AE129" i="1"/>
  <c r="AE18" i="1"/>
  <c r="AE138" i="1"/>
  <c r="AE137" i="1"/>
  <c r="AE115" i="1"/>
  <c r="AE99" i="1"/>
  <c r="AE81" i="1"/>
  <c r="AE65" i="1"/>
  <c r="AE55" i="1"/>
  <c r="AE39" i="1"/>
  <c r="AE66" i="1"/>
  <c r="AE40" i="1"/>
  <c r="AE152" i="1"/>
  <c r="AE136" i="1"/>
  <c r="AE114" i="1"/>
  <c r="AE98" i="1"/>
  <c r="AE80" i="1"/>
  <c r="AE64" i="1"/>
  <c r="AE82" i="1"/>
  <c r="AE151" i="1"/>
  <c r="AE135" i="1"/>
  <c r="AE113" i="1"/>
  <c r="AE97" i="1"/>
  <c r="AE79" i="1"/>
  <c r="AE63" i="1"/>
  <c r="AE53" i="1"/>
  <c r="AE37" i="1"/>
  <c r="AE139" i="1"/>
  <c r="AE100" i="1"/>
  <c r="AE56" i="1"/>
  <c r="AE150" i="1"/>
  <c r="AE134" i="1"/>
  <c r="AE148" i="1"/>
  <c r="AE132" i="1"/>
  <c r="AE110" i="1"/>
  <c r="AE94" i="1"/>
  <c r="AE92" i="1"/>
  <c r="AE76" i="1"/>
  <c r="AE50" i="1"/>
  <c r="AE147" i="1"/>
  <c r="AE131" i="1"/>
  <c r="AE109" i="1"/>
  <c r="AE93" i="1"/>
  <c r="AE91" i="1"/>
  <c r="AE75" i="1"/>
  <c r="AE49" i="1"/>
  <c r="AE33" i="1"/>
  <c r="AE123" i="1"/>
  <c r="AE130" i="1"/>
  <c r="AE108" i="1"/>
  <c r="AE90" i="1"/>
  <c r="AE74" i="1"/>
  <c r="AE48" i="1"/>
  <c r="AE145" i="1"/>
  <c r="AE107" i="1"/>
  <c r="AE89" i="1"/>
  <c r="AE73" i="1"/>
  <c r="AE47" i="1"/>
  <c r="AE144" i="1"/>
  <c r="AE128" i="1"/>
  <c r="AE122" i="1"/>
  <c r="AE106" i="1"/>
  <c r="AE88" i="1"/>
  <c r="AE72" i="1"/>
  <c r="AE46" i="1"/>
  <c r="AE143" i="1"/>
  <c r="AE127" i="1"/>
  <c r="AE121" i="1"/>
  <c r="AE105" i="1"/>
  <c r="AE87" i="1"/>
  <c r="AE71" i="1"/>
  <c r="AE61" i="1"/>
  <c r="AE45" i="1"/>
  <c r="AE142" i="1"/>
  <c r="AE126" i="1"/>
  <c r="AE120" i="1"/>
  <c r="AE104" i="1"/>
  <c r="AE86" i="1"/>
  <c r="AE70" i="1"/>
  <c r="AE60" i="1"/>
  <c r="AE44" i="1"/>
  <c r="AE32" i="1"/>
  <c r="AE16" i="1"/>
  <c r="AE28" i="1"/>
  <c r="AE12" i="1"/>
  <c r="AE27" i="1"/>
  <c r="AE25" i="1"/>
  <c r="AE9" i="1"/>
  <c r="AE22" i="1"/>
  <c r="AE21" i="1"/>
  <c r="AE5" i="1"/>
  <c r="AE20" i="1"/>
  <c r="AE4" i="1"/>
  <c r="AE19" i="1"/>
  <c r="AE3" i="1"/>
  <c r="AE17" i="1"/>
  <c r="AE59" i="1"/>
  <c r="AE43" i="1"/>
  <c r="AE31" i="1"/>
  <c r="AE15" i="1"/>
  <c r="AE125" i="1"/>
  <c r="AE103" i="1"/>
  <c r="AE140" i="1"/>
  <c r="AE124" i="1"/>
  <c r="AE118" i="1"/>
  <c r="AE30" i="1"/>
  <c r="AE14" i="1"/>
  <c r="AE85" i="1"/>
  <c r="AE102" i="1"/>
  <c r="AE84" i="1"/>
  <c r="AE68" i="1"/>
  <c r="AE58" i="1"/>
  <c r="AE42" i="1"/>
  <c r="AE119" i="1"/>
  <c r="AE69" i="1"/>
  <c r="AE141" i="1"/>
  <c r="AE112" i="1"/>
  <c r="AE96" i="1"/>
  <c r="AE149" i="1"/>
  <c r="AE133" i="1"/>
  <c r="AE111" i="1"/>
  <c r="AE95" i="1"/>
  <c r="AE77" i="1"/>
  <c r="AE117" i="1"/>
  <c r="AE101" i="1"/>
  <c r="AE83" i="1"/>
  <c r="AE67" i="1"/>
  <c r="AE57" i="1"/>
  <c r="AE41" i="1"/>
  <c r="AE29" i="1"/>
  <c r="AE13" i="1"/>
  <c r="AE54" i="1"/>
  <c r="AE38" i="1"/>
  <c r="AE26" i="1"/>
  <c r="AE10" i="1"/>
  <c r="AE78" i="1"/>
  <c r="AE52" i="1"/>
  <c r="AE36" i="1"/>
  <c r="AE24" i="1"/>
  <c r="AE8" i="1"/>
  <c r="AE51" i="1"/>
  <c r="AE35" i="1"/>
  <c r="AE23" i="1"/>
  <c r="AE7" i="1"/>
  <c r="S34" i="4" l="1"/>
  <c r="T34" i="4"/>
  <c r="U34" i="4"/>
  <c r="O28" i="4"/>
  <c r="W35" i="4"/>
  <c r="T35" i="4"/>
  <c r="AA35" i="4"/>
  <c r="AA81" i="1"/>
  <c r="V29" i="4" s="1"/>
  <c r="U23" i="4"/>
  <c r="U21" i="4"/>
  <c r="AA42" i="1"/>
  <c r="M33" i="4" s="1"/>
  <c r="AA68" i="1"/>
  <c r="I29" i="4" s="1"/>
  <c r="F21" i="4"/>
  <c r="AA125" i="1"/>
  <c r="F31" i="4" s="1"/>
  <c r="G21" i="4"/>
  <c r="AA70" i="1"/>
  <c r="K29" i="4" s="1"/>
  <c r="AA126" i="1"/>
  <c r="G31" i="4" s="1"/>
  <c r="AA72" i="1"/>
  <c r="M29" i="4" s="1"/>
  <c r="AA144" i="1"/>
  <c r="Y31" i="4" s="1"/>
  <c r="AG28" i="4"/>
  <c r="AA49" i="1"/>
  <c r="T33" i="4" s="1"/>
  <c r="AA147" i="1"/>
  <c r="AB31" i="4" s="1"/>
  <c r="AA132" i="1"/>
  <c r="M31" i="4" s="1"/>
  <c r="AB35" i="4"/>
  <c r="M35" i="4"/>
  <c r="U35" i="4"/>
  <c r="W22" i="4"/>
  <c r="R26" i="4"/>
  <c r="AB21" i="4"/>
  <c r="V35" i="4"/>
  <c r="M21" i="4"/>
  <c r="AC22" i="4"/>
  <c r="AD22" i="4"/>
  <c r="G34" i="4"/>
  <c r="AA11" i="1"/>
  <c r="L32" i="4" s="1"/>
  <c r="N13" i="4"/>
  <c r="AD35" i="4"/>
  <c r="AA100" i="1"/>
  <c r="K30" i="4" s="1"/>
  <c r="AA29" i="1"/>
  <c r="AD32" i="4" s="1"/>
  <c r="AF13" i="4"/>
  <c r="AA43" i="1"/>
  <c r="N33" i="4" s="1"/>
  <c r="AA44" i="1"/>
  <c r="O33" i="4" s="1"/>
  <c r="AA45" i="1"/>
  <c r="P33" i="4" s="1"/>
  <c r="AA87" i="1"/>
  <c r="AB29" i="4" s="1"/>
  <c r="I15" i="4"/>
  <c r="K23" i="4"/>
  <c r="AA62" i="1"/>
  <c r="AG33" i="4" s="1"/>
  <c r="AA73" i="1"/>
  <c r="N29" i="4" s="1"/>
  <c r="H13" i="4"/>
  <c r="AA51" i="1"/>
  <c r="V33" i="4" s="1"/>
  <c r="AA54" i="1"/>
  <c r="Y33" i="4" s="1"/>
  <c r="K21" i="4"/>
  <c r="R35" i="4"/>
  <c r="AA133" i="1"/>
  <c r="N31" i="4" s="1"/>
  <c r="F26" i="4"/>
  <c r="AF21" i="4"/>
  <c r="G26" i="4"/>
  <c r="P22" i="4"/>
  <c r="O35" i="4"/>
  <c r="P35" i="4"/>
  <c r="S35" i="4"/>
  <c r="Y35" i="4"/>
  <c r="Z35" i="4"/>
  <c r="AC35" i="4"/>
  <c r="N35" i="4"/>
  <c r="I28" i="4"/>
  <c r="AA127" i="1"/>
  <c r="H31" i="4" s="1"/>
  <c r="Y21" i="4"/>
  <c r="AA20" i="1"/>
  <c r="U32" i="4" s="1"/>
  <c r="N23" i="4"/>
  <c r="AD21" i="4"/>
  <c r="AA36" i="1"/>
  <c r="G33" i="4" s="1"/>
  <c r="AA78" i="1"/>
  <c r="S29" i="4" s="1"/>
  <c r="AA79" i="1"/>
  <c r="T29" i="4" s="1"/>
  <c r="AA151" i="1"/>
  <c r="AF31" i="4" s="1"/>
  <c r="R21" i="4"/>
  <c r="U28" i="4"/>
  <c r="L13" i="4"/>
  <c r="AG15" i="4"/>
  <c r="AA80" i="1"/>
  <c r="U29" i="4" s="1"/>
  <c r="AA137" i="1"/>
  <c r="R31" i="4" s="1"/>
  <c r="Z34" i="4"/>
  <c r="U15" i="4"/>
  <c r="W23" i="4"/>
  <c r="AA28" i="4"/>
  <c r="V15" i="4"/>
  <c r="H23" i="4"/>
  <c r="AB28" i="4"/>
  <c r="W15" i="4"/>
  <c r="I23" i="4"/>
  <c r="AC28" i="4"/>
  <c r="Z23" i="4"/>
  <c r="AA109" i="1"/>
  <c r="T30" i="4" s="1"/>
  <c r="AD15" i="4"/>
  <c r="AA7" i="1"/>
  <c r="H32" i="4" s="1"/>
  <c r="AF23" i="4"/>
  <c r="AB13" i="4"/>
  <c r="AA97" i="1"/>
  <c r="H30" i="4" s="1"/>
  <c r="AA10" i="1"/>
  <c r="K32" i="4" s="1"/>
  <c r="Z22" i="4"/>
  <c r="G22" i="4"/>
  <c r="AA48" i="1"/>
  <c r="S33" i="4" s="1"/>
  <c r="AA22" i="4"/>
  <c r="N22" i="4"/>
  <c r="S21" i="4"/>
  <c r="AA67" i="1"/>
  <c r="H29" i="4" s="1"/>
  <c r="AG13" i="4"/>
  <c r="AA118" i="1"/>
  <c r="AC30" i="4" s="1"/>
  <c r="AA31" i="1"/>
  <c r="AF32" i="4" s="1"/>
  <c r="R13" i="4"/>
  <c r="AA119" i="1"/>
  <c r="AD30" i="4" s="1"/>
  <c r="AA32" i="1"/>
  <c r="AG32" i="4" s="1"/>
  <c r="F22" i="4"/>
  <c r="O34" i="4"/>
  <c r="AA122" i="1"/>
  <c r="AG30" i="4" s="1"/>
  <c r="H22" i="4"/>
  <c r="AF28" i="4"/>
  <c r="L22" i="4"/>
  <c r="V34" i="4"/>
  <c r="Z13" i="4"/>
  <c r="AA98" i="1"/>
  <c r="I30" i="4" s="1"/>
  <c r="AA82" i="1"/>
  <c r="W29" i="4" s="1"/>
  <c r="Z26" i="4"/>
  <c r="F23" i="4"/>
  <c r="AB34" i="4"/>
  <c r="I21" i="4"/>
  <c r="AC23" i="4"/>
  <c r="AC21" i="4"/>
  <c r="O21" i="4"/>
  <c r="P21" i="4"/>
  <c r="W34" i="4"/>
  <c r="AA27" i="1"/>
  <c r="AB32" i="4" s="1"/>
  <c r="AD13" i="4"/>
  <c r="AA50" i="1"/>
  <c r="U33" i="4" s="1"/>
  <c r="G23" i="4"/>
  <c r="I13" i="4"/>
  <c r="AJ35" i="4"/>
  <c r="AA138" i="1"/>
  <c r="S31" i="4" s="1"/>
  <c r="V22" i="4"/>
  <c r="P34" i="4"/>
  <c r="AA114" i="1"/>
  <c r="Y30" i="4" s="1"/>
  <c r="Y26" i="4"/>
  <c r="T22" i="4"/>
  <c r="U22" i="4"/>
  <c r="AG35" i="4"/>
  <c r="L15" i="4"/>
  <c r="AA91" i="1"/>
  <c r="AF29" i="4" s="1"/>
  <c r="AA131" i="1"/>
  <c r="L31" i="4" s="1"/>
  <c r="N21" i="4"/>
  <c r="AA37" i="1"/>
  <c r="H33" i="4" s="1"/>
  <c r="AA135" i="1"/>
  <c r="P31" i="4" s="1"/>
  <c r="H34" i="4"/>
  <c r="AA58" i="1"/>
  <c r="AC33" i="4" s="1"/>
  <c r="AA28" i="1"/>
  <c r="AC32" i="4" s="1"/>
  <c r="AA101" i="1"/>
  <c r="L30" i="4" s="1"/>
  <c r="AA26" i="4"/>
  <c r="K28" i="4"/>
  <c r="AB26" i="4"/>
  <c r="AA59" i="1"/>
  <c r="AD33" i="4" s="1"/>
  <c r="L28" i="4"/>
  <c r="AC26" i="4"/>
  <c r="M28" i="4"/>
  <c r="H15" i="4"/>
  <c r="AD26" i="4"/>
  <c r="AA61" i="1"/>
  <c r="AF33" i="4" s="1"/>
  <c r="AA47" i="1"/>
  <c r="R33" i="4" s="1"/>
  <c r="AG34" i="4"/>
  <c r="V28" i="4"/>
  <c r="K22" i="4"/>
  <c r="AA95" i="1"/>
  <c r="F30" i="4" s="1"/>
  <c r="AA24" i="1"/>
  <c r="Y32" i="4" s="1"/>
  <c r="AA25" i="1"/>
  <c r="Z32" i="4" s="1"/>
  <c r="M13" i="4"/>
  <c r="AA152" i="1"/>
  <c r="AG31" i="4" s="1"/>
  <c r="AG22" i="4"/>
  <c r="AA14" i="1"/>
  <c r="O32" i="4" s="1"/>
  <c r="AA102" i="1"/>
  <c r="M30" i="4" s="1"/>
  <c r="AA15" i="1"/>
  <c r="P32" i="4" s="1"/>
  <c r="AA103" i="1"/>
  <c r="N30" i="4" s="1"/>
  <c r="Y23" i="4"/>
  <c r="AA104" i="1"/>
  <c r="O30" i="4" s="1"/>
  <c r="AA17" i="1"/>
  <c r="R32" i="4" s="1"/>
  <c r="AA19" i="1"/>
  <c r="T32" i="4" s="1"/>
  <c r="AB23" i="4"/>
  <c r="AA74" i="1"/>
  <c r="O29" i="4" s="1"/>
  <c r="R34" i="4"/>
  <c r="AA110" i="1"/>
  <c r="U30" i="4" s="1"/>
  <c r="AA112" i="1"/>
  <c r="W30" i="4" s="1"/>
  <c r="F34" i="4"/>
  <c r="AA26" i="1"/>
  <c r="AA32" i="4" s="1"/>
  <c r="W28" i="4"/>
  <c r="H28" i="4"/>
  <c r="AA66" i="1"/>
  <c r="G29" i="4" s="1"/>
  <c r="AA57" i="1"/>
  <c r="AB33" i="4" s="1"/>
  <c r="N34" i="4"/>
  <c r="AA121" i="1"/>
  <c r="AF30" i="4" s="1"/>
  <c r="AA15" i="4"/>
  <c r="M23" i="4"/>
  <c r="I26" i="4"/>
  <c r="AA34" i="4"/>
  <c r="V13" i="4"/>
  <c r="AA107" i="1"/>
  <c r="R30" i="4" s="1"/>
  <c r="AA146" i="1"/>
  <c r="AA31" i="4" s="1"/>
  <c r="AA75" i="1"/>
  <c r="P29" i="4" s="1"/>
  <c r="K26" i="4"/>
  <c r="AA13" i="4"/>
  <c r="G13" i="4"/>
  <c r="Y28" i="4"/>
  <c r="AA13" i="1"/>
  <c r="N32" i="4" s="1"/>
  <c r="P13" i="4"/>
  <c r="AA71" i="1"/>
  <c r="L29" i="4" s="1"/>
  <c r="O26" i="4"/>
  <c r="AA92" i="1"/>
  <c r="AG29" i="4" s="1"/>
  <c r="AA35" i="1"/>
  <c r="F33" i="4" s="1"/>
  <c r="AA77" i="1"/>
  <c r="R29" i="4" s="1"/>
  <c r="AA149" i="1"/>
  <c r="AD31" i="4" s="1"/>
  <c r="AA38" i="1"/>
  <c r="I33" i="4" s="1"/>
  <c r="AF22" i="4"/>
  <c r="AA12" i="1"/>
  <c r="M32" i="4" s="1"/>
  <c r="O13" i="4"/>
  <c r="Z28" i="4"/>
  <c r="AA139" i="1"/>
  <c r="T31" i="4" s="1"/>
  <c r="AA140" i="1"/>
  <c r="U31" i="4" s="1"/>
  <c r="L26" i="4"/>
  <c r="V21" i="4"/>
  <c r="AA85" i="1"/>
  <c r="Z29" i="4" s="1"/>
  <c r="AA141" i="1"/>
  <c r="V31" i="4" s="1"/>
  <c r="M26" i="4"/>
  <c r="W21" i="4"/>
  <c r="AA86" i="1"/>
  <c r="AA29" i="4" s="1"/>
  <c r="N26" i="4"/>
  <c r="AA88" i="1"/>
  <c r="AC29" i="4" s="1"/>
  <c r="AF26" i="4"/>
  <c r="Z21" i="4"/>
  <c r="AA108" i="1"/>
  <c r="S30" i="4" s="1"/>
  <c r="AA21" i="1"/>
  <c r="V32" i="4" s="1"/>
  <c r="AA148" i="1"/>
  <c r="AC31" i="4" s="1"/>
  <c r="AA52" i="1"/>
  <c r="W33" i="4" s="1"/>
  <c r="P15" i="4"/>
  <c r="R23" i="4"/>
  <c r="F28" i="4"/>
  <c r="AG21" i="4"/>
  <c r="AA142" i="1"/>
  <c r="W31" i="4" s="1"/>
  <c r="Y22" i="4"/>
  <c r="AA116" i="1"/>
  <c r="AA30" i="4" s="1"/>
  <c r="R22" i="4"/>
  <c r="F15" i="4"/>
  <c r="N28" i="4"/>
  <c r="Y15" i="4"/>
  <c r="AA23" i="4"/>
  <c r="Z15" i="4"/>
  <c r="AA89" i="1"/>
  <c r="AD29" i="4" s="1"/>
  <c r="N15" i="4"/>
  <c r="T28" i="4"/>
  <c r="AA8" i="1"/>
  <c r="I32" i="4" s="1"/>
  <c r="AF15" i="4"/>
  <c r="H26" i="4"/>
  <c r="G28" i="4"/>
  <c r="Y34" i="4"/>
  <c r="AD28" i="4"/>
  <c r="AA18" i="1"/>
  <c r="S32" i="4" s="1"/>
  <c r="Y13" i="4"/>
  <c r="T21" i="4"/>
  <c r="AA41" i="1"/>
  <c r="L33" i="4" s="1"/>
  <c r="U13" i="4"/>
  <c r="AG26" i="4"/>
  <c r="L21" i="4"/>
  <c r="M22" i="4"/>
  <c r="R15" i="4"/>
  <c r="T23" i="4"/>
  <c r="AA84" i="1"/>
  <c r="Y29" i="4" s="1"/>
  <c r="P26" i="4"/>
  <c r="I22" i="4"/>
  <c r="AA145" i="1"/>
  <c r="Z31" i="4" s="1"/>
  <c r="O22" i="4"/>
  <c r="AA6" i="1"/>
  <c r="G32" i="4" s="1"/>
  <c r="S28" i="4"/>
  <c r="I34" i="4"/>
  <c r="AA22" i="1"/>
  <c r="W32" i="4" s="1"/>
  <c r="AG23" i="4"/>
  <c r="AA21" i="4"/>
  <c r="T15" i="4"/>
  <c r="AA134" i="1"/>
  <c r="O31" i="4" s="1"/>
  <c r="AA111" i="1"/>
  <c r="V30" i="4" s="1"/>
  <c r="AC13" i="4"/>
  <c r="S13" i="4"/>
  <c r="T13" i="4"/>
  <c r="F13" i="4"/>
  <c r="AA130" i="1"/>
  <c r="K31" i="4" s="1"/>
  <c r="AA40" i="1"/>
  <c r="K33" i="4" s="1"/>
  <c r="S22" i="4"/>
  <c r="AB22" i="4"/>
  <c r="H21" i="4"/>
  <c r="AA115" i="1"/>
  <c r="Z30" i="4" s="1"/>
  <c r="Z6" i="4"/>
  <c r="AJ9" i="4"/>
  <c r="AJ33" i="4"/>
  <c r="AF93" i="1"/>
  <c r="AH93" i="1" s="1"/>
  <c r="AK30" i="4"/>
  <c r="AK28" i="4"/>
  <c r="AJ20" i="4"/>
  <c r="S24" i="4"/>
  <c r="AP18" i="4"/>
  <c r="AK6" i="4"/>
  <c r="AK26" i="4"/>
  <c r="AJ8" i="4"/>
  <c r="AJ19" i="4"/>
  <c r="AF3" i="1"/>
  <c r="AK32" i="4"/>
  <c r="AK24" i="4"/>
  <c r="AJ26" i="4"/>
  <c r="AK12" i="4"/>
  <c r="AK17" i="4"/>
  <c r="AK19" i="4"/>
  <c r="AK21" i="4"/>
  <c r="AK23" i="4"/>
  <c r="AK13" i="4"/>
  <c r="AK7" i="4"/>
  <c r="AK16" i="4"/>
  <c r="AK20" i="4"/>
  <c r="AK10" i="4"/>
  <c r="AK34" i="4"/>
  <c r="AP22" i="4"/>
  <c r="AK8" i="4"/>
  <c r="AP9" i="4"/>
  <c r="AJ18" i="4"/>
  <c r="AK22" i="4"/>
  <c r="AK35" i="4"/>
  <c r="AK18" i="4"/>
  <c r="AK29" i="4"/>
  <c r="AK9" i="4"/>
  <c r="AK15" i="4"/>
  <c r="AF33" i="1"/>
  <c r="AK33" i="4"/>
  <c r="AK25" i="4"/>
  <c r="AP29" i="4"/>
  <c r="AF123" i="1"/>
  <c r="AH123" i="1" s="1"/>
  <c r="AK31" i="4"/>
  <c r="AK11" i="4"/>
  <c r="AJ21" i="4"/>
  <c r="AJ7" i="4"/>
  <c r="AJ32" i="4"/>
  <c r="AJ11" i="4"/>
  <c r="AJ25" i="4"/>
  <c r="AJ23" i="4"/>
  <c r="AJ17" i="4"/>
  <c r="AJ13" i="4"/>
  <c r="AJ10" i="4"/>
  <c r="AJ24" i="4"/>
  <c r="AJ31" i="4"/>
  <c r="AJ30" i="4"/>
  <c r="AJ29" i="4"/>
  <c r="AJ22" i="4"/>
  <c r="AJ34" i="4"/>
  <c r="AJ12" i="4"/>
  <c r="AJ16" i="4"/>
  <c r="G3" i="4"/>
  <c r="M15" i="4"/>
  <c r="K15" i="4"/>
  <c r="S15" i="4"/>
  <c r="AP11" i="4" l="1"/>
  <c r="AP25" i="4"/>
  <c r="AP19" i="4"/>
  <c r="AP21" i="4"/>
  <c r="AP33" i="4"/>
  <c r="AH33" i="1"/>
  <c r="AP10" i="4"/>
  <c r="AP17" i="4"/>
  <c r="AP8" i="4"/>
  <c r="AP26" i="4"/>
  <c r="AP20" i="4"/>
  <c r="AP12" i="4"/>
  <c r="AP28" i="4"/>
  <c r="AP6" i="4"/>
  <c r="AP16" i="4"/>
  <c r="AP24" i="4"/>
  <c r="AP7" i="4"/>
  <c r="AP32" i="4"/>
  <c r="AH3" i="1"/>
  <c r="H3" i="4"/>
  <c r="I3" i="4" l="1"/>
  <c r="T3" i="1"/>
  <c r="V3" i="1"/>
  <c r="T4" i="1"/>
  <c r="V4" i="1"/>
  <c r="T5" i="1"/>
  <c r="V5" i="1"/>
  <c r="T6" i="1"/>
  <c r="V6" i="1"/>
  <c r="T7" i="1"/>
  <c r="V7" i="1"/>
  <c r="T8" i="1"/>
  <c r="V8" i="1"/>
  <c r="T9" i="1"/>
  <c r="V9" i="1"/>
  <c r="T10" i="1"/>
  <c r="V10" i="1"/>
  <c r="T11" i="1"/>
  <c r="V11" i="1"/>
  <c r="T12" i="1"/>
  <c r="V12" i="1"/>
  <c r="T13" i="1"/>
  <c r="V13" i="1"/>
  <c r="T14" i="1"/>
  <c r="V14" i="1"/>
  <c r="T15" i="1"/>
  <c r="V15" i="1"/>
  <c r="T16" i="1"/>
  <c r="V16" i="1"/>
  <c r="T17" i="1"/>
  <c r="V17" i="1"/>
  <c r="T18" i="1"/>
  <c r="V18" i="1"/>
  <c r="T19" i="1"/>
  <c r="V19" i="1"/>
  <c r="T20" i="1"/>
  <c r="V20" i="1"/>
  <c r="T21" i="1"/>
  <c r="V21" i="1"/>
  <c r="T22" i="1"/>
  <c r="V22" i="1"/>
  <c r="T23" i="1"/>
  <c r="V23" i="1"/>
  <c r="T24" i="1"/>
  <c r="V24" i="1"/>
  <c r="T25" i="1"/>
  <c r="V25" i="1"/>
  <c r="T26" i="1"/>
  <c r="V26" i="1"/>
  <c r="T27" i="1"/>
  <c r="V27" i="1"/>
  <c r="T28" i="1"/>
  <c r="V28" i="1"/>
  <c r="T29" i="1"/>
  <c r="V29" i="1"/>
  <c r="T30" i="1"/>
  <c r="V30" i="1"/>
  <c r="T31" i="1"/>
  <c r="V31" i="1"/>
  <c r="T32" i="1"/>
  <c r="V32" i="1"/>
  <c r="T33" i="1"/>
  <c r="V33" i="1"/>
  <c r="T34" i="1"/>
  <c r="V34" i="1"/>
  <c r="T35" i="1"/>
  <c r="V35" i="1"/>
  <c r="T36" i="1"/>
  <c r="V36" i="1"/>
  <c r="T37" i="1"/>
  <c r="V37" i="1"/>
  <c r="T38" i="1"/>
  <c r="V38" i="1"/>
  <c r="T39" i="1"/>
  <c r="V39" i="1"/>
  <c r="T40" i="1"/>
  <c r="V40" i="1"/>
  <c r="T41" i="1"/>
  <c r="V41" i="1"/>
  <c r="T42" i="1"/>
  <c r="V42" i="1"/>
  <c r="T43" i="1"/>
  <c r="V43" i="1"/>
  <c r="T44" i="1"/>
  <c r="V44" i="1"/>
  <c r="T45" i="1"/>
  <c r="V45" i="1"/>
  <c r="T46" i="1"/>
  <c r="V46" i="1"/>
  <c r="T47" i="1"/>
  <c r="V47" i="1"/>
  <c r="T48" i="1"/>
  <c r="V48" i="1"/>
  <c r="T49" i="1"/>
  <c r="V49" i="1"/>
  <c r="T50" i="1"/>
  <c r="V50" i="1"/>
  <c r="T51" i="1"/>
  <c r="V51" i="1"/>
  <c r="T52" i="1"/>
  <c r="V52" i="1"/>
  <c r="T53" i="1"/>
  <c r="V53" i="1"/>
  <c r="T54" i="1"/>
  <c r="V54" i="1"/>
  <c r="T55" i="1"/>
  <c r="V55" i="1"/>
  <c r="T56" i="1"/>
  <c r="V56" i="1"/>
  <c r="T57" i="1"/>
  <c r="V57" i="1"/>
  <c r="T58" i="1"/>
  <c r="V58" i="1"/>
  <c r="T59" i="1"/>
  <c r="V59" i="1"/>
  <c r="T60" i="1"/>
  <c r="V60" i="1"/>
  <c r="T61" i="1"/>
  <c r="V61" i="1"/>
  <c r="T62" i="1"/>
  <c r="V62" i="1"/>
  <c r="T63" i="1"/>
  <c r="V63" i="1"/>
  <c r="T64" i="1"/>
  <c r="V64" i="1"/>
  <c r="T65" i="1"/>
  <c r="V65" i="1"/>
  <c r="T66" i="1"/>
  <c r="V66" i="1"/>
  <c r="T67" i="1"/>
  <c r="V67" i="1"/>
  <c r="T68" i="1"/>
  <c r="V68" i="1"/>
  <c r="T69" i="1"/>
  <c r="V69" i="1"/>
  <c r="T70" i="1"/>
  <c r="V70" i="1"/>
  <c r="T71" i="1"/>
  <c r="V71" i="1"/>
  <c r="T72" i="1"/>
  <c r="V72" i="1"/>
  <c r="T73" i="1"/>
  <c r="V73" i="1"/>
  <c r="T74" i="1"/>
  <c r="V74" i="1"/>
  <c r="T75" i="1"/>
  <c r="V75" i="1"/>
  <c r="T76" i="1"/>
  <c r="V76" i="1"/>
  <c r="T77" i="1"/>
  <c r="V77" i="1"/>
  <c r="T78" i="1"/>
  <c r="V78" i="1"/>
  <c r="T79" i="1"/>
  <c r="V79" i="1"/>
  <c r="T80" i="1"/>
  <c r="V80" i="1"/>
  <c r="T81" i="1"/>
  <c r="V81" i="1"/>
  <c r="T82" i="1"/>
  <c r="V82" i="1"/>
  <c r="T83" i="1"/>
  <c r="V83" i="1"/>
  <c r="T84" i="1"/>
  <c r="V84" i="1"/>
  <c r="T85" i="1"/>
  <c r="V85" i="1"/>
  <c r="T86" i="1"/>
  <c r="V86" i="1"/>
  <c r="T87" i="1"/>
  <c r="V87" i="1"/>
  <c r="T88" i="1"/>
  <c r="V88" i="1"/>
  <c r="T89" i="1"/>
  <c r="V89" i="1"/>
  <c r="T90" i="1"/>
  <c r="V90" i="1"/>
  <c r="T91" i="1"/>
  <c r="V91" i="1"/>
  <c r="T92" i="1"/>
  <c r="V92" i="1"/>
  <c r="T93" i="1"/>
  <c r="V93" i="1"/>
  <c r="T94" i="1"/>
  <c r="V94" i="1"/>
  <c r="T95" i="1"/>
  <c r="V95" i="1"/>
  <c r="T96" i="1"/>
  <c r="V96" i="1"/>
  <c r="T97" i="1"/>
  <c r="V97" i="1"/>
  <c r="T98" i="1"/>
  <c r="V98" i="1"/>
  <c r="T99" i="1"/>
  <c r="V99" i="1"/>
  <c r="T100" i="1"/>
  <c r="V100" i="1"/>
  <c r="T101" i="1"/>
  <c r="V101" i="1"/>
  <c r="T102" i="1"/>
  <c r="V102" i="1"/>
  <c r="T103" i="1"/>
  <c r="V103" i="1"/>
  <c r="T104" i="1"/>
  <c r="V104" i="1"/>
  <c r="T105" i="1"/>
  <c r="V105" i="1"/>
  <c r="T106" i="1"/>
  <c r="V106" i="1"/>
  <c r="T107" i="1"/>
  <c r="V107" i="1"/>
  <c r="T108" i="1"/>
  <c r="V108" i="1"/>
  <c r="T109" i="1"/>
  <c r="V109" i="1"/>
  <c r="T110" i="1"/>
  <c r="V110" i="1"/>
  <c r="T111" i="1"/>
  <c r="V111" i="1"/>
  <c r="T112" i="1"/>
  <c r="V112" i="1"/>
  <c r="T113" i="1"/>
  <c r="V113" i="1"/>
  <c r="T114" i="1"/>
  <c r="V114" i="1"/>
  <c r="T115" i="1"/>
  <c r="V115" i="1"/>
  <c r="T116" i="1"/>
  <c r="V116" i="1"/>
  <c r="T117" i="1"/>
  <c r="V117" i="1"/>
  <c r="T118" i="1"/>
  <c r="V118" i="1"/>
  <c r="T119" i="1"/>
  <c r="V119" i="1"/>
  <c r="T120" i="1"/>
  <c r="V120" i="1"/>
  <c r="T121" i="1"/>
  <c r="V121" i="1"/>
  <c r="T122" i="1"/>
  <c r="V122" i="1"/>
  <c r="T123" i="1"/>
  <c r="V123" i="1"/>
  <c r="T124" i="1"/>
  <c r="V124" i="1"/>
  <c r="T125" i="1"/>
  <c r="V125" i="1"/>
  <c r="T126" i="1"/>
  <c r="V126" i="1"/>
  <c r="T127" i="1"/>
  <c r="V127" i="1"/>
  <c r="T128" i="1"/>
  <c r="V128" i="1"/>
  <c r="T129" i="1"/>
  <c r="V129" i="1"/>
  <c r="T130" i="1"/>
  <c r="V130" i="1"/>
  <c r="T131" i="1"/>
  <c r="V131" i="1"/>
  <c r="T132" i="1"/>
  <c r="V132" i="1"/>
  <c r="T133" i="1"/>
  <c r="V133" i="1"/>
  <c r="T134" i="1"/>
  <c r="V134" i="1"/>
  <c r="T135" i="1"/>
  <c r="V135" i="1"/>
  <c r="T136" i="1"/>
  <c r="V136" i="1"/>
  <c r="T137" i="1"/>
  <c r="V137" i="1"/>
  <c r="T138" i="1"/>
  <c r="V138" i="1"/>
  <c r="T139" i="1"/>
  <c r="V139" i="1"/>
  <c r="T140" i="1"/>
  <c r="V140" i="1"/>
  <c r="T141" i="1"/>
  <c r="V141" i="1"/>
  <c r="T142" i="1"/>
  <c r="V142" i="1"/>
  <c r="T143" i="1"/>
  <c r="V143" i="1"/>
  <c r="T144" i="1"/>
  <c r="V144" i="1"/>
  <c r="T145" i="1"/>
  <c r="V145" i="1"/>
  <c r="T146" i="1"/>
  <c r="V146" i="1"/>
  <c r="T147" i="1"/>
  <c r="V147" i="1"/>
  <c r="T148" i="1"/>
  <c r="V148" i="1"/>
  <c r="T149" i="1"/>
  <c r="V149" i="1"/>
  <c r="T150" i="1"/>
  <c r="V150" i="1"/>
  <c r="T151" i="1"/>
  <c r="V151" i="1"/>
  <c r="T152" i="1"/>
  <c r="V15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AH114" i="1" l="1"/>
  <c r="AH97" i="1"/>
  <c r="AH111" i="1"/>
  <c r="AH109" i="1"/>
  <c r="AH91" i="1"/>
  <c r="AH108" i="1"/>
  <c r="AH107" i="1"/>
  <c r="AH121" i="1"/>
  <c r="AH104" i="1"/>
  <c r="AH103" i="1"/>
  <c r="AH122" i="1"/>
  <c r="AH118" i="1"/>
  <c r="AH101" i="1"/>
  <c r="AH67" i="1"/>
  <c r="AH100" i="1"/>
  <c r="AH66" i="1"/>
  <c r="AH116" i="1"/>
  <c r="AH115" i="1"/>
  <c r="J3" i="4"/>
  <c r="AC34" i="4"/>
  <c r="G15" i="4"/>
  <c r="V23" i="4"/>
  <c r="S23" i="4"/>
  <c r="K13" i="4"/>
  <c r="O15" i="4"/>
  <c r="P23" i="4"/>
  <c r="O23" i="4"/>
  <c r="AC15" i="4"/>
  <c r="AD23" i="4"/>
  <c r="AB15" i="4"/>
  <c r="W13" i="4"/>
  <c r="L23" i="4"/>
  <c r="AG128" i="1"/>
  <c r="AA128" i="1" s="1"/>
  <c r="I31" i="4" s="1"/>
  <c r="AG105" i="1"/>
  <c r="AA105" i="1" s="1"/>
  <c r="P30" i="4" s="1"/>
  <c r="AF35" i="4" l="1"/>
  <c r="AP35" i="4"/>
  <c r="AP34" i="4"/>
  <c r="AP30" i="4"/>
  <c r="AP31" i="4"/>
  <c r="AP23" i="4"/>
  <c r="AP15" i="4"/>
  <c r="AP13" i="4"/>
  <c r="K3" i="4"/>
  <c r="L3" i="4" l="1"/>
  <c r="M3" i="4" l="1"/>
  <c r="N3" i="4" l="1"/>
  <c r="O3" i="4" l="1"/>
  <c r="P3" i="4" l="1"/>
  <c r="Q3" i="4" l="1"/>
  <c r="R3" i="4" l="1"/>
  <c r="S3" i="4" l="1"/>
  <c r="T3" i="4" l="1"/>
  <c r="U3" i="4" l="1"/>
  <c r="V3" i="4" l="1"/>
  <c r="W3" i="4" l="1"/>
  <c r="X3" i="4" l="1"/>
  <c r="Y3" i="4" l="1"/>
  <c r="Z3" i="4" l="1"/>
  <c r="AA3" i="4" l="1"/>
  <c r="AB3" i="4" l="1"/>
  <c r="AC3" i="4" l="1"/>
  <c r="AD3" i="4" l="1"/>
  <c r="AE3" i="4" l="1"/>
  <c r="AF3" i="4" l="1"/>
  <c r="AG3" i="4" l="1"/>
  <c r="AH3" i="4" l="1"/>
  <c r="AI18" i="4" l="1" a="1"/>
  <c r="AI18" i="4" s="1"/>
  <c r="AI19" i="4" a="1"/>
  <c r="AI19" i="4" s="1"/>
  <c r="AI28" i="4" a="1"/>
  <c r="AI28" i="4" s="1"/>
  <c r="AI32" i="4" a="1"/>
  <c r="AI32" i="4" s="1"/>
  <c r="AI15" i="4" a="1"/>
  <c r="AI15" i="4" s="1"/>
  <c r="AI33" i="4" a="1"/>
  <c r="AI33" i="4" s="1"/>
  <c r="AI16" i="4" a="1"/>
  <c r="AI16" i="4" s="1"/>
  <c r="AI29" i="4" a="1"/>
  <c r="AI29" i="4" s="1"/>
  <c r="AI25" i="4" a="1"/>
  <c r="AI25" i="4" s="1"/>
  <c r="AI23" i="4" a="1"/>
  <c r="AI23" i="4" s="1"/>
  <c r="AI30" i="4" a="1"/>
  <c r="AI30" i="4" s="1"/>
  <c r="AI26" i="4" a="1"/>
  <c r="AI26" i="4" s="1"/>
  <c r="AI6" i="4" a="1"/>
  <c r="AI6" i="4" s="1"/>
  <c r="AI17" i="4" a="1"/>
  <c r="AI17" i="4" s="1"/>
  <c r="AN12" i="4" a="1"/>
  <c r="AN12" i="4" s="1"/>
  <c r="AI22" i="4" a="1"/>
  <c r="AI22" i="4" s="1"/>
  <c r="AI24" i="4" a="1"/>
  <c r="AI24" i="4" s="1"/>
  <c r="AI31" i="4" a="1"/>
  <c r="AI31" i="4" s="1"/>
  <c r="AI34" i="4" a="1"/>
  <c r="AI34" i="4" s="1"/>
  <c r="AI21" i="4" a="1"/>
  <c r="AI21" i="4" s="1"/>
  <c r="AI20" i="4" a="1"/>
  <c r="AI20" i="4" s="1"/>
  <c r="AI35" i="4"/>
  <c r="AN13" i="4" l="1" a="1"/>
  <c r="AN13" i="4" s="1"/>
  <c r="AI13" i="4" a="1"/>
  <c r="AI13" i="4" s="1"/>
  <c r="AN8" i="4" a="1"/>
  <c r="AN8" i="4" s="1"/>
  <c r="AI8" i="4" a="1"/>
  <c r="AI8" i="4" s="1"/>
  <c r="AN7" i="4" a="1"/>
  <c r="AN7" i="4" s="1"/>
  <c r="AI7" i="4" a="1"/>
  <c r="AI7" i="4" s="1"/>
  <c r="AI12" i="4" a="1"/>
  <c r="AI12" i="4" s="1"/>
  <c r="AN11" i="4" a="1"/>
  <c r="AN11" i="4" s="1"/>
  <c r="AI11" i="4" a="1"/>
  <c r="AI11" i="4" s="1"/>
  <c r="AI10" i="4" a="1"/>
  <c r="AI10" i="4" s="1"/>
  <c r="AN10" i="4" a="1"/>
  <c r="AN10" i="4" s="1"/>
  <c r="AN9" i="4" a="1"/>
  <c r="AN9" i="4" s="1"/>
  <c r="AI9" i="4" a="1"/>
  <c r="AI9" i="4" s="1"/>
  <c r="AN25" i="4" a="1"/>
  <c r="AN25" i="4" s="1"/>
  <c r="AN16" i="4" a="1"/>
  <c r="AN16" i="4" s="1"/>
  <c r="AN19" i="4" a="1"/>
  <c r="AN19" i="4" s="1"/>
  <c r="AN21" i="4" a="1"/>
  <c r="AN21" i="4" s="1"/>
  <c r="AN17" i="4" a="1"/>
  <c r="AN17" i="4" s="1"/>
  <c r="AN22" i="4" a="1"/>
  <c r="AN22" i="4" s="1"/>
  <c r="AN24" i="4" a="1"/>
  <c r="AN24" i="4" s="1"/>
  <c r="AN20" i="4" a="1"/>
  <c r="AN20" i="4" s="1"/>
  <c r="AN23" i="4" a="1"/>
  <c r="AN23" i="4" s="1"/>
  <c r="AN15" i="4" a="1"/>
  <c r="AN15" i="4" s="1"/>
  <c r="AN18" i="4" a="1"/>
  <c r="AN18" i="4" s="1"/>
  <c r="AN26" i="4" a="1"/>
  <c r="AN26" i="4" s="1"/>
  <c r="AN6" i="4" a="1"/>
  <c r="AN6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C37" authorId="0" shapeId="0" xr:uid="{F29A62C2-B468-408C-B0DE-49EB5434D5F2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CTV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<sst xmlns="http://schemas.openxmlformats.org/spreadsheetml/2006/main" count="3047" uniqueCount="638">
  <si>
    <t>Chi Tiết Chấm Công</t>
  </si>
  <si>
    <t>ID Người</t>
  </si>
  <si>
    <t>Tên</t>
  </si>
  <si>
    <t>Bộ phận</t>
  </si>
  <si>
    <t>Ngày</t>
  </si>
  <si>
    <t>Ca làm việc</t>
  </si>
  <si>
    <t>Thời gian biểu</t>
  </si>
  <si>
    <t>Tình trạng chuyên cần</t>
  </si>
  <si>
    <t>Vào</t>
  </si>
  <si>
    <t>Ra</t>
  </si>
  <si>
    <t>Muộn</t>
  </si>
  <si>
    <t>Đã tham dự</t>
  </si>
  <si>
    <t>Vắng mặt</t>
  </si>
  <si>
    <t>Đã làm việc</t>
  </si>
  <si>
    <t>Thoát</t>
  </si>
  <si>
    <t>Tăng ca 1</t>
  </si>
  <si>
    <t>Tăng ca 2</t>
  </si>
  <si>
    <t>Tăng ca 3</t>
  </si>
  <si>
    <t>1</t>
  </si>
  <si>
    <t>Tổ Chức Mới</t>
  </si>
  <si>
    <t>2025-09-01</t>
  </si>
  <si>
    <t>HC</t>
  </si>
  <si>
    <t>HC(08:00:00-17:00:00)</t>
  </si>
  <si>
    <t>-</t>
  </si>
  <si>
    <t>0 phút</t>
  </si>
  <si>
    <t>540 phút</t>
  </si>
  <si>
    <t>2025-09-02</t>
  </si>
  <si>
    <t>2025-09-03</t>
  </si>
  <si>
    <t>bình thường</t>
  </si>
  <si>
    <t>120 phút</t>
  </si>
  <si>
    <t>2025-09-04</t>
  </si>
  <si>
    <t>2025-09-05</t>
  </si>
  <si>
    <t>2025-09-06</t>
  </si>
  <si>
    <t>2025-09-07</t>
  </si>
  <si>
    <t>2025-09-08</t>
  </si>
  <si>
    <t>632 phút</t>
  </si>
  <si>
    <t>92 phút</t>
  </si>
  <si>
    <t>2025-09-09</t>
  </si>
  <si>
    <t>2025-09-10</t>
  </si>
  <si>
    <t>2025-09-11</t>
  </si>
  <si>
    <t>42 phút</t>
  </si>
  <si>
    <t>2025-09-12</t>
  </si>
  <si>
    <t>2025-09-13</t>
  </si>
  <si>
    <t>595 phút</t>
  </si>
  <si>
    <t>55 phút</t>
  </si>
  <si>
    <t>2025-09-14</t>
  </si>
  <si>
    <t>2025-09-15</t>
  </si>
  <si>
    <t>2025-09-16</t>
  </si>
  <si>
    <t>2025-09-17</t>
  </si>
  <si>
    <t>634 phút</t>
  </si>
  <si>
    <t>2025-09-18</t>
  </si>
  <si>
    <t>2025-09-19</t>
  </si>
  <si>
    <t>626 phút</t>
  </si>
  <si>
    <t>86 phút</t>
  </si>
  <si>
    <t>2025-09-20</t>
  </si>
  <si>
    <t>598 phút</t>
  </si>
  <si>
    <t>58 phút</t>
  </si>
  <si>
    <t>2025-09-21</t>
  </si>
  <si>
    <t>2025-09-22</t>
  </si>
  <si>
    <t>2025-09-23</t>
  </si>
  <si>
    <t>642 phút</t>
  </si>
  <si>
    <t>102 phút</t>
  </si>
  <si>
    <t>2025-09-24</t>
  </si>
  <si>
    <t>609 phút</t>
  </si>
  <si>
    <t>69 phút</t>
  </si>
  <si>
    <t>2025-09-25</t>
  </si>
  <si>
    <t>2025-09-26</t>
  </si>
  <si>
    <t>2025-09-27</t>
  </si>
  <si>
    <t>40 phút</t>
  </si>
  <si>
    <t>2025-09-28</t>
  </si>
  <si>
    <t>2025-09-29</t>
  </si>
  <si>
    <t>2025-09-30</t>
  </si>
  <si>
    <t>576 phút</t>
  </si>
  <si>
    <t>36 phút</t>
  </si>
  <si>
    <t>10</t>
  </si>
  <si>
    <t>11</t>
  </si>
  <si>
    <t>12</t>
  </si>
  <si>
    <t>13</t>
  </si>
  <si>
    <t>14</t>
  </si>
  <si>
    <t>Luong</t>
  </si>
  <si>
    <t>15</t>
  </si>
  <si>
    <t>Khang</t>
  </si>
  <si>
    <t>16</t>
  </si>
  <si>
    <t>Thinh</t>
  </si>
  <si>
    <t>17</t>
  </si>
  <si>
    <t>Thuy</t>
  </si>
  <si>
    <t>18</t>
  </si>
  <si>
    <t>Phong</t>
  </si>
  <si>
    <t>19</t>
  </si>
  <si>
    <t>11 phút</t>
  </si>
  <si>
    <t>7 phút</t>
  </si>
  <si>
    <t>4 phút</t>
  </si>
  <si>
    <t>2</t>
  </si>
  <si>
    <t>578 phút</t>
  </si>
  <si>
    <t>38 phút</t>
  </si>
  <si>
    <t>551 phút</t>
  </si>
  <si>
    <t>646 phút</t>
  </si>
  <si>
    <t>106 phút</t>
  </si>
  <si>
    <t>07:50:17</t>
  </si>
  <si>
    <t>615 phút</t>
  </si>
  <si>
    <t>75 phút</t>
  </si>
  <si>
    <t>Về sớm</t>
  </si>
  <si>
    <t>25 phút</t>
  </si>
  <si>
    <t>658 phút</t>
  </si>
  <si>
    <t>118 phút</t>
  </si>
  <si>
    <t>631 phút</t>
  </si>
  <si>
    <t>91 phút</t>
  </si>
  <si>
    <t>622 phút</t>
  </si>
  <si>
    <t>82 phút</t>
  </si>
  <si>
    <t>2 phút</t>
  </si>
  <si>
    <t>113 phút</t>
  </si>
  <si>
    <t>582 phút</t>
  </si>
  <si>
    <t>20</t>
  </si>
  <si>
    <t>21</t>
  </si>
  <si>
    <t>Vu</t>
  </si>
  <si>
    <t>07:41:48</t>
  </si>
  <si>
    <t>18:22:17</t>
  </si>
  <si>
    <t>08:01:21</t>
  </si>
  <si>
    <t>18:45:06</t>
  </si>
  <si>
    <t>1 phút</t>
  </si>
  <si>
    <t>644 phút</t>
  </si>
  <si>
    <t>105 phút</t>
  </si>
  <si>
    <t>07:58:42</t>
  </si>
  <si>
    <t>18:40:35</t>
  </si>
  <si>
    <t>641 phút</t>
  </si>
  <si>
    <t>101 phút</t>
  </si>
  <si>
    <t>07:58:24</t>
  </si>
  <si>
    <t>18:31:35</t>
  </si>
  <si>
    <t>07:58:26</t>
  </si>
  <si>
    <t>18:53:20</t>
  </si>
  <si>
    <t>653 phút</t>
  </si>
  <si>
    <t>08:00:03</t>
  </si>
  <si>
    <t>18:47:05</t>
  </si>
  <si>
    <t>647 phút</t>
  </si>
  <si>
    <t>107 phút</t>
  </si>
  <si>
    <t>07:58:17</t>
  </si>
  <si>
    <t>18:54:09</t>
  </si>
  <si>
    <t>654 phút</t>
  </si>
  <si>
    <t>114 phút</t>
  </si>
  <si>
    <t>08:02:25</t>
  </si>
  <si>
    <t>18:26:01</t>
  </si>
  <si>
    <t>624 phút</t>
  </si>
  <si>
    <t>07:55:18</t>
  </si>
  <si>
    <t>18:08:18</t>
  </si>
  <si>
    <t>608 phút</t>
  </si>
  <si>
    <t>68 phút</t>
  </si>
  <si>
    <t>18:31:00</t>
  </si>
  <si>
    <t>07:55:58</t>
  </si>
  <si>
    <t>18:47:54</t>
  </si>
  <si>
    <t>648 phút</t>
  </si>
  <si>
    <t>108 phút</t>
  </si>
  <si>
    <t>07:49:45</t>
  </si>
  <si>
    <t>18:04:37</t>
  </si>
  <si>
    <t>605 phút</t>
  </si>
  <si>
    <t>65 phút</t>
  </si>
  <si>
    <t>07:53:12</t>
  </si>
  <si>
    <t>19:16:20</t>
  </si>
  <si>
    <t>676 phút</t>
  </si>
  <si>
    <t>33 phút</t>
  </si>
  <si>
    <t>07:50:12</t>
  </si>
  <si>
    <t>18:15:06</t>
  </si>
  <si>
    <t>07:55:39</t>
  </si>
  <si>
    <t>18:34:50</t>
  </si>
  <si>
    <t>635 phút</t>
  </si>
  <si>
    <t>95 phút</t>
  </si>
  <si>
    <t>07:37:57</t>
  </si>
  <si>
    <t>19:18:32</t>
  </si>
  <si>
    <t>679 phút</t>
  </si>
  <si>
    <t>37 phút</t>
  </si>
  <si>
    <t>07:41:54</t>
  </si>
  <si>
    <t>18:08:03</t>
  </si>
  <si>
    <t>07:32:41</t>
  </si>
  <si>
    <t>18:57:26</t>
  </si>
  <si>
    <t>657 phút</t>
  </si>
  <si>
    <t>117 phút</t>
  </si>
  <si>
    <t>07:40:09</t>
  </si>
  <si>
    <t>19:17:59</t>
  </si>
  <si>
    <t>678 phút</t>
  </si>
  <si>
    <t>07:40:23</t>
  </si>
  <si>
    <t>19:13:14</t>
  </si>
  <si>
    <t>673 phút</t>
  </si>
  <si>
    <t>26 phút</t>
  </si>
  <si>
    <t>07:24:27</t>
  </si>
  <si>
    <t>18:55:51</t>
  </si>
  <si>
    <t>656 phút</t>
  </si>
  <si>
    <t>116 phút</t>
  </si>
  <si>
    <t>07:21:28</t>
  </si>
  <si>
    <t>19:06:29</t>
  </si>
  <si>
    <t>666 phút</t>
  </si>
  <si>
    <t>13 phút</t>
  </si>
  <si>
    <t>07:49:43</t>
  </si>
  <si>
    <t>18:47:33</t>
  </si>
  <si>
    <t>22</t>
  </si>
  <si>
    <t>Yen</t>
  </si>
  <si>
    <t>23</t>
  </si>
  <si>
    <t>90 phút</t>
  </si>
  <si>
    <t>584 phút</t>
  </si>
  <si>
    <t>44 phút</t>
  </si>
  <si>
    <t>71 phút</t>
  </si>
  <si>
    <t>625 phút</t>
  </si>
  <si>
    <t>85 phút</t>
  </si>
  <si>
    <t>630 phút</t>
  </si>
  <si>
    <t>24</t>
  </si>
  <si>
    <t>638 phút</t>
  </si>
  <si>
    <t>98 phút</t>
  </si>
  <si>
    <t>652 phút</t>
  </si>
  <si>
    <t>112 phút</t>
  </si>
  <si>
    <t>579 phút</t>
  </si>
  <si>
    <t>39 phút</t>
  </si>
  <si>
    <t>629 phút</t>
  </si>
  <si>
    <t>25</t>
  </si>
  <si>
    <t>26</t>
  </si>
  <si>
    <t>Lam</t>
  </si>
  <si>
    <t>27</t>
  </si>
  <si>
    <t>Sam</t>
  </si>
  <si>
    <t>28</t>
  </si>
  <si>
    <t>Hoang</t>
  </si>
  <si>
    <t>29</t>
  </si>
  <si>
    <t>Tai</t>
  </si>
  <si>
    <t>3</t>
  </si>
  <si>
    <t>VIET</t>
  </si>
  <si>
    <t>30</t>
  </si>
  <si>
    <t>Hoa</t>
  </si>
  <si>
    <t>31</t>
  </si>
  <si>
    <t>Thao</t>
  </si>
  <si>
    <t>32</t>
  </si>
  <si>
    <t>31 phút</t>
  </si>
  <si>
    <t>22 phút</t>
  </si>
  <si>
    <t>07:56:51</t>
  </si>
  <si>
    <t>538 phút</t>
  </si>
  <si>
    <t>12 phút</t>
  </si>
  <si>
    <t>20 phút</t>
  </si>
  <si>
    <t>33</t>
  </si>
  <si>
    <t>Hanh</t>
  </si>
  <si>
    <t>34</t>
  </si>
  <si>
    <t>Khanh</t>
  </si>
  <si>
    <t>35</t>
  </si>
  <si>
    <t>Chanh</t>
  </si>
  <si>
    <t>36</t>
  </si>
  <si>
    <t>Thai</t>
  </si>
  <si>
    <t>37</t>
  </si>
  <si>
    <t>5 phút</t>
  </si>
  <si>
    <t>3 phút</t>
  </si>
  <si>
    <t>568 phút</t>
  </si>
  <si>
    <t>572 phút</t>
  </si>
  <si>
    <t>67 phút</t>
  </si>
  <si>
    <t>08:04:28</t>
  </si>
  <si>
    <t>645 phút</t>
  </si>
  <si>
    <t>617 phút</t>
  </si>
  <si>
    <t>77 phút</t>
  </si>
  <si>
    <t>38</t>
  </si>
  <si>
    <t>07:54:47</t>
  </si>
  <si>
    <t>39</t>
  </si>
  <si>
    <t>4</t>
  </si>
  <si>
    <t>Hai</t>
  </si>
  <si>
    <t>40</t>
  </si>
  <si>
    <t>41</t>
  </si>
  <si>
    <t>Tuan</t>
  </si>
  <si>
    <t>42</t>
  </si>
  <si>
    <t>Qui</t>
  </si>
  <si>
    <t>43</t>
  </si>
  <si>
    <t>44</t>
  </si>
  <si>
    <t>Phu</t>
  </si>
  <si>
    <t>45</t>
  </si>
  <si>
    <t>Nhi</t>
  </si>
  <si>
    <t>07:55:37</t>
  </si>
  <si>
    <t>07:52:49</t>
  </si>
  <si>
    <t>08:03:13</t>
  </si>
  <si>
    <t>46</t>
  </si>
  <si>
    <t>Nghia</t>
  </si>
  <si>
    <t>47</t>
  </si>
  <si>
    <t>Huy</t>
  </si>
  <si>
    <t>48</t>
  </si>
  <si>
    <t>Quang</t>
  </si>
  <si>
    <t>49</t>
  </si>
  <si>
    <t>Quoc</t>
  </si>
  <si>
    <t>5</t>
  </si>
  <si>
    <t>Thu</t>
  </si>
  <si>
    <t>07:53:33</t>
  </si>
  <si>
    <t>18:37:49</t>
  </si>
  <si>
    <t>07:52:43</t>
  </si>
  <si>
    <t>18:21:05</t>
  </si>
  <si>
    <t>621 phút</t>
  </si>
  <si>
    <t>81 phút</t>
  </si>
  <si>
    <t>07:55:10</t>
  </si>
  <si>
    <t>18:48:38</t>
  </si>
  <si>
    <t>649 phút</t>
  </si>
  <si>
    <t>109 phút</t>
  </si>
  <si>
    <t>07:59:44</t>
  </si>
  <si>
    <t>18:45:57</t>
  </si>
  <si>
    <t>18:24:31</t>
  </si>
  <si>
    <t>07:52:00</t>
  </si>
  <si>
    <t>18:22:09</t>
  </si>
  <si>
    <t>18:55:41</t>
  </si>
  <si>
    <t>07:57:08</t>
  </si>
  <si>
    <t>18:53:03</t>
  </si>
  <si>
    <t>07:57:52</t>
  </si>
  <si>
    <t>07:56:55</t>
  </si>
  <si>
    <t>17:38:20</t>
  </si>
  <si>
    <t>07:56:32</t>
  </si>
  <si>
    <t>18:33:28</t>
  </si>
  <si>
    <t>633 phút</t>
  </si>
  <si>
    <t>93 phút</t>
  </si>
  <si>
    <t>07:58:14</t>
  </si>
  <si>
    <t>18:57:56</t>
  </si>
  <si>
    <t>07:58:06</t>
  </si>
  <si>
    <t>18:41:53</t>
  </si>
  <si>
    <t>07:55:49</t>
  </si>
  <si>
    <t>19:18:35</t>
  </si>
  <si>
    <t>18:49:43</t>
  </si>
  <si>
    <t>650 phút</t>
  </si>
  <si>
    <t>110 phút</t>
  </si>
  <si>
    <t>07:55:12</t>
  </si>
  <si>
    <t>18:42:27</t>
  </si>
  <si>
    <t>07:50:03</t>
  </si>
  <si>
    <t>18:30:21</t>
  </si>
  <si>
    <t>07:55:42</t>
  </si>
  <si>
    <t>19:01:47</t>
  </si>
  <si>
    <t>662 phút</t>
  </si>
  <si>
    <t>07:55:51</t>
  </si>
  <si>
    <t>19:09:05</t>
  </si>
  <si>
    <t>669 phút</t>
  </si>
  <si>
    <t>18 phút</t>
  </si>
  <si>
    <t>07:53:05</t>
  </si>
  <si>
    <t>16:42:05</t>
  </si>
  <si>
    <t>522 phút</t>
  </si>
  <si>
    <t>19:08:17</t>
  </si>
  <si>
    <t>668 phút</t>
  </si>
  <si>
    <t>17 phút</t>
  </si>
  <si>
    <t>07:56:48</t>
  </si>
  <si>
    <t>18:45:23</t>
  </si>
  <si>
    <t>50</t>
  </si>
  <si>
    <t>51</t>
  </si>
  <si>
    <t>Hong</t>
  </si>
  <si>
    <t>32 phút</t>
  </si>
  <si>
    <t>52</t>
  </si>
  <si>
    <t>Xuyen</t>
  </si>
  <si>
    <t>53</t>
  </si>
  <si>
    <t>07:58:43</t>
  </si>
  <si>
    <t>08:00:28</t>
  </si>
  <si>
    <t>54</t>
  </si>
  <si>
    <t>Nhan</t>
  </si>
  <si>
    <t>55</t>
  </si>
  <si>
    <t>Hoc</t>
  </si>
  <si>
    <t>56</t>
  </si>
  <si>
    <t>556 phút</t>
  </si>
  <si>
    <t>16 phút</t>
  </si>
  <si>
    <t>07:56:27</t>
  </si>
  <si>
    <t>9 phút</t>
  </si>
  <si>
    <t>07:49:35</t>
  </si>
  <si>
    <t>10 phút</t>
  </si>
  <si>
    <t>sáng(08:00:00-12:00:00)</t>
  </si>
  <si>
    <t>240 phút</t>
  </si>
  <si>
    <t>07:55:03</t>
  </si>
  <si>
    <t>57</t>
  </si>
  <si>
    <t>Bao</t>
  </si>
  <si>
    <t>58</t>
  </si>
  <si>
    <t>59</t>
  </si>
  <si>
    <t>6</t>
  </si>
  <si>
    <t>Diem</t>
  </si>
  <si>
    <t>60</t>
  </si>
  <si>
    <t>61</t>
  </si>
  <si>
    <t>Thong</t>
  </si>
  <si>
    <t>62</t>
  </si>
  <si>
    <t>Ut Huong</t>
  </si>
  <si>
    <t>08:20:11</t>
  </si>
  <si>
    <t>17:17:53</t>
  </si>
  <si>
    <t>08:16:31</t>
  </si>
  <si>
    <t>17:17:32</t>
  </si>
  <si>
    <t>541 phút</t>
  </si>
  <si>
    <t>07:47:43</t>
  </si>
  <si>
    <t>17:23:35</t>
  </si>
  <si>
    <t>564 phút</t>
  </si>
  <si>
    <t>24 phút</t>
  </si>
  <si>
    <t>08:00:29</t>
  </si>
  <si>
    <t>17:38:36</t>
  </si>
  <si>
    <t>08:00:18</t>
  </si>
  <si>
    <t>17:44:00</t>
  </si>
  <si>
    <t>07:59:30</t>
  </si>
  <si>
    <t>17:43:46</t>
  </si>
  <si>
    <t>08:01:53</t>
  </si>
  <si>
    <t>17:44:13</t>
  </si>
  <si>
    <t>17:40:11</t>
  </si>
  <si>
    <t>08:03:23</t>
  </si>
  <si>
    <t>17:24:57</t>
  </si>
  <si>
    <t>562 phút</t>
  </si>
  <si>
    <t>17:44:23</t>
  </si>
  <si>
    <t>12:06:26</t>
  </si>
  <si>
    <t>246 phút</t>
  </si>
  <si>
    <t>07:57:40</t>
  </si>
  <si>
    <t>17:38:45</t>
  </si>
  <si>
    <t>07:56:26</t>
  </si>
  <si>
    <t>17:30:34</t>
  </si>
  <si>
    <t>571 phút</t>
  </si>
  <si>
    <t>07:57:20</t>
  </si>
  <si>
    <t>17:37:09</t>
  </si>
  <si>
    <t>577 phút</t>
  </si>
  <si>
    <t>17:31:58</t>
  </si>
  <si>
    <t>07:55:56</t>
  </si>
  <si>
    <t>17:55:21</t>
  </si>
  <si>
    <t>07:57:06</t>
  </si>
  <si>
    <t>17:10:40</t>
  </si>
  <si>
    <t>08:00:35</t>
  </si>
  <si>
    <t>17:42:17</t>
  </si>
  <si>
    <t>07:50:51</t>
  </si>
  <si>
    <t>17:39:15</t>
  </si>
  <si>
    <t>07:58:48</t>
  </si>
  <si>
    <t>17:33:15</t>
  </si>
  <si>
    <t>573 phút</t>
  </si>
  <si>
    <t>17:33:32</t>
  </si>
  <si>
    <t>34 phút</t>
  </si>
  <si>
    <t>08:16:53</t>
  </si>
  <si>
    <t>17:33:14</t>
  </si>
  <si>
    <t>07:59:05</t>
  </si>
  <si>
    <t>17:15:52</t>
  </si>
  <si>
    <t>63</t>
  </si>
  <si>
    <t>587 phút</t>
  </si>
  <si>
    <t>64</t>
  </si>
  <si>
    <t>Thanh Huong</t>
  </si>
  <si>
    <t>08:04:33</t>
  </si>
  <si>
    <t>18:38:26</t>
  </si>
  <si>
    <t>08:07:27</t>
  </si>
  <si>
    <t>18:48:57</t>
  </si>
  <si>
    <t>18:52:19</t>
  </si>
  <si>
    <t>08:07:15</t>
  </si>
  <si>
    <t>18:37:53</t>
  </si>
  <si>
    <t>08:07:05</t>
  </si>
  <si>
    <t>19:56:48</t>
  </si>
  <si>
    <t>710 phút</t>
  </si>
  <si>
    <t>08:03:01</t>
  </si>
  <si>
    <t>19:28:48</t>
  </si>
  <si>
    <t>686 phút</t>
  </si>
  <si>
    <t>08:33:01</t>
  </si>
  <si>
    <t>18:52:51</t>
  </si>
  <si>
    <t>620 phút</t>
  </si>
  <si>
    <t>08:09:13</t>
  </si>
  <si>
    <t>07:53:25</t>
  </si>
  <si>
    <t>08:16:02</t>
  </si>
  <si>
    <t>08:11:43</t>
  </si>
  <si>
    <t>18:58:02</t>
  </si>
  <si>
    <t>09:59:56</t>
  </si>
  <si>
    <t>18:42:05</t>
  </si>
  <si>
    <t>08:03:53</t>
  </si>
  <si>
    <t>19:18:54</t>
  </si>
  <si>
    <t>675 phút</t>
  </si>
  <si>
    <t>08:11:39</t>
  </si>
  <si>
    <t>18:49:53</t>
  </si>
  <si>
    <t>18:31:56</t>
  </si>
  <si>
    <t>08:20:00</t>
  </si>
  <si>
    <t>19:17:00</t>
  </si>
  <si>
    <t>08:15:41</t>
  </si>
  <si>
    <t>18:22:13</t>
  </si>
  <si>
    <t>607 phút</t>
  </si>
  <si>
    <t>08:09:53</t>
  </si>
  <si>
    <t>18:56:17</t>
  </si>
  <si>
    <t>08:11:01</t>
  </si>
  <si>
    <t>19:13:04</t>
  </si>
  <si>
    <t>08:03:56</t>
  </si>
  <si>
    <t>18:56:39</t>
  </si>
  <si>
    <t>08:09:28</t>
  </si>
  <si>
    <t>19:07:56</t>
  </si>
  <si>
    <t>08:58:17</t>
  </si>
  <si>
    <t>18:45:33</t>
  </si>
  <si>
    <t>65</t>
  </si>
  <si>
    <t>7</t>
  </si>
  <si>
    <t>Thanh</t>
  </si>
  <si>
    <t>8</t>
  </si>
  <si>
    <t>9</t>
  </si>
  <si>
    <t>17:57:48</t>
  </si>
  <si>
    <t>07:53:11</t>
  </si>
  <si>
    <t>18:11:16</t>
  </si>
  <si>
    <t>611 phút</t>
  </si>
  <si>
    <t>07:51:39</t>
  </si>
  <si>
    <t>18:21:04</t>
  </si>
  <si>
    <t>18:40:40</t>
  </si>
  <si>
    <t>07:51:32</t>
  </si>
  <si>
    <t>18:08:51</t>
  </si>
  <si>
    <t>07:51:38</t>
  </si>
  <si>
    <t>18:35:59</t>
  </si>
  <si>
    <t>636 phút</t>
  </si>
  <si>
    <t>96 phút</t>
  </si>
  <si>
    <t>07:53:24</t>
  </si>
  <si>
    <t>18:46:55</t>
  </si>
  <si>
    <t>18:49:00</t>
  </si>
  <si>
    <t>07:26:59</t>
  </si>
  <si>
    <t>18:25:11</t>
  </si>
  <si>
    <t>07:51:30</t>
  </si>
  <si>
    <t>18:06:48</t>
  </si>
  <si>
    <t>07:52:11</t>
  </si>
  <si>
    <t>18:25:58</t>
  </si>
  <si>
    <t>07:54:27</t>
  </si>
  <si>
    <t>18:45:55</t>
  </si>
  <si>
    <t>07:50:57</t>
  </si>
  <si>
    <t>18:17:08</t>
  </si>
  <si>
    <t>07:50:26</t>
  </si>
  <si>
    <t>18:57:37</t>
  </si>
  <si>
    <t>18:46:53</t>
  </si>
  <si>
    <t>07:48:02</t>
  </si>
  <si>
    <t>08:00:00</t>
  </si>
  <si>
    <t>19:16:02</t>
  </si>
  <si>
    <t>07:48:04</t>
  </si>
  <si>
    <t>18:11:27</t>
  </si>
  <si>
    <t>07:50:53</t>
  </si>
  <si>
    <t>18:55:14</t>
  </si>
  <si>
    <t>655 phút</t>
  </si>
  <si>
    <t>115 phút</t>
  </si>
  <si>
    <t>07:50:15</t>
  </si>
  <si>
    <t>19:10:51</t>
  </si>
  <si>
    <t>671 phút</t>
  </si>
  <si>
    <t>19:11:12</t>
  </si>
  <si>
    <t>07:49:37</t>
  </si>
  <si>
    <t>18:55:05</t>
  </si>
  <si>
    <t>07:52:04</t>
  </si>
  <si>
    <t>19:04:16</t>
  </si>
  <si>
    <t>664 phút</t>
  </si>
  <si>
    <t>07:50:20</t>
  </si>
  <si>
    <t>18:08:48</t>
  </si>
  <si>
    <t>STT</t>
  </si>
  <si>
    <t xml:space="preserve">Họ và Tên </t>
  </si>
  <si>
    <t>ID</t>
  </si>
  <si>
    <t>Kinh doanh</t>
  </si>
  <si>
    <t>Bùi Thị Kim Dung</t>
  </si>
  <si>
    <t>Nguyễn Văn Vinh</t>
  </si>
  <si>
    <t xml:space="preserve">Trương Quang Thanh    </t>
  </si>
  <si>
    <t xml:space="preserve"> Hứa Thị Ngọc Thơ  </t>
  </si>
  <si>
    <t>Nguyễn Quốc Thái</t>
  </si>
  <si>
    <t>Trần Hạo Nhị</t>
  </si>
  <si>
    <t>Dương Thị Kim Hồng</t>
  </si>
  <si>
    <t>Trần Bảo Trâm</t>
  </si>
  <si>
    <t xml:space="preserve"> Nguyễn Bảo Thạch    </t>
  </si>
  <si>
    <t xml:space="preserve"> Hoàng Đức Thanh    </t>
  </si>
  <si>
    <t xml:space="preserve"> Nguyễn Quốc Minh   </t>
  </si>
  <si>
    <t xml:space="preserve"> Nguyễn Hoàng Thực    </t>
  </si>
  <si>
    <t xml:space="preserve"> Trần Cao Hoàng Tâm    </t>
  </si>
  <si>
    <t xml:space="preserve"> Lê Kim Đãng   </t>
  </si>
  <si>
    <t xml:space="preserve"> Nguyễn Thiên Trang    </t>
  </si>
  <si>
    <t xml:space="preserve"> Nguyễn Thiên Thanh    </t>
  </si>
  <si>
    <t xml:space="preserve"> Huỳnh Thanh Phong  </t>
  </si>
  <si>
    <t>Nguyễn Hữu Phước</t>
  </si>
  <si>
    <t>Nguyễn Thanh Phương</t>
  </si>
  <si>
    <t xml:space="preserve">Trần Kỳ Tâm    </t>
  </si>
  <si>
    <t>Kế toán - Văn phòng</t>
  </si>
  <si>
    <t>Huỳnh Văn Hùng</t>
  </si>
  <si>
    <t>Nguyễn Thị Út Hương</t>
  </si>
  <si>
    <t>Đoàn Thị Thanh Hương</t>
  </si>
  <si>
    <t>Hoàng Thị Hoài Nhi</t>
  </si>
  <si>
    <t>Phạm Anh Vũ</t>
  </si>
  <si>
    <t xml:space="preserve"> Hàng Minh Thư   </t>
  </si>
  <si>
    <t>Nguyễn Thị Lan Sy</t>
  </si>
  <si>
    <t>Lê Thị Mỹ Duyên</t>
  </si>
  <si>
    <t>Huỳnh Thị Mạnh Thường</t>
  </si>
  <si>
    <t>Tên nhân viên</t>
  </si>
  <si>
    <t>Lý Kim Hồ</t>
  </si>
  <si>
    <t>Nghĩ việc</t>
  </si>
  <si>
    <t>Đang làm việc</t>
  </si>
  <si>
    <t>Vận Hành</t>
  </si>
  <si>
    <t>Trạng thái</t>
  </si>
  <si>
    <t>Bộ phận2</t>
  </si>
  <si>
    <t>Tăng ca</t>
  </si>
  <si>
    <t>Không</t>
  </si>
  <si>
    <t>Có</t>
  </si>
  <si>
    <t>Chấm vân tay giờ về</t>
  </si>
  <si>
    <t>Ngày công</t>
  </si>
  <si>
    <t>Muộn (Phút)</t>
  </si>
  <si>
    <t>Giờ vào HC</t>
  </si>
  <si>
    <t>Giờ ra HC</t>
  </si>
  <si>
    <t>Giờ Về</t>
  </si>
  <si>
    <t>Giờ vao TT</t>
  </si>
  <si>
    <t>Giờ ra TT</t>
  </si>
  <si>
    <t>Tăng ca (phút)</t>
  </si>
  <si>
    <t>Thời Gian làm việc</t>
  </si>
  <si>
    <t>Giờ vào</t>
  </si>
  <si>
    <t>Giờ ra</t>
  </si>
  <si>
    <t>Vận Hành &amp; Kho</t>
  </si>
  <si>
    <t>Đối với vi phạm đi trễ</t>
  </si>
  <si>
    <t>Đi trễ từ 6 --&gt; 15 Phút so với quy định</t>
  </si>
  <si>
    <t>Vi phạm</t>
  </si>
  <si>
    <t>Đi trễ từ 15 --&gt; 60 Phút so với quy định</t>
  </si>
  <si>
    <t>Đi trễ từ 60 Phút so với quy định</t>
  </si>
  <si>
    <t>Trừ nữa ngày lượng</t>
  </si>
  <si>
    <t>Vi phạm các quy định trên quá 3 lần/tháng</t>
  </si>
  <si>
    <t>Trừ toàn bộ chuyên cần tháng</t>
  </si>
  <si>
    <t>Đối với vi phạm chấm công</t>
  </si>
  <si>
    <t>Vi phạm lần 1</t>
  </si>
  <si>
    <t>Vi phạm lần 3 trở lên</t>
  </si>
  <si>
    <t>Vi phạm lần 2</t>
  </si>
  <si>
    <t>Trường hợp vi phạm quá 3 lần/tháng</t>
  </si>
  <si>
    <t>Không chấm công ngày đó</t>
  </si>
  <si>
    <t>Phạt nữa ngày lương</t>
  </si>
  <si>
    <t>Đối với Trường hợp nghĩ phép cần báo trước 3 ngày cho Quản lý, nếu nghĩ không xin phép thì:</t>
  </si>
  <si>
    <t>Vi phạm lần đầu</t>
  </si>
  <si>
    <t>Nhắc nhở</t>
  </si>
  <si>
    <t>Trừ 3 ngày lương</t>
  </si>
  <si>
    <t>Vi phạm lần 3</t>
  </si>
  <si>
    <t>Hạ bậc lương hoặc xét cho thôi việc</t>
  </si>
  <si>
    <t>Châm công</t>
  </si>
  <si>
    <t>Trừ lương do vi phạm</t>
  </si>
  <si>
    <t>Ghi Chú</t>
  </si>
  <si>
    <t>Phạt muộn</t>
  </si>
  <si>
    <t>Phạt Quên chấm công</t>
  </si>
  <si>
    <t>BẢNG CHẤM CÔNG</t>
  </si>
  <si>
    <t>Tháng</t>
  </si>
  <si>
    <t>năm</t>
  </si>
  <si>
    <t>Tăng ca (Phút)</t>
  </si>
  <si>
    <t>Muộn (lần)</t>
  </si>
  <si>
    <t xml:space="preserve">Sinh nhật </t>
  </si>
  <si>
    <t>Phép năm tháng trước</t>
  </si>
  <si>
    <t>Phép năm</t>
  </si>
  <si>
    <t>Lịch công tác</t>
  </si>
  <si>
    <t>Phạt đi muộn</t>
  </si>
  <si>
    <t>Đi công tác</t>
  </si>
  <si>
    <t>Vận hành</t>
  </si>
  <si>
    <t>Ngoại nghiệp</t>
  </si>
  <si>
    <t>Trần Thị Xuân Phương</t>
  </si>
  <si>
    <t>Ghi chú:</t>
  </si>
  <si>
    <t>x</t>
  </si>
  <si>
    <t>Có mặt</t>
  </si>
  <si>
    <t>2x</t>
  </si>
  <si>
    <t>Làm ngày lễ, công tác chủ nhật</t>
  </si>
  <si>
    <t>V</t>
  </si>
  <si>
    <t xml:space="preserve">Vắng </t>
  </si>
  <si>
    <t>P</t>
  </si>
  <si>
    <t xml:space="preserve">Phép </t>
  </si>
  <si>
    <t>L</t>
  </si>
  <si>
    <t>Nghỉ lễ</t>
  </si>
  <si>
    <t>CN</t>
  </si>
  <si>
    <t xml:space="preserve">Nghỉ tuần </t>
  </si>
  <si>
    <t>1/2</t>
  </si>
  <si>
    <t>Nửa công</t>
  </si>
  <si>
    <t>1/2P</t>
  </si>
  <si>
    <t>Nửa phép</t>
  </si>
  <si>
    <t>Người lập biểu</t>
  </si>
  <si>
    <t>Giám đốc</t>
  </si>
  <si>
    <t xml:space="preserve">Đặng Xuân Ngọc </t>
  </si>
  <si>
    <t>Ngày chấm công</t>
  </si>
  <si>
    <t>Mã Do công</t>
  </si>
  <si>
    <t>Ngày sinh</t>
  </si>
  <si>
    <t>Nghĩ Lễ 01/09 và 02/09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</si>
</sst>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)_ ;_ * \(#,##0\)_ ;_ * &quot;-&quot;_)_ ;_ @_ "/>
    <numFmt numFmtId="43" formatCode="_ * #,##0.00_)_ ;_ * \(#,##0.00\)_ ;_ * &quot;-&quot;??_)_ ;_ @_ "/>
    <numFmt numFmtId="164" formatCode="[$-F400]h:mm:ss\ AM/PM"/>
    <numFmt numFmtId="165" formatCode="#,##0_)&quot;đồng/lần&quot;;[Red]\(#,##0\)"/>
    <numFmt numFmtId="166" formatCode="&quot;Tháng &quot;mm&quot; năm &quot;yyyy"/>
    <numFmt numFmtId="167" formatCode="_-* #,##0.00_-;\-* #,##0.00_-;_-* &quot;-&quot;??_-;_-@_-"/>
    <numFmt numFmtId="168" formatCode="_-* #,##0_-;\-* #,##0_-;_-* &quot;-&quot;??_-;_-@_-"/>
    <numFmt numFmtId="169" formatCode="00"/>
    <numFmt numFmtId="170" formatCode="[$-101042A]dd"/>
    <numFmt numFmtId="171" formatCode="[$-101042A]dddd"/>
    <numFmt numFmtId="172" formatCode="_(* #,##0_);_(* \(#,##0\);_(* &quot;-&quot;??_);_(@_)"/>
    <numFmt numFmtId="173" formatCode="_ * #,##0_ ;_ * \-#,##0_ ;_ * &quot;-&quot;_ ;_ @_ "/>
    <numFmt numFmtId="174" formatCode="_ * #,##0.0_)_ ;_ * \(#,##0.0\)_ ;_ * &quot;-&quot;_)_ ;_ @_ "/>
  </numFmts>
  <fonts count="45" x14ac:knownFonts="1">
    <font>
      <sz val="11"/>
      <color theme="1"/>
      <name val="Aptos Narrow"/>
      <family val="2"/>
      <charset val="163"/>
      <scheme val="minor"/>
    </font>
    <font>
      <sz val="11"/>
      <color theme="1"/>
      <name val="Aptos Narrow"/>
      <family val="2"/>
      <charset val="163"/>
      <scheme val="minor"/>
    </font>
    <font>
      <sz val="18"/>
      <color theme="3"/>
      <name val="Aptos Display"/>
      <family val="2"/>
      <charset val="163"/>
      <scheme val="major"/>
    </font>
    <font>
      <b/>
      <sz val="15"/>
      <color theme="3"/>
      <name val="Aptos Narrow"/>
      <family val="2"/>
      <charset val="163"/>
      <scheme val="minor"/>
    </font>
    <font>
      <b/>
      <sz val="13"/>
      <color theme="3"/>
      <name val="Aptos Narrow"/>
      <family val="2"/>
      <charset val="163"/>
      <scheme val="minor"/>
    </font>
    <font>
      <b/>
      <sz val="11"/>
      <color theme="3"/>
      <name val="Aptos Narrow"/>
      <family val="2"/>
      <charset val="163"/>
      <scheme val="minor"/>
    </font>
    <font>
      <sz val="11"/>
      <color rgb="FF006100"/>
      <name val="Aptos Narrow"/>
      <family val="2"/>
      <charset val="163"/>
      <scheme val="minor"/>
    </font>
    <font>
      <sz val="11"/>
      <color rgb="FF9C0006"/>
      <name val="Aptos Narrow"/>
      <family val="2"/>
      <charset val="163"/>
      <scheme val="minor"/>
    </font>
    <font>
      <sz val="11"/>
      <color rgb="FF9C5700"/>
      <name val="Aptos Narrow"/>
      <family val="2"/>
      <charset val="163"/>
      <scheme val="minor"/>
    </font>
    <font>
      <sz val="11"/>
      <color rgb="FF3F3F76"/>
      <name val="Aptos Narrow"/>
      <family val="2"/>
      <charset val="163"/>
      <scheme val="minor"/>
    </font>
    <font>
      <b/>
      <sz val="11"/>
      <color rgb="FF3F3F3F"/>
      <name val="Aptos Narrow"/>
      <family val="2"/>
      <charset val="163"/>
      <scheme val="minor"/>
    </font>
    <font>
      <b/>
      <sz val="11"/>
      <color rgb="FFFA7D00"/>
      <name val="Aptos Narrow"/>
      <family val="2"/>
      <charset val="163"/>
      <scheme val="minor"/>
    </font>
    <font>
      <sz val="11"/>
      <color rgb="FFFA7D00"/>
      <name val="Aptos Narrow"/>
      <family val="2"/>
      <charset val="163"/>
      <scheme val="minor"/>
    </font>
    <font>
      <b/>
      <sz val="11"/>
      <color theme="0"/>
      <name val="Aptos Narrow"/>
      <family val="2"/>
      <charset val="163"/>
      <scheme val="minor"/>
    </font>
    <font>
      <sz val="11"/>
      <color rgb="FFFF0000"/>
      <name val="Aptos Narrow"/>
      <family val="2"/>
      <charset val="163"/>
      <scheme val="minor"/>
    </font>
    <font>
      <i/>
      <sz val="11"/>
      <color rgb="FF7F7F7F"/>
      <name val="Aptos Narrow"/>
      <family val="2"/>
      <charset val="163"/>
      <scheme val="minor"/>
    </font>
    <font>
      <b/>
      <sz val="11"/>
      <color theme="1"/>
      <name val="Aptos Narrow"/>
      <family val="2"/>
      <charset val="163"/>
      <scheme val="minor"/>
    </font>
    <font>
      <sz val="11"/>
      <color theme="0"/>
      <name val="Aptos Narrow"/>
      <family val="2"/>
      <charset val="163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0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2"/>
      <color rgb="FF000000"/>
      <name val="Times New Roman"/>
      <family val="1"/>
    </font>
    <font>
      <b/>
      <sz val="11"/>
      <color theme="1"/>
      <name val="Aptos Narrow"/>
      <family val="2"/>
      <scheme val="minor"/>
    </font>
    <font>
      <sz val="11"/>
      <color theme="1"/>
      <name val="Times New Roman"/>
      <family val="1"/>
    </font>
    <font>
      <sz val="12"/>
      <name val=".VnTime"/>
      <family val="2"/>
    </font>
    <font>
      <b/>
      <sz val="16"/>
      <name val="Times New Roman"/>
      <family val="1"/>
    </font>
    <font>
      <b/>
      <i/>
      <sz val="10"/>
      <color indexed="10"/>
      <name val="Times New Roman"/>
      <family val="1"/>
    </font>
    <font>
      <b/>
      <sz val="8"/>
      <name val="Times New Roman"/>
      <family val="1"/>
    </font>
    <font>
      <sz val="12"/>
      <name val="Times New Roman"/>
      <family val="1"/>
    </font>
    <font>
      <b/>
      <sz val="12"/>
      <color indexed="12"/>
      <name val="Times New Roman"/>
      <family val="1"/>
    </font>
    <font>
      <b/>
      <sz val="11"/>
      <color theme="6" tint="-0.499984740745262"/>
      <name val="Times New Roman"/>
      <family val="1"/>
    </font>
    <font>
      <b/>
      <sz val="11"/>
      <color rgb="FFC00000"/>
      <name val="Times New Roman"/>
      <family val="1"/>
    </font>
    <font>
      <b/>
      <i/>
      <sz val="12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2"/>
      <color rgb="FF000000"/>
      <name val="Times New Roman"/>
      <family val="1"/>
    </font>
    <font>
      <sz val="10"/>
      <color rgb="FFFF0000"/>
      <name val="Times New Roman"/>
      <family val="1"/>
    </font>
    <font>
      <i/>
      <sz val="11"/>
      <name val="Times New Roman"/>
      <family val="1"/>
    </font>
    <font>
      <sz val="12"/>
      <color rgb="FFFF000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ptos Narrow"/>
      <family val="2"/>
      <charset val="163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41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6" fillId="0" borderId="0"/>
    <xf numFmtId="167" fontId="1" fillId="0" borderId="0" applyFont="0" applyFill="0" applyBorder="0" applyAlignment="0" applyProtection="0"/>
  </cellStyleXfs>
  <cellXfs count="108">
    <xf numFmtId="0" fontId="0" fillId="0" borderId="0" xfId="0"/>
    <xf numFmtId="49" fontId="18" fillId="0" borderId="10" xfId="0" applyNumberFormat="1" applyFont="1" applyBorder="1" applyAlignment="1">
      <alignment horizontal="center" wrapText="1"/>
    </xf>
    <xf numFmtId="0" fontId="23" fillId="35" borderId="0" xfId="43" applyFont="1" applyFill="1" applyAlignment="1">
      <alignment vertical="center"/>
    </xf>
    <xf numFmtId="0" fontId="22" fillId="34" borderId="0" xfId="43" applyFont="1" applyFill="1" applyAlignment="1">
      <alignment horizontal="center" vertical="center"/>
    </xf>
    <xf numFmtId="49" fontId="18" fillId="0" borderId="13" xfId="0" applyNumberFormat="1" applyFont="1" applyBorder="1" applyAlignment="1">
      <alignment horizontal="center" wrapText="1"/>
    </xf>
    <xf numFmtId="0" fontId="20" fillId="33" borderId="16" xfId="43" applyFont="1" applyFill="1" applyBorder="1" applyAlignment="1">
      <alignment horizontal="center" vertical="center"/>
    </xf>
    <xf numFmtId="0" fontId="20" fillId="33" borderId="17" xfId="43" applyFont="1" applyFill="1" applyBorder="1" applyAlignment="1">
      <alignment horizontal="center" vertical="center"/>
    </xf>
    <xf numFmtId="0" fontId="21" fillId="33" borderId="17" xfId="43" applyFont="1" applyFill="1" applyBorder="1" applyAlignment="1">
      <alignment horizontal="center" vertical="center"/>
    </xf>
    <xf numFmtId="0" fontId="21" fillId="33" borderId="15" xfId="43" applyFont="1" applyFill="1" applyBorder="1" applyAlignment="1">
      <alignment horizontal="center" vertical="center"/>
    </xf>
    <xf numFmtId="0" fontId="21" fillId="33" borderId="15" xfId="43" applyFont="1" applyFill="1" applyBorder="1" applyAlignment="1">
      <alignment horizontal="center" vertical="center" wrapText="1"/>
    </xf>
    <xf numFmtId="164" fontId="0" fillId="0" borderId="0" xfId="0" applyNumberFormat="1"/>
    <xf numFmtId="164" fontId="21" fillId="33" borderId="15" xfId="43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19" fillId="0" borderId="13" xfId="0" applyNumberFormat="1" applyFont="1" applyBorder="1" applyAlignment="1">
      <alignment horizontal="center" vertical="center" wrapText="1"/>
    </xf>
    <xf numFmtId="49" fontId="19" fillId="0" borderId="10" xfId="0" applyNumberFormat="1" applyFont="1" applyBorder="1" applyAlignment="1">
      <alignment horizontal="center" vertical="center" wrapText="1"/>
    </xf>
    <xf numFmtId="49" fontId="19" fillId="0" borderId="14" xfId="0" applyNumberFormat="1" applyFont="1" applyBorder="1" applyAlignment="1">
      <alignment horizontal="center" vertical="center" wrapText="1"/>
    </xf>
    <xf numFmtId="164" fontId="19" fillId="0" borderId="0" xfId="0" applyNumberFormat="1" applyFont="1" applyAlignment="1">
      <alignment horizontal="center" vertical="center" wrapText="1"/>
    </xf>
    <xf numFmtId="0" fontId="0" fillId="0" borderId="0" xfId="0" applyAlignment="1">
      <alignment vertical="center"/>
    </xf>
    <xf numFmtId="0" fontId="24" fillId="37" borderId="0" xfId="0" applyFont="1" applyFill="1" applyAlignment="1">
      <alignment horizontal="center" vertical="center"/>
    </xf>
    <xf numFmtId="165" fontId="0" fillId="0" borderId="0" xfId="0" applyNumberFormat="1"/>
    <xf numFmtId="165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24" fillId="37" borderId="0" xfId="0" applyFont="1" applyFill="1"/>
    <xf numFmtId="41" fontId="0" fillId="0" borderId="0" xfId="1" applyFont="1"/>
    <xf numFmtId="41" fontId="0" fillId="0" borderId="0" xfId="1" applyFont="1" applyAlignment="1">
      <alignment horizontal="center" vertical="center" wrapText="1"/>
    </xf>
    <xf numFmtId="41" fontId="0" fillId="0" borderId="0" xfId="1" applyFont="1" applyAlignment="1">
      <alignment horizontal="center" vertical="center"/>
    </xf>
    <xf numFmtId="41" fontId="0" fillId="0" borderId="0" xfId="1" applyFont="1" applyAlignment="1">
      <alignment horizontal="left" vertical="center"/>
    </xf>
    <xf numFmtId="0" fontId="25" fillId="0" borderId="0" xfId="43" applyFont="1" applyProtection="1">
      <protection locked="0"/>
    </xf>
    <xf numFmtId="0" fontId="27" fillId="0" borderId="0" xfId="45" applyFont="1" applyAlignment="1">
      <alignment vertical="center"/>
    </xf>
    <xf numFmtId="0" fontId="27" fillId="0" borderId="0" xfId="45" applyFont="1" applyAlignment="1">
      <alignment horizontal="center" vertical="center"/>
    </xf>
    <xf numFmtId="168" fontId="25" fillId="0" borderId="0" xfId="46" applyNumberFormat="1" applyFont="1" applyProtection="1">
      <protection locked="0"/>
    </xf>
    <xf numFmtId="0" fontId="29" fillId="0" borderId="0" xfId="45" applyFont="1" applyAlignment="1">
      <alignment horizontal="center" vertical="center" wrapText="1"/>
    </xf>
    <xf numFmtId="0" fontId="30" fillId="0" borderId="0" xfId="45" applyFont="1" applyAlignment="1">
      <alignment horizontal="center" vertical="center"/>
    </xf>
    <xf numFmtId="166" fontId="31" fillId="0" borderId="0" xfId="45" applyNumberFormat="1" applyFont="1" applyAlignment="1">
      <alignment horizontal="center" vertical="center"/>
    </xf>
    <xf numFmtId="166" fontId="32" fillId="0" borderId="0" xfId="45" applyNumberFormat="1" applyFont="1" applyAlignment="1">
      <alignment horizontal="center" vertical="center"/>
    </xf>
    <xf numFmtId="166" fontId="34" fillId="0" borderId="0" xfId="45" applyNumberFormat="1" applyFont="1" applyAlignment="1">
      <alignment horizontal="center" vertical="center"/>
    </xf>
    <xf numFmtId="0" fontId="35" fillId="0" borderId="0" xfId="45" applyFont="1" applyAlignment="1">
      <alignment horizontal="center" vertical="center"/>
    </xf>
    <xf numFmtId="170" fontId="20" fillId="39" borderId="19" xfId="45" applyNumberFormat="1" applyFont="1" applyFill="1" applyBorder="1" applyAlignment="1">
      <alignment horizontal="center" vertical="center"/>
    </xf>
    <xf numFmtId="171" fontId="29" fillId="33" borderId="19" xfId="45" applyNumberFormat="1" applyFont="1" applyFill="1" applyBorder="1" applyAlignment="1">
      <alignment horizontal="center" vertical="center" textRotation="90"/>
    </xf>
    <xf numFmtId="171" fontId="29" fillId="33" borderId="19" xfId="45" applyNumberFormat="1" applyFont="1" applyFill="1" applyBorder="1" applyAlignment="1">
      <alignment horizontal="center" vertical="center" textRotation="90" wrapText="1"/>
    </xf>
    <xf numFmtId="0" fontId="21" fillId="39" borderId="21" xfId="43" applyFont="1" applyFill="1" applyBorder="1" applyAlignment="1">
      <alignment vertical="center"/>
    </xf>
    <xf numFmtId="171" fontId="20" fillId="39" borderId="21" xfId="45" applyNumberFormat="1" applyFont="1" applyFill="1" applyBorder="1" applyAlignment="1">
      <alignment vertical="center" textRotation="90"/>
    </xf>
    <xf numFmtId="171" fontId="20" fillId="39" borderId="22" xfId="45" applyNumberFormat="1" applyFont="1" applyFill="1" applyBorder="1" applyAlignment="1">
      <alignment vertical="center" textRotation="90"/>
    </xf>
    <xf numFmtId="171" fontId="20" fillId="39" borderId="23" xfId="45" applyNumberFormat="1" applyFont="1" applyFill="1" applyBorder="1" applyAlignment="1">
      <alignment vertical="center" textRotation="90"/>
    </xf>
    <xf numFmtId="0" fontId="25" fillId="39" borderId="19" xfId="43" applyFont="1" applyFill="1" applyBorder="1" applyProtection="1">
      <protection locked="0"/>
    </xf>
    <xf numFmtId="168" fontId="25" fillId="39" borderId="19" xfId="46" applyNumberFormat="1" applyFont="1" applyFill="1" applyBorder="1" applyProtection="1">
      <protection locked="0"/>
    </xf>
    <xf numFmtId="0" fontId="22" fillId="34" borderId="19" xfId="43" applyFont="1" applyFill="1" applyBorder="1" applyAlignment="1">
      <alignment horizontal="center" vertical="center"/>
    </xf>
    <xf numFmtId="0" fontId="23" fillId="35" borderId="19" xfId="43" applyFont="1" applyFill="1" applyBorder="1" applyAlignment="1">
      <alignment vertical="center"/>
    </xf>
    <xf numFmtId="0" fontId="36" fillId="0" borderId="19" xfId="43" applyFont="1" applyBorder="1" applyAlignment="1">
      <alignment horizontal="center" vertical="center"/>
    </xf>
    <xf numFmtId="0" fontId="37" fillId="34" borderId="19" xfId="43" applyFont="1" applyFill="1" applyBorder="1" applyAlignment="1">
      <alignment horizontal="center" vertical="center"/>
    </xf>
    <xf numFmtId="172" fontId="25" fillId="34" borderId="19" xfId="44" applyNumberFormat="1" applyFont="1" applyFill="1" applyBorder="1" applyProtection="1">
      <protection locked="0"/>
    </xf>
    <xf numFmtId="0" fontId="25" fillId="0" borderId="19" xfId="43" applyFont="1" applyBorder="1" applyProtection="1">
      <protection locked="0"/>
    </xf>
    <xf numFmtId="0" fontId="25" fillId="34" borderId="19" xfId="43" applyFont="1" applyFill="1" applyBorder="1" applyProtection="1">
      <protection locked="0"/>
    </xf>
    <xf numFmtId="168" fontId="37" fillId="34" borderId="19" xfId="46" applyNumberFormat="1" applyFont="1" applyFill="1" applyBorder="1" applyAlignment="1">
      <alignment horizontal="center" vertical="center"/>
    </xf>
    <xf numFmtId="0" fontId="22" fillId="39" borderId="19" xfId="43" applyFont="1" applyFill="1" applyBorder="1" applyAlignment="1">
      <alignment horizontal="center" vertical="center"/>
    </xf>
    <xf numFmtId="0" fontId="38" fillId="39" borderId="19" xfId="43" applyFont="1" applyFill="1" applyBorder="1" applyAlignment="1">
      <alignment vertical="center"/>
    </xf>
    <xf numFmtId="49" fontId="36" fillId="39" borderId="22" xfId="43" applyNumberFormat="1" applyFont="1" applyFill="1" applyBorder="1" applyAlignment="1">
      <alignment vertical="center"/>
    </xf>
    <xf numFmtId="0" fontId="36" fillId="39" borderId="22" xfId="43" applyFont="1" applyFill="1" applyBorder="1" applyAlignment="1">
      <alignment horizontal="center" vertical="center"/>
    </xf>
    <xf numFmtId="0" fontId="36" fillId="39" borderId="23" xfId="43" applyFont="1" applyFill="1" applyBorder="1" applyAlignment="1">
      <alignment horizontal="center" vertical="center"/>
    </xf>
    <xf numFmtId="173" fontId="30" fillId="34" borderId="19" xfId="43" applyNumberFormat="1" applyFont="1" applyFill="1" applyBorder="1" applyAlignment="1">
      <alignment horizontal="left" vertical="center"/>
    </xf>
    <xf numFmtId="0" fontId="36" fillId="0" borderId="19" xfId="43" applyFont="1" applyBorder="1" applyProtection="1">
      <protection locked="0"/>
    </xf>
    <xf numFmtId="0" fontId="23" fillId="35" borderId="21" xfId="43" applyFont="1" applyFill="1" applyBorder="1" applyAlignment="1">
      <alignment vertical="center"/>
    </xf>
    <xf numFmtId="0" fontId="36" fillId="39" borderId="21" xfId="43" applyFont="1" applyFill="1" applyBorder="1" applyAlignment="1">
      <alignment horizontal="center" vertical="center"/>
    </xf>
    <xf numFmtId="168" fontId="36" fillId="39" borderId="23" xfId="46" applyNumberFormat="1" applyFont="1" applyFill="1" applyBorder="1" applyAlignment="1">
      <alignment horizontal="center" vertical="center"/>
    </xf>
    <xf numFmtId="0" fontId="22" fillId="0" borderId="19" xfId="43" applyFont="1" applyBorder="1" applyAlignment="1">
      <alignment horizontal="center" vertical="center"/>
    </xf>
    <xf numFmtId="173" fontId="36" fillId="0" borderId="19" xfId="43" applyNumberFormat="1" applyFont="1" applyBorder="1" applyAlignment="1">
      <alignment horizontal="left" vertical="center"/>
    </xf>
    <xf numFmtId="49" fontId="36" fillId="0" borderId="19" xfId="43" applyNumberFormat="1" applyFont="1" applyBorder="1" applyAlignment="1">
      <alignment horizontal="center" vertical="center"/>
    </xf>
    <xf numFmtId="0" fontId="37" fillId="0" borderId="19" xfId="43" applyFont="1" applyBorder="1" applyAlignment="1">
      <alignment horizontal="center" vertical="center"/>
    </xf>
    <xf numFmtId="168" fontId="37" fillId="0" borderId="19" xfId="46" applyNumberFormat="1" applyFont="1" applyFill="1" applyBorder="1" applyAlignment="1">
      <alignment horizontal="center" vertical="center"/>
    </xf>
    <xf numFmtId="0" fontId="22" fillId="0" borderId="0" xfId="43" applyFont="1" applyAlignment="1">
      <alignment horizontal="center" vertical="center"/>
    </xf>
    <xf numFmtId="0" fontId="30" fillId="0" borderId="0" xfId="43" applyFont="1" applyAlignment="1">
      <alignment horizontal="center" vertical="center"/>
    </xf>
    <xf numFmtId="0" fontId="30" fillId="0" borderId="0" xfId="43" applyFont="1" applyAlignment="1">
      <alignment horizontal="left" vertical="center"/>
    </xf>
    <xf numFmtId="0" fontId="39" fillId="0" borderId="0" xfId="43" applyFont="1" applyAlignment="1">
      <alignment horizontal="center" vertical="center"/>
    </xf>
    <xf numFmtId="0" fontId="30" fillId="37" borderId="0" xfId="43" applyFont="1" applyFill="1" applyAlignment="1">
      <alignment horizontal="center" vertical="center"/>
    </xf>
    <xf numFmtId="0" fontId="30" fillId="40" borderId="0" xfId="43" applyFont="1" applyFill="1" applyAlignment="1">
      <alignment horizontal="center" vertical="center"/>
    </xf>
    <xf numFmtId="0" fontId="40" fillId="0" borderId="0" xfId="43" applyFont="1" applyAlignment="1">
      <alignment horizontal="center" vertical="center"/>
    </xf>
    <xf numFmtId="0" fontId="41" fillId="0" borderId="0" xfId="43" applyFont="1" applyAlignment="1">
      <alignment horizontal="center" vertical="center"/>
    </xf>
    <xf numFmtId="0" fontId="30" fillId="41" borderId="0" xfId="43" applyFont="1" applyFill="1" applyAlignment="1">
      <alignment horizontal="center" vertical="center"/>
    </xf>
    <xf numFmtId="0" fontId="21" fillId="0" borderId="0" xfId="43" applyFont="1" applyAlignment="1">
      <alignment horizontal="center" vertical="center"/>
    </xf>
    <xf numFmtId="0" fontId="30" fillId="42" borderId="0" xfId="43" applyFont="1" applyFill="1" applyAlignment="1">
      <alignment horizontal="center" vertical="center"/>
    </xf>
    <xf numFmtId="0" fontId="22" fillId="0" borderId="0" xfId="43" applyFont="1" applyAlignment="1">
      <alignment vertical="center"/>
    </xf>
    <xf numFmtId="14" fontId="0" fillId="0" borderId="0" xfId="0" applyNumberFormat="1"/>
    <xf numFmtId="14" fontId="19" fillId="0" borderId="14" xfId="0" applyNumberFormat="1" applyFont="1" applyBorder="1" applyAlignment="1">
      <alignment horizontal="center" vertical="center" wrapText="1"/>
    </xf>
    <xf numFmtId="49" fontId="19" fillId="0" borderId="0" xfId="0" applyNumberFormat="1" applyFont="1" applyAlignment="1">
      <alignment horizontal="center" wrapText="1"/>
    </xf>
    <xf numFmtId="0" fontId="18" fillId="0" borderId="0" xfId="0" applyFont="1" applyAlignment="1">
      <alignment horizontal="center" wrapText="1"/>
    </xf>
    <xf numFmtId="49" fontId="19" fillId="0" borderId="11" xfId="0" applyNumberFormat="1" applyFont="1" applyBorder="1" applyAlignment="1">
      <alignment horizontal="centerContinuous" wrapText="1"/>
    </xf>
    <xf numFmtId="49" fontId="19" fillId="0" borderId="12" xfId="0" applyNumberFormat="1" applyFont="1" applyBorder="1" applyAlignment="1">
      <alignment horizontal="centerContinuous" wrapText="1"/>
    </xf>
    <xf numFmtId="49" fontId="19" fillId="0" borderId="13" xfId="0" applyNumberFormat="1" applyFont="1" applyBorder="1" applyAlignment="1">
      <alignment horizontal="centerContinuous" wrapText="1"/>
    </xf>
    <xf numFmtId="14" fontId="21" fillId="33" borderId="15" xfId="43" applyNumberFormat="1" applyFont="1" applyFill="1" applyBorder="1" applyAlignment="1">
      <alignment horizontal="center" vertical="center"/>
    </xf>
    <xf numFmtId="49" fontId="0" fillId="0" borderId="0" xfId="0" applyNumberFormat="1"/>
    <xf numFmtId="174" fontId="37" fillId="34" borderId="19" xfId="1" applyNumberFormat="1" applyFont="1" applyFill="1" applyBorder="1" applyAlignment="1">
      <alignment horizontal="center" vertical="center"/>
    </xf>
    <xf numFmtId="174" fontId="36" fillId="39" borderId="22" xfId="1" applyNumberFormat="1" applyFont="1" applyFill="1" applyBorder="1" applyAlignment="1">
      <alignment vertical="center"/>
    </xf>
    <xf numFmtId="174" fontId="36" fillId="39" borderId="23" xfId="1" applyNumberFormat="1" applyFont="1" applyFill="1" applyBorder="1" applyAlignment="1">
      <alignment horizontal="center" vertical="center"/>
    </xf>
    <xf numFmtId="174" fontId="25" fillId="34" borderId="19" xfId="1" applyNumberFormat="1" applyFont="1" applyFill="1" applyBorder="1" applyProtection="1">
      <protection locked="0"/>
    </xf>
    <xf numFmtId="0" fontId="0" fillId="43" borderId="0" xfId="0" applyFill="1"/>
    <xf numFmtId="0" fontId="0" fillId="36" borderId="0" xfId="0" applyFill="1" applyAlignment="1">
      <alignment horizontal="center" vertical="center"/>
    </xf>
    <xf numFmtId="0" fontId="20" fillId="33" borderId="19" xfId="43" applyFont="1" applyFill="1" applyBorder="1" applyAlignment="1">
      <alignment horizontal="center" vertical="center"/>
    </xf>
    <xf numFmtId="0" fontId="21" fillId="33" borderId="19" xfId="43" applyFont="1" applyFill="1" applyBorder="1" applyAlignment="1">
      <alignment horizontal="center" vertical="center"/>
    </xf>
    <xf numFmtId="0" fontId="20" fillId="33" borderId="19" xfId="45" applyFont="1" applyFill="1" applyBorder="1" applyAlignment="1">
      <alignment horizontal="center" vertical="center" wrapText="1"/>
    </xf>
    <xf numFmtId="168" fontId="20" fillId="33" borderId="19" xfId="46" applyNumberFormat="1" applyFont="1" applyFill="1" applyBorder="1" applyAlignment="1">
      <alignment horizontal="center" vertical="center" wrapText="1"/>
    </xf>
    <xf numFmtId="0" fontId="21" fillId="0" borderId="0" xfId="43" applyFont="1" applyAlignment="1">
      <alignment horizontal="center" vertical="center"/>
    </xf>
    <xf numFmtId="0" fontId="27" fillId="0" borderId="0" xfId="45" applyFont="1" applyAlignment="1">
      <alignment horizontal="center" vertical="center"/>
    </xf>
    <xf numFmtId="166" fontId="28" fillId="0" borderId="0" xfId="45" applyNumberFormat="1" applyFont="1" applyAlignment="1" applyProtection="1">
      <alignment horizontal="center" vertical="center"/>
      <protection locked="0"/>
    </xf>
    <xf numFmtId="169" fontId="33" fillId="38" borderId="18" xfId="45" applyNumberFormat="1" applyFont="1" applyFill="1" applyBorder="1" applyAlignment="1">
      <alignment horizontal="center" vertical="center"/>
    </xf>
    <xf numFmtId="0" fontId="33" fillId="38" borderId="18" xfId="45" applyFont="1" applyFill="1" applyBorder="1" applyAlignment="1">
      <alignment horizontal="center" vertical="center"/>
    </xf>
    <xf numFmtId="0" fontId="20" fillId="33" borderId="20" xfId="45" applyFont="1" applyFill="1" applyBorder="1" applyAlignment="1">
      <alignment horizontal="center" vertical="center" wrapText="1"/>
    </xf>
    <xf numFmtId="0" fontId="20" fillId="33" borderId="15" xfId="45" applyFont="1" applyFill="1" applyBorder="1" applyAlignment="1">
      <alignment horizontal="center" vertical="center" wrapText="1"/>
    </xf>
  </cellXfs>
  <cellStyles count="47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omma" xfId="44" builtinId="3"/>
    <cellStyle name="Comma [0]" xfId="1" builtinId="6"/>
    <cellStyle name="Comma 2" xfId="46" xr:uid="{F4903D79-8FEF-4B64-B795-FB367CEC1492}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552D2B0E-6E92-4F9B-B04C-B4F7E087AD95}"/>
    <cellStyle name="Normal_Bang cham cong tu dong" xfId="45" xr:uid="{092D5859-F51C-4368-A877-2CA01CD2A76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83"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theme="3" tint="0.499984740745262"/>
        </patternFill>
      </fill>
    </dxf>
    <dxf>
      <fill>
        <patternFill>
          <bgColor theme="9" tint="0.39994506668294322"/>
        </patternFill>
      </fill>
    </dxf>
    <dxf>
      <font>
        <condense val="0"/>
        <extend val="0"/>
        <color indexed="13"/>
      </font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9" formatCode="dd/mm/yyyy"/>
    </dxf>
    <dxf>
      <numFmt numFmtId="164" formatCode="[$-F400]h:mm:ss\ AM/PM"/>
    </dxf>
    <dxf>
      <numFmt numFmtId="164" formatCode="[$-F400]h:mm:ss\ AM/PM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fill>
        <patternFill patternType="solid">
          <fgColor indexed="64"/>
          <bgColor rgb="FFFFFFFF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fill>
        <patternFill patternType="solid">
          <fgColor indexed="64"/>
          <bgColor rgb="FFFFFFFF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left style="thin">
          <color indexed="64"/>
        </left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33" formatCode="_ * #,##0_)_ ;_ * \(#,##0\)_ ;_ * &quot;-&quot;_)_ ;_ @_ "/>
      <alignment horizontal="left" vertical="center" textRotation="0" wrapText="0" indent="0" justifyLastLine="0" shrinkToFit="0" readingOrder="0"/>
    </dxf>
    <dxf>
      <numFmt numFmtId="33" formatCode="_ * #,##0_)_ ;_ * \(#,##0\)_ ;_ * &quot;-&quot;_)_ ;_ @_ "/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</dxf>
    <dxf>
      <numFmt numFmtId="164" formatCode="[$-F400]h:mm:ss\ AM/PM"/>
    </dxf>
    <dxf>
      <numFmt numFmtId="164" formatCode="[$-F400]h:mm:ss\ AM/PM"/>
    </dxf>
    <dxf>
      <numFmt numFmtId="164" formatCode="[$-F400]h:mm:ss\ AM/PM"/>
    </dxf>
    <dxf>
      <numFmt numFmtId="164" formatCode="[$-F400]h:mm:ss\ AM/PM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0" formatCode="General"/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</border>
    </dxf>
    <dxf>
      <alignment vertical="center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161925</xdr:colOff>
      <xdr:row>2</xdr:row>
      <xdr:rowOff>0</xdr:rowOff>
    </xdr:from>
    <xdr:to>
      <xdr:col>11</xdr:col>
      <xdr:colOff>161925</xdr:colOff>
      <xdr:row>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ShapeType="1"/>
        </xdr:cNvSpPr>
      </xdr:nvSpPr>
      <xdr:spPr bwMode="auto">
        <a:xfrm>
          <a:off x="6276975" y="44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247650</xdr:colOff>
          <xdr:row>0</xdr:row>
          <xdr:rowOff>0</xdr:rowOff>
        </xdr:from>
        <xdr:to>
          <xdr:col>15</xdr:col>
          <xdr:colOff>161925</xdr:colOff>
          <xdr:row>35</xdr:row>
          <xdr:rowOff>114300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3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9A43026-D252-46B6-9151-EA5C431A7DB4}" name="Table2" displayName="Table2" ref="A2:AI152" totalsRowShown="0" headerRowDxfId="82" tableBorderDxfId="81">
  <autoFilter ref="A2:AI152" xr:uid="{69A43026-D252-46B6-9151-EA5C431A7DB4}"/>
  <tableColumns count="35">
    <tableColumn id="1" xr3:uid="{BB862E94-C28F-4202-A621-40CFD1070CFA}" name="ID Người" dataDxfId="80"/>
    <tableColumn id="2" xr3:uid="{0BD185FF-77E1-4FFD-90C2-2CAD54BCCEF6}" name="Tên" dataDxfId="79"/>
    <tableColumn id="3" xr3:uid="{7713A2DA-4EF2-4F49-B49C-F7F9116AB2A8}" name="Bộ phận" dataDxfId="78"/>
    <tableColumn id="4" xr3:uid="{AB804768-7FB4-4892-8F40-F878885FC882}" name="Ngày" dataDxfId="77"/>
    <tableColumn id="5" xr3:uid="{2A23F28F-099B-4404-BE8C-5104EBF9DF0C}" name="Ca làm việc" dataDxfId="76"/>
    <tableColumn id="6" xr3:uid="{F43AB9EB-BC5B-4285-9C21-EFF01B60A422}" name="Thời gian biểu" dataDxfId="75"/>
    <tableColumn id="7" xr3:uid="{C0B8F5DB-8B7E-4F09-8592-4B463E0E518F}" name="Tình trạng chuyên cần" dataDxfId="74"/>
    <tableColumn id="8" xr3:uid="{6DA7A686-5E43-40A2-BE72-2932A61E0FE1}" name="Vào" dataDxfId="73"/>
    <tableColumn id="9" xr3:uid="{17274890-B857-4B21-9267-1EF4A26C3EA5}" name="Ra" dataDxfId="72"/>
    <tableColumn id="10" xr3:uid="{47401314-554B-4DFE-B561-D087A47DE836}" name="Muộn" dataDxfId="71"/>
    <tableColumn id="11" xr3:uid="{419444D8-FC33-4147-B971-94EF7048353C}" name="Đã tham dự" dataDxfId="70"/>
    <tableColumn id="12" xr3:uid="{11A31409-40B6-4D08-8E97-E4C8C9F7A68B}" name="Vắng mặt" dataDxfId="69"/>
    <tableColumn id="13" xr3:uid="{2006D5F9-2030-43E9-91E4-C95812D11967}" name="Đã làm việc" dataDxfId="68"/>
    <tableColumn id="14" xr3:uid="{E847D8B6-718A-44E7-AB94-04F489448C8F}" name="Thoát" dataDxfId="67"/>
    <tableColumn id="15" xr3:uid="{93A23DDC-0254-4173-8DD2-AFACD9554760}" name="Tăng ca 1" dataDxfId="66"/>
    <tableColumn id="16" xr3:uid="{5CABDF8B-C4BF-47DA-A98E-CB8493E06BF2}" name="Tăng ca 2" dataDxfId="65"/>
    <tableColumn id="17" xr3:uid="{60F7EDAD-4124-402C-ABAA-BF050EE0728F}" name="Tăng ca 3" dataDxfId="64"/>
    <tableColumn id="37" xr3:uid="{ABDFDDF8-D8FE-4E6D-BAC7-5E93C5C66A83}" name="Mã Do công" dataDxfId="63">
      <calculatedColumnFormula>A3&amp;U3</calculatedColumnFormula>
    </tableColumn>
    <tableColumn id="18" xr3:uid="{5F88F8DA-884B-4E1B-8CEE-3491F9CEA8AC}" name="Tên nhân viên">
      <calculatedColumnFormula>VLOOKUP(A3,Data_NV!$A:$C,3,0)</calculatedColumnFormula>
    </tableColumn>
    <tableColumn id="19" xr3:uid="{463115AE-AA69-45E0-A35E-9A45BB7EA09A}" name="Bộ phận2">
      <calculatedColumnFormula>VLOOKUP(A3,Data_NV!$A:$E,4,0)</calculatedColumnFormula>
    </tableColumn>
    <tableColumn id="35" xr3:uid="{4012BD37-1D14-4FEA-8F32-F32DE1DEAFC5}" name="Ngày chấm công" dataDxfId="62">
      <calculatedColumnFormula>DATEVALUE(Table2[[#This Row],[Ngày]])</calculatedColumnFormula>
    </tableColumn>
    <tableColumn id="20" xr3:uid="{379046A5-F4B1-45EE-9D42-C0A2F1531BCD}" name="Trạng thái">
      <calculatedColumnFormula>VLOOKUP(A3,Data_NV!$A:$E,5,0)</calculatedColumnFormula>
    </tableColumn>
    <tableColumn id="23" xr3:uid="{E11D05B9-0EBF-40D2-8789-8D2A1D146AE1}" name="Giờ vào HC" dataDxfId="61">
      <calculatedColumnFormula>VLOOKUP(A3,Data_NV!$A:$I,8,0)</calculatedColumnFormula>
    </tableColumn>
    <tableColumn id="24" xr3:uid="{627170BD-CC2C-48AF-A3B9-00FA26225659}" name="Giờ ra HC" dataDxfId="60">
      <calculatedColumnFormula>VLOOKUP(A3,Data_NV!$A:$I,9,0)</calculatedColumnFormula>
    </tableColumn>
    <tableColumn id="26" xr3:uid="{6E17ECA6-D272-46EA-8FAB-08A65E856033}" name="Giờ vao TT" dataDxfId="59">
      <calculatedColumnFormula>IFERROR(TIMEVALUE(Table2[[#This Row],[Vào]]),0)</calculatedColumnFormula>
    </tableColumn>
    <tableColumn id="25" xr3:uid="{DEDA3888-B791-4991-A8F4-D1FC97E08C92}" name="Giờ ra TT" dataDxfId="58">
      <calculatedColumnFormula>IFERROR(TIMEVALUE(Table2[[#This Row],[Ra]]),0)</calculatedColumnFormula>
    </tableColumn>
    <tableColumn id="21" xr3:uid="{8E55B1CA-63B8-4C1A-AE21-23A9610978AA}" name="Ngày công" dataDxfId="57">
      <calculatedColumnFormula>IF(TEXT($U3,"ddd")="CN","Chủ nhật",IF(OR(AND(Y3=0,Z3=0),AG3="Không chấm công do vi phạm quá 3 lần"),"",IF(OR(AG3="Trừ 1/2 ngày lương",AF3="Trừ 1/2 ngày lương",AB3&gt;=60),"1/2","x")))</calculatedColumnFormula>
    </tableColumn>
    <tableColumn id="22" xr3:uid="{47ED9F82-8B86-43A9-B0EE-B7D8C8499D70}" name="Muộn (Phút)" dataDxfId="56">
      <calculatedColumnFormula>IF(Y3&lt;=W3,0,ROUNDDOWN((Y3-W3)*24*60,0))</calculatedColumnFormula>
    </tableColumn>
    <tableColumn id="29" xr3:uid="{8A5F5DF0-E736-47CA-92D0-F490B81162C6}" name="Châm công" dataDxfId="55">
      <calculatedColumnFormula>IF(VLOOKUP(A3,Data_NV!$A:$I,7,0)="Không","",IF(OR(AND(Y3=0,Z3=0),AND(Y3&lt;&gt;0,Z3&lt;&gt;0)),"","Quên chấm công"))</calculatedColumnFormula>
    </tableColumn>
    <tableColumn id="28" xr3:uid="{6DB0A2FA-0148-4DB3-B7B2-A28D7B6BA95C}" name="Về sớm" dataDxfId="54">
      <calculatedColumnFormula>IF(VLOOKUP(A3,Data_NV!$A:$I,7,0)="Không",0,IF(AND(Y3=0,Z3=0),0,IF(X3&lt;=Z3,0,ROUNDDOWN((X3-Z3)*24*60,0))))</calculatedColumnFormula>
    </tableColumn>
    <tableColumn id="27" xr3:uid="{1DB9F942-A299-48AA-816A-C32C193E24C8}" name="Tăng ca (phút)" dataDxfId="53">
      <calculatedColumnFormula>IF(VLOOKUP(A3,Data_NV!$A:$I,6,0)="Không",0,IF(Z3&lt;=X3,0,ROUNDDOWN((Z3-X3)*24*60,0)))</calculatedColumnFormula>
    </tableColumn>
    <tableColumn id="30" xr3:uid="{BAB95E75-338D-4971-B92C-A9C2D39ACDD9}" name="Phạt muộn" dataDxfId="52" dataCellStyle="Comma [0]">
      <calculatedColumnFormula>IF(AB3&gt;60,"Trừ 1/2 ngày lương",IF(AB3&gt;15,50000,IF(AB3&gt;6,30000,0)))</calculatedColumnFormula>
    </tableColumn>
    <tableColumn id="34" xr3:uid="{E3CD53FE-A9FD-4C0E-BF1A-5B86AFE89C3B}" name="Phạt Quên chấm công" dataDxfId="51" dataCellStyle="Comma [0]">
      <calculatedColumnFormula>IF(AC3="","",IF(COUNTIFS($AC$3:AC3,"Quên chấm công",$S$3:S3,S3)&gt;3,"Không chấm công do vi phạm quá 3 lần",IF(COUNTIFS($AC$3:AC3,"Quên chấm công",$S$3:S3,S3)&gt;2,"Trừ toàn bộ chuyên cần tháng do vi phạm lần 3",IF(COUNTIFS($AC$3:AC3,"Quên chấm công",$S$3:S3,S3)&gt;1,"Trừ 1/2 ngày lương",50000))))</calculatedColumnFormula>
    </tableColumn>
    <tableColumn id="31" xr3:uid="{79978BF7-3689-4002-A635-9BD7FA4E9260}" name="Trừ lương do vi phạm" dataDxfId="50">
      <calculatedColumnFormula>IF(AF3=0,"",IF(COUNTIFS($AF$3:AF3,"&gt;0",$S$3:S3,S3)&gt;3,"Trừ toàn bộ chuyên cần tháng",""))</calculatedColumnFormula>
    </tableColumn>
    <tableColumn id="32" xr3:uid="{5F69CE8B-BE54-468A-8330-7BCD118B7209}" name="Ghi Chú" dataDxfId="49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DEEB7B5-F328-4E59-B2FC-7BFE65B9EB89}" name="Table1" displayName="Table1" ref="A1:J66" totalsRowShown="0" headerRowDxfId="48" headerRowBorderDxfId="47" tableBorderDxfId="46" headerRowCellStyle="Normal 2">
  <autoFilter ref="A1:J66" xr:uid="{EDEEB7B5-F328-4E59-B2FC-7BFE65B9EB89}"/>
  <tableColumns count="10">
    <tableColumn id="1" xr3:uid="{28B3DE7C-E72E-4CB6-A6A8-D01064BFA6AF}" name="ID" dataDxfId="45" dataCellStyle="Normal 2"/>
    <tableColumn id="2" xr3:uid="{35312885-B972-46CB-B124-B447B2202ADD}" name="STT" dataDxfId="44" dataCellStyle="Normal 2"/>
    <tableColumn id="3" xr3:uid="{34F4AB2D-0732-4B16-803D-4561E99F702C}" name="Họ và Tên " dataDxfId="43" dataCellStyle="Normal 2"/>
    <tableColumn id="4" xr3:uid="{7F2C4F1C-06DA-4D26-B37E-36F2A4BC6626}" name="Bộ phận" dataDxfId="42" dataCellStyle="Normal 2"/>
    <tableColumn id="5" xr3:uid="{3580CA74-BCBB-4337-9BC4-1B0E3967B478}" name="Trạng thái"/>
    <tableColumn id="6" xr3:uid="{5D38C5F6-AF3D-49A9-BF86-500594C48108}" name="Tăng ca"/>
    <tableColumn id="7" xr3:uid="{E1272746-23FE-40AD-B1E2-8007B373B8F0}" name="Chấm vân tay giờ về"/>
    <tableColumn id="8" xr3:uid="{56A759CA-040F-4DC4-9A11-B6ACD506FEE9}" name="Giờ vào HC" dataDxfId="41"/>
    <tableColumn id="9" xr3:uid="{3916B849-A234-487E-8060-FCED5E70F5BC}" name="Giờ Về" dataDxfId="40"/>
    <tableColumn id="10" xr3:uid="{417F2E2A-9AD1-4ECD-8AF3-F50F1C40BBFB}" name="Ngày sinh" dataDxfId="39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12AC3-5426-4EFE-A920-CF2031E89790}">
  <dimension ref="A1:AP56"/>
  <sheetViews>
    <sheetView tabSelected="1" workbookViewId="0">
      <pane xSplit="3" ySplit="4" topLeftCell="D19" activePane="bottomRight" state="frozen"/>
      <selection pane="topRight" activeCell="D1" sqref="D1"/>
      <selection pane="bottomLeft" activeCell="A5" sqref="A5"/>
      <selection pane="bottomRight" activeCell="C40" sqref="C40"/>
    </sheetView>
  </sheetViews>
  <sheetFormatPr defaultRowHeight="15" x14ac:dyDescent="0.25"/>
  <cols>
    <col min="1" max="1" width="3.28515625" bestFit="1" customWidth="1"/>
    <col min="2" max="2" width="4.42578125" bestFit="1" customWidth="1"/>
    <col min="3" max="3" width="23.28515625" bestFit="1" customWidth="1"/>
    <col min="42" max="42" width="11.5703125" bestFit="1" customWidth="1"/>
  </cols>
  <sheetData>
    <row r="1" spans="1:42" ht="20.25" x14ac:dyDescent="0.25">
      <c r="A1" s="28"/>
      <c r="B1" s="29"/>
      <c r="C1" s="102" t="s">
        <v>600</v>
      </c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30"/>
      <c r="AM1" s="30"/>
      <c r="AN1" s="103">
        <f>DATE(U2,R2,1)</f>
        <v>45901</v>
      </c>
      <c r="AO1" s="103"/>
      <c r="AP1" s="31"/>
    </row>
    <row r="2" spans="1:42" ht="15.75" x14ac:dyDescent="0.25">
      <c r="A2" s="28"/>
      <c r="B2" s="32"/>
      <c r="C2" s="32"/>
      <c r="D2" s="32"/>
      <c r="E2" s="32"/>
      <c r="F2" s="33"/>
      <c r="G2" s="33"/>
      <c r="H2" s="33"/>
      <c r="I2" s="33"/>
      <c r="J2" s="33"/>
      <c r="K2" s="33"/>
      <c r="L2" s="33"/>
      <c r="M2" s="33"/>
      <c r="N2" s="34"/>
      <c r="O2" s="33"/>
      <c r="P2" s="28"/>
      <c r="Q2" s="35" t="s">
        <v>601</v>
      </c>
      <c r="R2" s="104">
        <v>9</v>
      </c>
      <c r="S2" s="104"/>
      <c r="T2" s="35" t="s">
        <v>602</v>
      </c>
      <c r="U2" s="105">
        <v>2025</v>
      </c>
      <c r="V2" s="105"/>
      <c r="W2" s="105"/>
      <c r="X2" s="36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28"/>
      <c r="AK2" s="28"/>
      <c r="AL2" s="28"/>
      <c r="AM2" s="28"/>
      <c r="AN2" s="28"/>
      <c r="AO2" s="28"/>
      <c r="AP2" s="31"/>
    </row>
    <row r="3" spans="1:42" x14ac:dyDescent="0.25">
      <c r="A3" s="28"/>
      <c r="B3" s="97" t="s">
        <v>517</v>
      </c>
      <c r="C3" s="98" t="s">
        <v>518</v>
      </c>
      <c r="D3" s="38">
        <f>AN1</f>
        <v>45901</v>
      </c>
      <c r="E3" s="38">
        <f t="shared" ref="E3:T4" si="0">D3+1</f>
        <v>45902</v>
      </c>
      <c r="F3" s="38">
        <f t="shared" si="0"/>
        <v>45903</v>
      </c>
      <c r="G3" s="38">
        <f t="shared" si="0"/>
        <v>45904</v>
      </c>
      <c r="H3" s="38">
        <f t="shared" si="0"/>
        <v>45905</v>
      </c>
      <c r="I3" s="38">
        <f t="shared" si="0"/>
        <v>45906</v>
      </c>
      <c r="J3" s="38">
        <f t="shared" si="0"/>
        <v>45907</v>
      </c>
      <c r="K3" s="38">
        <f t="shared" si="0"/>
        <v>45908</v>
      </c>
      <c r="L3" s="38">
        <f t="shared" si="0"/>
        <v>45909</v>
      </c>
      <c r="M3" s="38">
        <f t="shared" si="0"/>
        <v>45910</v>
      </c>
      <c r="N3" s="38">
        <f t="shared" si="0"/>
        <v>45911</v>
      </c>
      <c r="O3" s="38">
        <f t="shared" si="0"/>
        <v>45912</v>
      </c>
      <c r="P3" s="38">
        <f t="shared" si="0"/>
        <v>45913</v>
      </c>
      <c r="Q3" s="38">
        <f t="shared" si="0"/>
        <v>45914</v>
      </c>
      <c r="R3" s="38">
        <f t="shared" si="0"/>
        <v>45915</v>
      </c>
      <c r="S3" s="38">
        <f t="shared" si="0"/>
        <v>45916</v>
      </c>
      <c r="T3" s="38">
        <f t="shared" si="0"/>
        <v>45917</v>
      </c>
      <c r="U3" s="38">
        <f t="shared" ref="U3:AE4" si="1">T3+1</f>
        <v>45918</v>
      </c>
      <c r="V3" s="38">
        <f t="shared" si="1"/>
        <v>45919</v>
      </c>
      <c r="W3" s="38">
        <f t="shared" si="1"/>
        <v>45920</v>
      </c>
      <c r="X3" s="38">
        <f t="shared" si="1"/>
        <v>45921</v>
      </c>
      <c r="Y3" s="38">
        <f t="shared" si="1"/>
        <v>45922</v>
      </c>
      <c r="Z3" s="38">
        <f t="shared" si="1"/>
        <v>45923</v>
      </c>
      <c r="AA3" s="38">
        <f t="shared" si="1"/>
        <v>45924</v>
      </c>
      <c r="AB3" s="38">
        <f t="shared" si="1"/>
        <v>45925</v>
      </c>
      <c r="AC3" s="38">
        <f t="shared" si="1"/>
        <v>45926</v>
      </c>
      <c r="AD3" s="38">
        <f t="shared" si="1"/>
        <v>45927</v>
      </c>
      <c r="AE3" s="38">
        <f t="shared" si="1"/>
        <v>45928</v>
      </c>
      <c r="AF3" s="38">
        <f t="shared" ref="AF3:AH4" si="2">IF(AE3="","",IF(DAY(AE3+1)=1,"",AE3+1))</f>
        <v>45929</v>
      </c>
      <c r="AG3" s="38">
        <f t="shared" si="2"/>
        <v>45930</v>
      </c>
      <c r="AH3" s="38" t="str">
        <f t="shared" si="2"/>
        <v/>
      </c>
      <c r="AI3" s="99" t="s">
        <v>562</v>
      </c>
      <c r="AJ3" s="99" t="s">
        <v>603</v>
      </c>
      <c r="AK3" s="99" t="s">
        <v>604</v>
      </c>
      <c r="AL3" s="99" t="s">
        <v>605</v>
      </c>
      <c r="AM3" s="106" t="s">
        <v>606</v>
      </c>
      <c r="AN3" s="99" t="s">
        <v>607</v>
      </c>
      <c r="AO3" s="99" t="s">
        <v>608</v>
      </c>
      <c r="AP3" s="100" t="s">
        <v>609</v>
      </c>
    </row>
    <row r="4" spans="1:42" ht="43.5" x14ac:dyDescent="0.25">
      <c r="A4" s="28" t="s">
        <v>519</v>
      </c>
      <c r="B4" s="97"/>
      <c r="C4" s="98"/>
      <c r="D4" s="39">
        <f>AN1</f>
        <v>45901</v>
      </c>
      <c r="E4" s="40">
        <f t="shared" si="0"/>
        <v>45902</v>
      </c>
      <c r="F4" s="40">
        <f>E4+1</f>
        <v>45903</v>
      </c>
      <c r="G4" s="40">
        <f t="shared" si="0"/>
        <v>45904</v>
      </c>
      <c r="H4" s="40">
        <f t="shared" si="0"/>
        <v>45905</v>
      </c>
      <c r="I4" s="40">
        <f t="shared" si="0"/>
        <v>45906</v>
      </c>
      <c r="J4" s="40">
        <f t="shared" si="0"/>
        <v>45907</v>
      </c>
      <c r="K4" s="40">
        <f t="shared" si="0"/>
        <v>45908</v>
      </c>
      <c r="L4" s="40">
        <f t="shared" si="0"/>
        <v>45909</v>
      </c>
      <c r="M4" s="40">
        <f t="shared" si="0"/>
        <v>45910</v>
      </c>
      <c r="N4" s="40">
        <f t="shared" si="0"/>
        <v>45911</v>
      </c>
      <c r="O4" s="40">
        <f t="shared" si="0"/>
        <v>45912</v>
      </c>
      <c r="P4" s="40">
        <f t="shared" si="0"/>
        <v>45913</v>
      </c>
      <c r="Q4" s="40">
        <f t="shared" si="0"/>
        <v>45914</v>
      </c>
      <c r="R4" s="40">
        <f t="shared" si="0"/>
        <v>45915</v>
      </c>
      <c r="S4" s="40">
        <f t="shared" si="0"/>
        <v>45916</v>
      </c>
      <c r="T4" s="40">
        <f t="shared" si="0"/>
        <v>45917</v>
      </c>
      <c r="U4" s="40">
        <f t="shared" si="1"/>
        <v>45918</v>
      </c>
      <c r="V4" s="40">
        <f t="shared" si="1"/>
        <v>45919</v>
      </c>
      <c r="W4" s="40">
        <f t="shared" si="1"/>
        <v>45920</v>
      </c>
      <c r="X4" s="40">
        <f t="shared" si="1"/>
        <v>45921</v>
      </c>
      <c r="Y4" s="40">
        <f t="shared" si="1"/>
        <v>45922</v>
      </c>
      <c r="Z4" s="40">
        <f t="shared" si="1"/>
        <v>45923</v>
      </c>
      <c r="AA4" s="40">
        <f t="shared" si="1"/>
        <v>45924</v>
      </c>
      <c r="AB4" s="40">
        <f t="shared" si="1"/>
        <v>45925</v>
      </c>
      <c r="AC4" s="40">
        <f t="shared" si="1"/>
        <v>45926</v>
      </c>
      <c r="AD4" s="40">
        <f t="shared" si="1"/>
        <v>45927</v>
      </c>
      <c r="AE4" s="40">
        <f t="shared" si="1"/>
        <v>45928</v>
      </c>
      <c r="AF4" s="40">
        <f t="shared" si="2"/>
        <v>45929</v>
      </c>
      <c r="AG4" s="40">
        <f t="shared" si="2"/>
        <v>45930</v>
      </c>
      <c r="AH4" s="40" t="str">
        <f t="shared" si="2"/>
        <v/>
      </c>
      <c r="AI4" s="99"/>
      <c r="AJ4" s="99"/>
      <c r="AK4" s="99"/>
      <c r="AL4" s="99"/>
      <c r="AM4" s="107"/>
      <c r="AN4" s="99"/>
      <c r="AO4" s="99" t="s">
        <v>610</v>
      </c>
      <c r="AP4" s="100"/>
    </row>
    <row r="5" spans="1:42" ht="15.75" x14ac:dyDescent="0.25">
      <c r="A5" s="28"/>
      <c r="B5" s="41"/>
      <c r="C5" s="41" t="s">
        <v>520</v>
      </c>
      <c r="D5" s="42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4"/>
      <c r="AJ5" s="45"/>
      <c r="AK5" s="45"/>
      <c r="AL5" s="45"/>
      <c r="AM5" s="45"/>
      <c r="AN5" s="45"/>
      <c r="AO5" s="45"/>
      <c r="AP5" s="46"/>
    </row>
    <row r="6" spans="1:42" ht="15.75" x14ac:dyDescent="0.25">
      <c r="A6" s="28" t="s">
        <v>337</v>
      </c>
      <c r="B6" s="47">
        <v>1</v>
      </c>
      <c r="C6" s="48" t="s">
        <v>521</v>
      </c>
      <c r="D6" s="49" t="str">
        <f>IFERROR(IF(D$3="","",IF(TEXT(D$3,"ddd")="CN","CN",VLOOKUP($A6&amp;D$3,Data_Cong!$R:$AI,10,0))),"")</f>
        <v/>
      </c>
      <c r="E6" s="49" t="str">
        <f>IFERROR(IF(E$3="","",IF(TEXT(E$3,"ddd")="CN","CN",VLOOKUP($A6&amp;E$3,Data_Cong!$R:$AI,10,0))),"")</f>
        <v/>
      </c>
      <c r="F6" s="49" t="str">
        <f>IFERROR(IF(F$3="","",IF(TEXT(F$3,"ddd")="CN","CN",VLOOKUP($A6&amp;F$3,Data_Cong!$R:$AI,10,0))),"")</f>
        <v/>
      </c>
      <c r="G6" s="49" t="str">
        <f>IFERROR(IF(G$3="","",IF(TEXT(G$3,"ddd")="CN","CN",VLOOKUP($A6&amp;G$3,Data_Cong!$R:$AI,10,0))),"")</f>
        <v/>
      </c>
      <c r="H6" s="49" t="str">
        <f>IFERROR(IF(H$3="","",IF(TEXT(H$3,"ddd")="CN","CN",VLOOKUP($A6&amp;H$3,Data_Cong!$R:$AI,10,0))),"")</f>
        <v/>
      </c>
      <c r="I6" s="49" t="str">
        <f>IFERROR(IF(I$3="","",IF(TEXT(I$3,"ddd")="CN","CN",VLOOKUP($A6&amp;I$3,Data_Cong!$R:$AI,10,0))),"")</f>
        <v/>
      </c>
      <c r="J6" s="49" t="str">
        <f>IFERROR(IF(J$3="","",IF(TEXT(J$3,"ddd")="CN","CN",VLOOKUP($A6&amp;J$3,Data_Cong!$R:$AI,10,0))),"")</f>
        <v>CN</v>
      </c>
      <c r="K6" s="49" t="str">
        <f>IFERROR(IF(K$3="","",IF(TEXT(K$3,"ddd")="CN","CN",VLOOKUP($A6&amp;K$3,Data_Cong!$R:$AI,10,0))),"")</f>
        <v/>
      </c>
      <c r="L6" s="49" t="str">
        <f>IFERROR(IF(L$3="","",IF(TEXT(L$3,"ddd")="CN","CN",VLOOKUP($A6&amp;L$3,Data_Cong!$R:$AI,10,0))),"")</f>
        <v/>
      </c>
      <c r="M6" s="49" t="str">
        <f>IFERROR(IF(M$3="","",IF(TEXT(M$3,"ddd")="CN","CN",VLOOKUP($A6&amp;M$3,Data_Cong!$R:$AI,10,0))),"")</f>
        <v/>
      </c>
      <c r="N6" s="49" t="str">
        <f>IFERROR(IF(N$3="","",IF(TEXT(N$3,"ddd")="CN","CN",VLOOKUP($A6&amp;N$3,Data_Cong!$R:$AI,10,0))),"")</f>
        <v/>
      </c>
      <c r="O6" s="49" t="str">
        <f>IFERROR(IF(O$3="","",IF(TEXT(O$3,"ddd")="CN","CN",VLOOKUP($A6&amp;O$3,Data_Cong!$R:$AI,10,0))),"")</f>
        <v/>
      </c>
      <c r="P6" s="49" t="str">
        <f>IFERROR(IF(P$3="","",IF(TEXT(P$3,"ddd")="CN","CN",VLOOKUP($A6&amp;P$3,Data_Cong!$R:$AI,10,0))),"")</f>
        <v/>
      </c>
      <c r="Q6" s="49" t="str">
        <f>IFERROR(IF(Q$3="","",IF(TEXT(Q$3,"ddd")="CN","CN",VLOOKUP($A6&amp;Q$3,Data_Cong!$R:$AI,10,0))),"")</f>
        <v>CN</v>
      </c>
      <c r="R6" s="49" t="str">
        <f>IFERROR(IF(R$3="","",IF(TEXT(R$3,"ddd")="CN","CN",VLOOKUP($A6&amp;R$3,Data_Cong!$R:$AI,10,0))),"")</f>
        <v/>
      </c>
      <c r="S6" s="49" t="str">
        <f>IFERROR(IF(S$3="","",IF(TEXT(S$3,"ddd")="CN","CN",VLOOKUP($A6&amp;S$3,Data_Cong!$R:$AI,10,0))),"")</f>
        <v/>
      </c>
      <c r="T6" s="49" t="str">
        <f>IFERROR(IF(T$3="","",IF(TEXT(T$3,"ddd")="CN","CN",VLOOKUP($A6&amp;T$3,Data_Cong!$R:$AI,10,0))),"")</f>
        <v/>
      </c>
      <c r="U6" s="49" t="str">
        <f>IFERROR(IF(U$3="","",IF(TEXT(U$3,"ddd")="CN","CN",VLOOKUP($A6&amp;U$3,Data_Cong!$R:$AI,10,0))),"")</f>
        <v/>
      </c>
      <c r="V6" s="49" t="str">
        <f>IFERROR(IF(V$3="","",IF(TEXT(V$3,"ddd")="CN","CN",VLOOKUP($A6&amp;V$3,Data_Cong!$R:$AI,10,0))),"")</f>
        <v/>
      </c>
      <c r="W6" s="49" t="str">
        <f>IFERROR(IF(W$3="","",IF(TEXT(W$3,"ddd")="CN","CN",VLOOKUP($A6&amp;W$3,Data_Cong!$R:$AI,10,0))),"")</f>
        <v/>
      </c>
      <c r="X6" s="49" t="str">
        <f>IFERROR(IF(X$3="","",IF(TEXT(X$3,"ddd")="CN","CN",VLOOKUP($A6&amp;X$3,Data_Cong!$R:$AI,10,0))),"")</f>
        <v>CN</v>
      </c>
      <c r="Y6" s="49" t="str">
        <f>IFERROR(IF(Y$3="","",IF(TEXT(Y$3,"ddd")="CN","CN",VLOOKUP($A6&amp;Y$3,Data_Cong!$R:$AI,10,0))),"")</f>
        <v/>
      </c>
      <c r="Z6" s="49" t="str">
        <f>IFERROR(IF(Z$3="","",IF(TEXT(Z$3,"ddd")="CN","CN",VLOOKUP($A6&amp;Z$3,Data_Cong!$R:$AI,10,0))),"")</f>
        <v/>
      </c>
      <c r="AA6" s="49" t="str">
        <f>IFERROR(IF(AA$3="","",IF(TEXT(AA$3,"ddd")="CN","CN",VLOOKUP($A6&amp;AA$3,Data_Cong!$R:$AI,10,0))),"")</f>
        <v/>
      </c>
      <c r="AB6" s="49" t="str">
        <f>IFERROR(IF(AB$3="","",IF(TEXT(AB$3,"ddd")="CN","CN",VLOOKUP($A6&amp;AB$3,Data_Cong!$R:$AI,10,0))),"")</f>
        <v/>
      </c>
      <c r="AC6" s="49" t="str">
        <f>IFERROR(IF(AC$3="","",IF(TEXT(AC$3,"ddd")="CN","CN",VLOOKUP($A6&amp;AC$3,Data_Cong!$R:$AI,10,0))),"")</f>
        <v/>
      </c>
      <c r="AD6" s="49" t="str">
        <f>IFERROR(IF(AD$3="","",IF(TEXT(AD$3,"ddd")="CN","CN",VLOOKUP($A6&amp;AD$3,Data_Cong!$R:$AI,10,0))),"")</f>
        <v/>
      </c>
      <c r="AE6" s="49" t="str">
        <f>IFERROR(IF(AE$3="","",IF(TEXT(AE$3,"ddd")="CN","CN",VLOOKUP($A6&amp;AE$3,Data_Cong!$R:$AI,10,0))),"")</f>
        <v>CN</v>
      </c>
      <c r="AF6" s="49" t="str">
        <f>IFERROR(IF(AF$3="","",IF(TEXT(AF$3,"ddd")="CN","CN",VLOOKUP($A6&amp;AF$3,Data_Cong!$R:$AI,10,0))),"")</f>
        <v/>
      </c>
      <c r="AG6" s="49" t="str">
        <f>IFERROR(IF(AG$3="","",IF(TEXT(AG$3,"ddd")="CN","CN",VLOOKUP($A6&amp;AG$3,Data_Cong!$R:$AI,10,0))),"")</f>
        <v/>
      </c>
      <c r="AH6" s="49" t="str">
        <f>IFERROR(IF(AH$3="","",IF(TEXT(AH$3,"ddd")="CN","CN",VLOOKUP($A6&amp;AH$3,Data_Cong!$R:$AI,10,0))),"")</f>
        <v/>
      </c>
      <c r="AI6" s="50" cm="1">
        <f t="array" ref="AI6">SUMPRODUCT((D6:AH6="x")*1+(D6:AH6="P")*1+(D6:AH6="1/2P")*1+(D6:AH6="1/2")*0.5+(D6:AH6="2x")*2+(D6:AH6="L")*1)</f>
        <v>0</v>
      </c>
      <c r="AJ6" s="51">
        <f>SUMIF(Data_Cong!A:A,$A6,Data_Cong!AE:AE)</f>
        <v>0</v>
      </c>
      <c r="AK6" s="52">
        <f>COUNTIFS(Data_Cong!AB:AB,"&gt;5",Data_Cong!A:A,A6)</f>
        <v>0</v>
      </c>
      <c r="AL6" s="53" t="str">
        <f>IF(MONTH(VLOOKUP(A6,Data_NV!$A:$J,10,0))=BANG_CHAM_CONG!$R$2,"T"&amp;BANG_CHAM_CONG!$R$2,"")</f>
        <v/>
      </c>
      <c r="AM6" s="94">
        <v>6</v>
      </c>
      <c r="AN6" s="91" cm="1">
        <f t="array" ref="AN6">IF((AM6+1)&gt;12,12,(AM6+1))-SUMPRODUCT((D6:AH6="P")*1+(D6:AH6="1/2P")*0.5)</f>
        <v>7</v>
      </c>
      <c r="AO6" s="50"/>
      <c r="AP6" s="54">
        <f>SUMIFS(Data_Cong!AF:AF,Data_Cong!A:A,$A6)+SUMIFS(Data_Cong!AG:AG,Data_Cong!A:A,$A6)</f>
        <v>0</v>
      </c>
    </row>
    <row r="7" spans="1:42" ht="15.75" x14ac:dyDescent="0.25">
      <c r="A7" s="28" t="s">
        <v>255</v>
      </c>
      <c r="B7" s="47">
        <v>2</v>
      </c>
      <c r="C7" s="48" t="s">
        <v>522</v>
      </c>
      <c r="D7" s="49" t="str">
        <f>IFERROR(IF(D$3="","",IF(TEXT(D$3,"ddd")="CN","CN",VLOOKUP($A7&amp;D$3,Data_Cong!$R:$AI,10,0))),"")</f>
        <v/>
      </c>
      <c r="E7" s="49" t="str">
        <f>IFERROR(IF(E$3="","",IF(TEXT(E$3,"ddd")="CN","CN",VLOOKUP($A7&amp;E$3,Data_Cong!$R:$AI,10,0))),"")</f>
        <v/>
      </c>
      <c r="F7" s="49" t="str">
        <f>IFERROR(IF(F$3="","",IF(TEXT(F$3,"ddd")="CN","CN",VLOOKUP($A7&amp;F$3,Data_Cong!$R:$AI,10,0))),"")</f>
        <v/>
      </c>
      <c r="G7" s="49" t="str">
        <f>IFERROR(IF(G$3="","",IF(TEXT(G$3,"ddd")="CN","CN",VLOOKUP($A7&amp;G$3,Data_Cong!$R:$AI,10,0))),"")</f>
        <v/>
      </c>
      <c r="H7" s="49" t="str">
        <f>IFERROR(IF(H$3="","",IF(TEXT(H$3,"ddd")="CN","CN",VLOOKUP($A7&amp;H$3,Data_Cong!$R:$AI,10,0))),"")</f>
        <v/>
      </c>
      <c r="I7" s="49" t="str">
        <f>IFERROR(IF(I$3="","",IF(TEXT(I$3,"ddd")="CN","CN",VLOOKUP($A7&amp;I$3,Data_Cong!$R:$AI,10,0))),"")</f>
        <v/>
      </c>
      <c r="J7" s="49" t="str">
        <f>IFERROR(IF(J$3="","",IF(TEXT(J$3,"ddd")="CN","CN",VLOOKUP($A7&amp;J$3,Data_Cong!$R:$AI,10,0))),"")</f>
        <v>CN</v>
      </c>
      <c r="K7" s="49" t="str">
        <f>IFERROR(IF(K$3="","",IF(TEXT(K$3,"ddd")="CN","CN",VLOOKUP($A7&amp;K$3,Data_Cong!$R:$AI,10,0))),"")</f>
        <v/>
      </c>
      <c r="L7" s="49" t="str">
        <f>IFERROR(IF(L$3="","",IF(TEXT(L$3,"ddd")="CN","CN",VLOOKUP($A7&amp;L$3,Data_Cong!$R:$AI,10,0))),"")</f>
        <v/>
      </c>
      <c r="M7" s="49" t="str">
        <f>IFERROR(IF(M$3="","",IF(TEXT(M$3,"ddd")="CN","CN",VLOOKUP($A7&amp;M$3,Data_Cong!$R:$AI,10,0))),"")</f>
        <v/>
      </c>
      <c r="N7" s="49" t="str">
        <f>IFERROR(IF(N$3="","",IF(TEXT(N$3,"ddd")="CN","CN",VLOOKUP($A7&amp;N$3,Data_Cong!$R:$AI,10,0))),"")</f>
        <v/>
      </c>
      <c r="O7" s="49" t="str">
        <f>IFERROR(IF(O$3="","",IF(TEXT(O$3,"ddd")="CN","CN",VLOOKUP($A7&amp;O$3,Data_Cong!$R:$AI,10,0))),"")</f>
        <v/>
      </c>
      <c r="P7" s="49" t="str">
        <f>IFERROR(IF(P$3="","",IF(TEXT(P$3,"ddd")="CN","CN",VLOOKUP($A7&amp;P$3,Data_Cong!$R:$AI,10,0))),"")</f>
        <v/>
      </c>
      <c r="Q7" s="49" t="str">
        <f>IFERROR(IF(Q$3="","",IF(TEXT(Q$3,"ddd")="CN","CN",VLOOKUP($A7&amp;Q$3,Data_Cong!$R:$AI,10,0))),"")</f>
        <v>CN</v>
      </c>
      <c r="R7" s="49" t="str">
        <f>IFERROR(IF(R$3="","",IF(TEXT(R$3,"ddd")="CN","CN",VLOOKUP($A7&amp;R$3,Data_Cong!$R:$AI,10,0))),"")</f>
        <v/>
      </c>
      <c r="S7" s="49" t="str">
        <f>IFERROR(IF(S$3="","",IF(TEXT(S$3,"ddd")="CN","CN",VLOOKUP($A7&amp;S$3,Data_Cong!$R:$AI,10,0))),"")</f>
        <v/>
      </c>
      <c r="T7" s="49" t="str">
        <f>IFERROR(IF(T$3="","",IF(TEXT(T$3,"ddd")="CN","CN",VLOOKUP($A7&amp;T$3,Data_Cong!$R:$AI,10,0))),"")</f>
        <v/>
      </c>
      <c r="U7" s="49" t="str">
        <f>IFERROR(IF(U$3="","",IF(TEXT(U$3,"ddd")="CN","CN",VLOOKUP($A7&amp;U$3,Data_Cong!$R:$AI,10,0))),"")</f>
        <v/>
      </c>
      <c r="V7" s="49" t="str">
        <f>IFERROR(IF(V$3="","",IF(TEXT(V$3,"ddd")="CN","CN",VLOOKUP($A7&amp;V$3,Data_Cong!$R:$AI,10,0))),"")</f>
        <v/>
      </c>
      <c r="W7" s="49" t="str">
        <f>IFERROR(IF(W$3="","",IF(TEXT(W$3,"ddd")="CN","CN",VLOOKUP($A7&amp;W$3,Data_Cong!$R:$AI,10,0))),"")</f>
        <v/>
      </c>
      <c r="X7" s="49" t="str">
        <f>IFERROR(IF(X$3="","",IF(TEXT(X$3,"ddd")="CN","CN",VLOOKUP($A7&amp;X$3,Data_Cong!$R:$AI,10,0))),"")</f>
        <v>CN</v>
      </c>
      <c r="Y7" s="49" t="str">
        <f>IFERROR(IF(Y$3="","",IF(TEXT(Y$3,"ddd")="CN","CN",VLOOKUP($A7&amp;Y$3,Data_Cong!$R:$AI,10,0))),"")</f>
        <v/>
      </c>
      <c r="Z7" s="49" t="str">
        <f>IFERROR(IF(Z$3="","",IF(TEXT(Z$3,"ddd")="CN","CN",VLOOKUP($A7&amp;Z$3,Data_Cong!$R:$AI,10,0))),"")</f>
        <v/>
      </c>
      <c r="AA7" s="49" t="str">
        <f>IFERROR(IF(AA$3="","",IF(TEXT(AA$3,"ddd")="CN","CN",VLOOKUP($A7&amp;AA$3,Data_Cong!$R:$AI,10,0))),"")</f>
        <v/>
      </c>
      <c r="AB7" s="49" t="str">
        <f>IFERROR(IF(AB$3="","",IF(TEXT(AB$3,"ddd")="CN","CN",VLOOKUP($A7&amp;AB$3,Data_Cong!$R:$AI,10,0))),"")</f>
        <v/>
      </c>
      <c r="AC7" s="49" t="str">
        <f>IFERROR(IF(AC$3="","",IF(TEXT(AC$3,"ddd")="CN","CN",VLOOKUP($A7&amp;AC$3,Data_Cong!$R:$AI,10,0))),"")</f>
        <v/>
      </c>
      <c r="AD7" s="49" t="str">
        <f>IFERROR(IF(AD$3="","",IF(TEXT(AD$3,"ddd")="CN","CN",VLOOKUP($A7&amp;AD$3,Data_Cong!$R:$AI,10,0))),"")</f>
        <v/>
      </c>
      <c r="AE7" s="49" t="str">
        <f>IFERROR(IF(AE$3="","",IF(TEXT(AE$3,"ddd")="CN","CN",VLOOKUP($A7&amp;AE$3,Data_Cong!$R:$AI,10,0))),"")</f>
        <v>CN</v>
      </c>
      <c r="AF7" s="49" t="str">
        <f>IFERROR(IF(AF$3="","",IF(TEXT(AF$3,"ddd")="CN","CN",VLOOKUP($A7&amp;AF$3,Data_Cong!$R:$AI,10,0))),"")</f>
        <v/>
      </c>
      <c r="AG7" s="49" t="str">
        <f>IFERROR(IF(AG$3="","",IF(TEXT(AG$3,"ddd")="CN","CN",VLOOKUP($A7&amp;AG$3,Data_Cong!$R:$AI,10,0))),"")</f>
        <v/>
      </c>
      <c r="AH7" s="49" t="str">
        <f>IFERROR(IF(AH$3="","",IF(TEXT(AH$3,"ddd")="CN","CN",VLOOKUP($A7&amp;AH$3,Data_Cong!$R:$AI,10,0))),"")</f>
        <v/>
      </c>
      <c r="AI7" s="50" cm="1">
        <f t="array" ref="AI7">SUMPRODUCT((D7:AH7="x")*1+(D7:AH7="P")*1+(D7:AH7="1/2P")*1+(D7:AH7="1/2")*0.5+(D7:AH7="2x")*2+(D7:AH7="L")*1)</f>
        <v>0</v>
      </c>
      <c r="AJ7" s="51">
        <f>SUMIF(Data_Cong!A:A,$A7,Data_Cong!AE:AE)</f>
        <v>0</v>
      </c>
      <c r="AK7" s="52">
        <f>COUNTIFS(Data_Cong!AB:AB,"&gt;5",Data_Cong!A:A,A7)</f>
        <v>0</v>
      </c>
      <c r="AL7" s="53" t="str">
        <f>IF(MONTH(VLOOKUP(A7,Data_NV!$A:$J,10,0))=BANG_CHAM_CONG!$R$2,"T"&amp;BANG_CHAM_CONG!$R$2,"")</f>
        <v/>
      </c>
      <c r="AM7" s="94">
        <v>6</v>
      </c>
      <c r="AN7" s="91" cm="1">
        <f t="array" ref="AN7">IF((AM7+1)&gt;12,12,(AM7+1))-SUMPRODUCT((D7:AH7="P")*1+(D7:AH7="1/2P")*0.5)</f>
        <v>7</v>
      </c>
      <c r="AO7" s="50"/>
      <c r="AP7" s="54">
        <f>SUMIFS(Data_Cong!AF:AF,Data_Cong!A:A,$A7)+SUMIFS(Data_Cong!AG:AG,Data_Cong!A:A,$A7)</f>
        <v>0</v>
      </c>
    </row>
    <row r="8" spans="1:42" ht="15.75" x14ac:dyDescent="0.25">
      <c r="A8" s="28" t="s">
        <v>112</v>
      </c>
      <c r="B8" s="47">
        <v>3</v>
      </c>
      <c r="C8" s="48" t="s">
        <v>523</v>
      </c>
      <c r="D8" s="49" t="str">
        <f>IFERROR(IF(D$3="","",IF(TEXT(D$3,"ddd")="CN","CN",VLOOKUP($A8&amp;D$3,Data_Cong!$R:$AI,10,0))),"")</f>
        <v/>
      </c>
      <c r="E8" s="49" t="str">
        <f>IFERROR(IF(E$3="","",IF(TEXT(E$3,"ddd")="CN","CN",VLOOKUP($A8&amp;E$3,Data_Cong!$R:$AI,10,0))),"")</f>
        <v/>
      </c>
      <c r="F8" s="49" t="str">
        <f>IFERROR(IF(F$3="","",IF(TEXT(F$3,"ddd")="CN","CN",VLOOKUP($A8&amp;F$3,Data_Cong!$R:$AI,10,0))),"")</f>
        <v/>
      </c>
      <c r="G8" s="49" t="str">
        <f>IFERROR(IF(G$3="","",IF(TEXT(G$3,"ddd")="CN","CN",VLOOKUP($A8&amp;G$3,Data_Cong!$R:$AI,10,0))),"")</f>
        <v/>
      </c>
      <c r="H8" s="49" t="str">
        <f>IFERROR(IF(H$3="","",IF(TEXT(H$3,"ddd")="CN","CN",VLOOKUP($A8&amp;H$3,Data_Cong!$R:$AI,10,0))),"")</f>
        <v/>
      </c>
      <c r="I8" s="49" t="str">
        <f>IFERROR(IF(I$3="","",IF(TEXT(I$3,"ddd")="CN","CN",VLOOKUP($A8&amp;I$3,Data_Cong!$R:$AI,10,0))),"")</f>
        <v/>
      </c>
      <c r="J8" s="49" t="str">
        <f>IFERROR(IF(J$3="","",IF(TEXT(J$3,"ddd")="CN","CN",VLOOKUP($A8&amp;J$3,Data_Cong!$R:$AI,10,0))),"")</f>
        <v>CN</v>
      </c>
      <c r="K8" s="49" t="str">
        <f>IFERROR(IF(K$3="","",IF(TEXT(K$3,"ddd")="CN","CN",VLOOKUP($A8&amp;K$3,Data_Cong!$R:$AI,10,0))),"")</f>
        <v/>
      </c>
      <c r="L8" s="49" t="str">
        <f>IFERROR(IF(L$3="","",IF(TEXT(L$3,"ddd")="CN","CN",VLOOKUP($A8&amp;L$3,Data_Cong!$R:$AI,10,0))),"")</f>
        <v/>
      </c>
      <c r="M8" s="49" t="str">
        <f>IFERROR(IF(M$3="","",IF(TEXT(M$3,"ddd")="CN","CN",VLOOKUP($A8&amp;M$3,Data_Cong!$R:$AI,10,0))),"")</f>
        <v/>
      </c>
      <c r="N8" s="49" t="str">
        <f>IFERROR(IF(N$3="","",IF(TEXT(N$3,"ddd")="CN","CN",VLOOKUP($A8&amp;N$3,Data_Cong!$R:$AI,10,0))),"")</f>
        <v/>
      </c>
      <c r="O8" s="49" t="str">
        <f>IFERROR(IF(O$3="","",IF(TEXT(O$3,"ddd")="CN","CN",VLOOKUP($A8&amp;O$3,Data_Cong!$R:$AI,10,0))),"")</f>
        <v/>
      </c>
      <c r="P8" s="49" t="str">
        <f>IFERROR(IF(P$3="","",IF(TEXT(P$3,"ddd")="CN","CN",VLOOKUP($A8&amp;P$3,Data_Cong!$R:$AI,10,0))),"")</f>
        <v/>
      </c>
      <c r="Q8" s="49" t="str">
        <f>IFERROR(IF(Q$3="","",IF(TEXT(Q$3,"ddd")="CN","CN",VLOOKUP($A8&amp;Q$3,Data_Cong!$R:$AI,10,0))),"")</f>
        <v>CN</v>
      </c>
      <c r="R8" s="49" t="str">
        <f>IFERROR(IF(R$3="","",IF(TEXT(R$3,"ddd")="CN","CN",VLOOKUP($A8&amp;R$3,Data_Cong!$R:$AI,10,0))),"")</f>
        <v/>
      </c>
      <c r="S8" s="49" t="str">
        <f>IFERROR(IF(S$3="","",IF(TEXT(S$3,"ddd")="CN","CN",VLOOKUP($A8&amp;S$3,Data_Cong!$R:$AI,10,0))),"")</f>
        <v/>
      </c>
      <c r="T8" s="49" t="str">
        <f>IFERROR(IF(T$3="","",IF(TEXT(T$3,"ddd")="CN","CN",VLOOKUP($A8&amp;T$3,Data_Cong!$R:$AI,10,0))),"")</f>
        <v/>
      </c>
      <c r="U8" s="49" t="str">
        <f>IFERROR(IF(U$3="","",IF(TEXT(U$3,"ddd")="CN","CN",VLOOKUP($A8&amp;U$3,Data_Cong!$R:$AI,10,0))),"")</f>
        <v/>
      </c>
      <c r="V8" s="49" t="str">
        <f>IFERROR(IF(V$3="","",IF(TEXT(V$3,"ddd")="CN","CN",VLOOKUP($A8&amp;V$3,Data_Cong!$R:$AI,10,0))),"")</f>
        <v/>
      </c>
      <c r="W8" s="49" t="str">
        <f>IFERROR(IF(W$3="","",IF(TEXT(W$3,"ddd")="CN","CN",VLOOKUP($A8&amp;W$3,Data_Cong!$R:$AI,10,0))),"")</f>
        <v/>
      </c>
      <c r="X8" s="49" t="str">
        <f>IFERROR(IF(X$3="","",IF(TEXT(X$3,"ddd")="CN","CN",VLOOKUP($A8&amp;X$3,Data_Cong!$R:$AI,10,0))),"")</f>
        <v>CN</v>
      </c>
      <c r="Y8" s="49" t="str">
        <f>IFERROR(IF(Y$3="","",IF(TEXT(Y$3,"ddd")="CN","CN",VLOOKUP($A8&amp;Y$3,Data_Cong!$R:$AI,10,0))),"")</f>
        <v/>
      </c>
      <c r="Z8" s="49" t="str">
        <f>IFERROR(IF(Z$3="","",IF(TEXT(Z$3,"ddd")="CN","CN",VLOOKUP($A8&amp;Z$3,Data_Cong!$R:$AI,10,0))),"")</f>
        <v/>
      </c>
      <c r="AA8" s="49" t="str">
        <f>IFERROR(IF(AA$3="","",IF(TEXT(AA$3,"ddd")="CN","CN",VLOOKUP($A8&amp;AA$3,Data_Cong!$R:$AI,10,0))),"")</f>
        <v/>
      </c>
      <c r="AB8" s="49" t="str">
        <f>IFERROR(IF(AB$3="","",IF(TEXT(AB$3,"ddd")="CN","CN",VLOOKUP($A8&amp;AB$3,Data_Cong!$R:$AI,10,0))),"")</f>
        <v/>
      </c>
      <c r="AC8" s="49" t="str">
        <f>IFERROR(IF(AC$3="","",IF(TEXT(AC$3,"ddd")="CN","CN",VLOOKUP($A8&amp;AC$3,Data_Cong!$R:$AI,10,0))),"")</f>
        <v/>
      </c>
      <c r="AD8" s="49" t="str">
        <f>IFERROR(IF(AD$3="","",IF(TEXT(AD$3,"ddd")="CN","CN",VLOOKUP($A8&amp;AD$3,Data_Cong!$R:$AI,10,0))),"")</f>
        <v/>
      </c>
      <c r="AE8" s="49" t="str">
        <f>IFERROR(IF(AE$3="","",IF(TEXT(AE$3,"ddd")="CN","CN",VLOOKUP($A8&amp;AE$3,Data_Cong!$R:$AI,10,0))),"")</f>
        <v>CN</v>
      </c>
      <c r="AF8" s="49" t="str">
        <f>IFERROR(IF(AF$3="","",IF(TEXT(AF$3,"ddd")="CN","CN",VLOOKUP($A8&amp;AF$3,Data_Cong!$R:$AI,10,0))),"")</f>
        <v/>
      </c>
      <c r="AG8" s="49" t="str">
        <f>IFERROR(IF(AG$3="","",IF(TEXT(AG$3,"ddd")="CN","CN",VLOOKUP($A8&amp;AG$3,Data_Cong!$R:$AI,10,0))),"")</f>
        <v/>
      </c>
      <c r="AH8" s="49" t="str">
        <f>IFERROR(IF(AH$3="","",IF(TEXT(AH$3,"ddd")="CN","CN",VLOOKUP($A8&amp;AH$3,Data_Cong!$R:$AI,10,0))),"")</f>
        <v/>
      </c>
      <c r="AI8" s="50" cm="1">
        <f t="array" ref="AI8">SUMPRODUCT((D8:AH8="x")*1+(D8:AH8="P")*1+(D8:AH8="1/2P")*1+(D8:AH8="1/2")*0.5+(D8:AH8="2x")*2+(D8:AH8="L")*1)</f>
        <v>0</v>
      </c>
      <c r="AJ8" s="51">
        <f>SUMIF(Data_Cong!A:A,$A8,Data_Cong!AE:AE)</f>
        <v>0</v>
      </c>
      <c r="AK8" s="52">
        <f>COUNTIFS(Data_Cong!AB:AB,"&gt;5",Data_Cong!A:A,A8)</f>
        <v>0</v>
      </c>
      <c r="AL8" s="53" t="str">
        <f>IF(MONTH(VLOOKUP(A8,Data_NV!$A:$J,10,0))=BANG_CHAM_CONG!$R$2,"T"&amp;BANG_CHAM_CONG!$R$2,"")</f>
        <v/>
      </c>
      <c r="AM8" s="94">
        <v>6</v>
      </c>
      <c r="AN8" s="91" cm="1">
        <f t="array" ref="AN8">IF((AM8+1)&gt;12,12,(AM8+1))-SUMPRODUCT((D8:AH8="P")*1+(D8:AH8="1/2P")*0.5)</f>
        <v>7</v>
      </c>
      <c r="AO8" s="50"/>
      <c r="AP8" s="54">
        <f>SUMIFS(Data_Cong!AF:AF,Data_Cong!A:A,$A8)+SUMIFS(Data_Cong!AG:AG,Data_Cong!A:A,$A8)</f>
        <v>0</v>
      </c>
    </row>
    <row r="9" spans="1:42" ht="15.75" x14ac:dyDescent="0.25">
      <c r="A9" s="28" t="s">
        <v>88</v>
      </c>
      <c r="B9" s="47">
        <v>4</v>
      </c>
      <c r="C9" s="48" t="s">
        <v>524</v>
      </c>
      <c r="D9" s="49" t="str">
        <f>IFERROR(IF(D$3="","",IF(TEXT(D$3,"ddd")="CN","CN",VLOOKUP($A9&amp;D$3,Data_Cong!$R:$AI,10,0))),"")</f>
        <v/>
      </c>
      <c r="E9" s="49" t="str">
        <f>IFERROR(IF(E$3="","",IF(TEXT(E$3,"ddd")="CN","CN",VLOOKUP($A9&amp;E$3,Data_Cong!$R:$AI,10,0))),"")</f>
        <v/>
      </c>
      <c r="F9" s="49" t="str">
        <f>IFERROR(IF(F$3="","",IF(TEXT(F$3,"ddd")="CN","CN",VLOOKUP($A9&amp;F$3,Data_Cong!$R:$AI,10,0))),"")</f>
        <v/>
      </c>
      <c r="G9" s="49" t="str">
        <f>IFERROR(IF(G$3="","",IF(TEXT(G$3,"ddd")="CN","CN",VLOOKUP($A9&amp;G$3,Data_Cong!$R:$AI,10,0))),"")</f>
        <v/>
      </c>
      <c r="H9" s="49" t="str">
        <f>IFERROR(IF(H$3="","",IF(TEXT(H$3,"ddd")="CN","CN",VLOOKUP($A9&amp;H$3,Data_Cong!$R:$AI,10,0))),"")</f>
        <v/>
      </c>
      <c r="I9" s="49" t="str">
        <f>IFERROR(IF(I$3="","",IF(TEXT(I$3,"ddd")="CN","CN",VLOOKUP($A9&amp;I$3,Data_Cong!$R:$AI,10,0))),"")</f>
        <v/>
      </c>
      <c r="J9" s="49" t="str">
        <f>IFERROR(IF(J$3="","",IF(TEXT(J$3,"ddd")="CN","CN",VLOOKUP($A9&amp;J$3,Data_Cong!$R:$AI,10,0))),"")</f>
        <v>CN</v>
      </c>
      <c r="K9" s="49" t="str">
        <f>IFERROR(IF(K$3="","",IF(TEXT(K$3,"ddd")="CN","CN",VLOOKUP($A9&amp;K$3,Data_Cong!$R:$AI,10,0))),"")</f>
        <v/>
      </c>
      <c r="L9" s="49" t="str">
        <f>IFERROR(IF(L$3="","",IF(TEXT(L$3,"ddd")="CN","CN",VLOOKUP($A9&amp;L$3,Data_Cong!$R:$AI,10,0))),"")</f>
        <v/>
      </c>
      <c r="M9" s="49" t="str">
        <f>IFERROR(IF(M$3="","",IF(TEXT(M$3,"ddd")="CN","CN",VLOOKUP($A9&amp;M$3,Data_Cong!$R:$AI,10,0))),"")</f>
        <v/>
      </c>
      <c r="N9" s="49" t="str">
        <f>IFERROR(IF(N$3="","",IF(TEXT(N$3,"ddd")="CN","CN",VLOOKUP($A9&amp;N$3,Data_Cong!$R:$AI,10,0))),"")</f>
        <v/>
      </c>
      <c r="O9" s="49" t="str">
        <f>IFERROR(IF(O$3="","",IF(TEXT(O$3,"ddd")="CN","CN",VLOOKUP($A9&amp;O$3,Data_Cong!$R:$AI,10,0))),"")</f>
        <v/>
      </c>
      <c r="P9" s="49" t="str">
        <f>IFERROR(IF(P$3="","",IF(TEXT(P$3,"ddd")="CN","CN",VLOOKUP($A9&amp;P$3,Data_Cong!$R:$AI,10,0))),"")</f>
        <v/>
      </c>
      <c r="Q9" s="49" t="str">
        <f>IFERROR(IF(Q$3="","",IF(TEXT(Q$3,"ddd")="CN","CN",VLOOKUP($A9&amp;Q$3,Data_Cong!$R:$AI,10,0))),"")</f>
        <v>CN</v>
      </c>
      <c r="R9" s="49" t="str">
        <f>IFERROR(IF(R$3="","",IF(TEXT(R$3,"ddd")="CN","CN",VLOOKUP($A9&amp;R$3,Data_Cong!$R:$AI,10,0))),"")</f>
        <v/>
      </c>
      <c r="S9" s="49" t="str">
        <f>IFERROR(IF(S$3="","",IF(TEXT(S$3,"ddd")="CN","CN",VLOOKUP($A9&amp;S$3,Data_Cong!$R:$AI,10,0))),"")</f>
        <v/>
      </c>
      <c r="T9" s="49" t="str">
        <f>IFERROR(IF(T$3="","",IF(TEXT(T$3,"ddd")="CN","CN",VLOOKUP($A9&amp;T$3,Data_Cong!$R:$AI,10,0))),"")</f>
        <v/>
      </c>
      <c r="U9" s="49" t="str">
        <f>IFERROR(IF(U$3="","",IF(TEXT(U$3,"ddd")="CN","CN",VLOOKUP($A9&amp;U$3,Data_Cong!$R:$AI,10,0))),"")</f>
        <v/>
      </c>
      <c r="V9" s="49" t="str">
        <f>IFERROR(IF(V$3="","",IF(TEXT(V$3,"ddd")="CN","CN",VLOOKUP($A9&amp;V$3,Data_Cong!$R:$AI,10,0))),"")</f>
        <v/>
      </c>
      <c r="W9" s="49" t="str">
        <f>IFERROR(IF(W$3="","",IF(TEXT(W$3,"ddd")="CN","CN",VLOOKUP($A9&amp;W$3,Data_Cong!$R:$AI,10,0))),"")</f>
        <v/>
      </c>
      <c r="X9" s="49" t="str">
        <f>IFERROR(IF(X$3="","",IF(TEXT(X$3,"ddd")="CN","CN",VLOOKUP($A9&amp;X$3,Data_Cong!$R:$AI,10,0))),"")</f>
        <v>CN</v>
      </c>
      <c r="Y9" s="49" t="str">
        <f>IFERROR(IF(Y$3="","",IF(TEXT(Y$3,"ddd")="CN","CN",VLOOKUP($A9&amp;Y$3,Data_Cong!$R:$AI,10,0))),"")</f>
        <v/>
      </c>
      <c r="Z9" s="49" t="str">
        <f>IFERROR(IF(Z$3="","",IF(TEXT(Z$3,"ddd")="CN","CN",VLOOKUP($A9&amp;Z$3,Data_Cong!$R:$AI,10,0))),"")</f>
        <v/>
      </c>
      <c r="AA9" s="49" t="str">
        <f>IFERROR(IF(AA$3="","",IF(TEXT(AA$3,"ddd")="CN","CN",VLOOKUP($A9&amp;AA$3,Data_Cong!$R:$AI,10,0))),"")</f>
        <v/>
      </c>
      <c r="AB9" s="49" t="str">
        <f>IFERROR(IF(AB$3="","",IF(TEXT(AB$3,"ddd")="CN","CN",VLOOKUP($A9&amp;AB$3,Data_Cong!$R:$AI,10,0))),"")</f>
        <v/>
      </c>
      <c r="AC9" s="49" t="str">
        <f>IFERROR(IF(AC$3="","",IF(TEXT(AC$3,"ddd")="CN","CN",VLOOKUP($A9&amp;AC$3,Data_Cong!$R:$AI,10,0))),"")</f>
        <v/>
      </c>
      <c r="AD9" s="49" t="str">
        <f>IFERROR(IF(AD$3="","",IF(TEXT(AD$3,"ddd")="CN","CN",VLOOKUP($A9&amp;AD$3,Data_Cong!$R:$AI,10,0))),"")</f>
        <v/>
      </c>
      <c r="AE9" s="49" t="str">
        <f>IFERROR(IF(AE$3="","",IF(TEXT(AE$3,"ddd")="CN","CN",VLOOKUP($A9&amp;AE$3,Data_Cong!$R:$AI,10,0))),"")</f>
        <v>CN</v>
      </c>
      <c r="AF9" s="49" t="str">
        <f>IFERROR(IF(AF$3="","",IF(TEXT(AF$3,"ddd")="CN","CN",VLOOKUP($A9&amp;AF$3,Data_Cong!$R:$AI,10,0))),"")</f>
        <v/>
      </c>
      <c r="AG9" s="49" t="str">
        <f>IFERROR(IF(AG$3="","",IF(TEXT(AG$3,"ddd")="CN","CN",VLOOKUP($A9&amp;AG$3,Data_Cong!$R:$AI,10,0))),"")</f>
        <v/>
      </c>
      <c r="AH9" s="49" t="str">
        <f>IFERROR(IF(AH$3="","",IF(TEXT(AH$3,"ddd")="CN","CN",VLOOKUP($A9&amp;AH$3,Data_Cong!$R:$AI,10,0))),"")</f>
        <v/>
      </c>
      <c r="AI9" s="50" cm="1">
        <f t="array" ref="AI9">SUMPRODUCT((D9:AH9="x")*1+(D9:AH9="P")*1+(D9:AH9="1/2P")*1+(D9:AH9="1/2")*0.5+(D9:AH9="2x")*2+(D9:AH9="L")*1)</f>
        <v>0</v>
      </c>
      <c r="AJ9" s="51">
        <f>SUMIF(Data_Cong!A:A,$A9,Data_Cong!AE:AE)</f>
        <v>0</v>
      </c>
      <c r="AK9" s="52">
        <f>COUNTIFS(Data_Cong!AB:AB,"&gt;5",Data_Cong!A:A,A9)</f>
        <v>0</v>
      </c>
      <c r="AL9" s="53" t="str">
        <f>IF(MONTH(VLOOKUP(A9,Data_NV!$A:$J,10,0))=BANG_CHAM_CONG!$R$2,"T"&amp;BANG_CHAM_CONG!$R$2,"")</f>
        <v>T9</v>
      </c>
      <c r="AM9" s="94">
        <v>3</v>
      </c>
      <c r="AN9" s="91" cm="1">
        <f t="array" ref="AN9">IF((AM9+1)&gt;12,12,(AM9+1))-SUMPRODUCT((D9:AH9="P")*1+(D9:AH9="1/2P")*0.5)</f>
        <v>4</v>
      </c>
      <c r="AO9" s="50"/>
      <c r="AP9" s="54">
        <f>SUMIFS(Data_Cong!AF:AF,Data_Cong!A:A,$A9)+SUMIFS(Data_Cong!AG:AG,Data_Cong!A:A,$A9)</f>
        <v>0</v>
      </c>
    </row>
    <row r="10" spans="1:42" ht="15.75" x14ac:dyDescent="0.25">
      <c r="A10" s="28" t="s">
        <v>250</v>
      </c>
      <c r="B10" s="47">
        <v>5</v>
      </c>
      <c r="C10" s="48" t="s">
        <v>525</v>
      </c>
      <c r="D10" s="49" t="str">
        <f>IFERROR(IF(D$3="","",IF(TEXT(D$3,"ddd")="CN","CN",VLOOKUP($A10&amp;D$3,Data_Cong!$R:$AI,10,0))),"")</f>
        <v/>
      </c>
      <c r="E10" s="49" t="str">
        <f>IFERROR(IF(E$3="","",IF(TEXT(E$3,"ddd")="CN","CN",VLOOKUP($A10&amp;E$3,Data_Cong!$R:$AI,10,0))),"")</f>
        <v/>
      </c>
      <c r="F10" s="49" t="str">
        <f>IFERROR(IF(F$3="","",IF(TEXT(F$3,"ddd")="CN","CN",VLOOKUP($A10&amp;F$3,Data_Cong!$R:$AI,10,0))),"")</f>
        <v/>
      </c>
      <c r="G10" s="49" t="str">
        <f>IFERROR(IF(G$3="","",IF(TEXT(G$3,"ddd")="CN","CN",VLOOKUP($A10&amp;G$3,Data_Cong!$R:$AI,10,0))),"")</f>
        <v/>
      </c>
      <c r="H10" s="49" t="str">
        <f>IFERROR(IF(H$3="","",IF(TEXT(H$3,"ddd")="CN","CN",VLOOKUP($A10&amp;H$3,Data_Cong!$R:$AI,10,0))),"")</f>
        <v/>
      </c>
      <c r="I10" s="49" t="str">
        <f>IFERROR(IF(I$3="","",IF(TEXT(I$3,"ddd")="CN","CN",VLOOKUP($A10&amp;I$3,Data_Cong!$R:$AI,10,0))),"")</f>
        <v/>
      </c>
      <c r="J10" s="49" t="str">
        <f>IFERROR(IF(J$3="","",IF(TEXT(J$3,"ddd")="CN","CN",VLOOKUP($A10&amp;J$3,Data_Cong!$R:$AI,10,0))),"")</f>
        <v>CN</v>
      </c>
      <c r="K10" s="49" t="str">
        <f>IFERROR(IF(K$3="","",IF(TEXT(K$3,"ddd")="CN","CN",VLOOKUP($A10&amp;K$3,Data_Cong!$R:$AI,10,0))),"")</f>
        <v/>
      </c>
      <c r="L10" s="49" t="str">
        <f>IFERROR(IF(L$3="","",IF(TEXT(L$3,"ddd")="CN","CN",VLOOKUP($A10&amp;L$3,Data_Cong!$R:$AI,10,0))),"")</f>
        <v/>
      </c>
      <c r="M10" s="49" t="str">
        <f>IFERROR(IF(M$3="","",IF(TEXT(M$3,"ddd")="CN","CN",VLOOKUP($A10&amp;M$3,Data_Cong!$R:$AI,10,0))),"")</f>
        <v/>
      </c>
      <c r="N10" s="49" t="str">
        <f>IFERROR(IF(N$3="","",IF(TEXT(N$3,"ddd")="CN","CN",VLOOKUP($A10&amp;N$3,Data_Cong!$R:$AI,10,0))),"")</f>
        <v/>
      </c>
      <c r="O10" s="49" t="str">
        <f>IFERROR(IF(O$3="","",IF(TEXT(O$3,"ddd")="CN","CN",VLOOKUP($A10&amp;O$3,Data_Cong!$R:$AI,10,0))),"")</f>
        <v/>
      </c>
      <c r="P10" s="49" t="str">
        <f>IFERROR(IF(P$3="","",IF(TEXT(P$3,"ddd")="CN","CN",VLOOKUP($A10&amp;P$3,Data_Cong!$R:$AI,10,0))),"")</f>
        <v/>
      </c>
      <c r="Q10" s="49" t="str">
        <f>IFERROR(IF(Q$3="","",IF(TEXT(Q$3,"ddd")="CN","CN",VLOOKUP($A10&amp;Q$3,Data_Cong!$R:$AI,10,0))),"")</f>
        <v>CN</v>
      </c>
      <c r="R10" s="49" t="str">
        <f>IFERROR(IF(R$3="","",IF(TEXT(R$3,"ddd")="CN","CN",VLOOKUP($A10&amp;R$3,Data_Cong!$R:$AI,10,0))),"")</f>
        <v/>
      </c>
      <c r="S10" s="49" t="str">
        <f>IFERROR(IF(S$3="","",IF(TEXT(S$3,"ddd")="CN","CN",VLOOKUP($A10&amp;S$3,Data_Cong!$R:$AI,10,0))),"")</f>
        <v/>
      </c>
      <c r="T10" s="49" t="str">
        <f>IFERROR(IF(T$3="","",IF(TEXT(T$3,"ddd")="CN","CN",VLOOKUP($A10&amp;T$3,Data_Cong!$R:$AI,10,0))),"")</f>
        <v/>
      </c>
      <c r="U10" s="49" t="str">
        <f>IFERROR(IF(U$3="","",IF(TEXT(U$3,"ddd")="CN","CN",VLOOKUP($A10&amp;U$3,Data_Cong!$R:$AI,10,0))),"")</f>
        <v/>
      </c>
      <c r="V10" s="49" t="str">
        <f>IFERROR(IF(V$3="","",IF(TEXT(V$3,"ddd")="CN","CN",VLOOKUP($A10&amp;V$3,Data_Cong!$R:$AI,10,0))),"")</f>
        <v/>
      </c>
      <c r="W10" s="49" t="str">
        <f>IFERROR(IF(W$3="","",IF(TEXT(W$3,"ddd")="CN","CN",VLOOKUP($A10&amp;W$3,Data_Cong!$R:$AI,10,0))),"")</f>
        <v/>
      </c>
      <c r="X10" s="49" t="str">
        <f>IFERROR(IF(X$3="","",IF(TEXT(X$3,"ddd")="CN","CN",VLOOKUP($A10&amp;X$3,Data_Cong!$R:$AI,10,0))),"")</f>
        <v>CN</v>
      </c>
      <c r="Y10" s="49" t="str">
        <f>IFERROR(IF(Y$3="","",IF(TEXT(Y$3,"ddd")="CN","CN",VLOOKUP($A10&amp;Y$3,Data_Cong!$R:$AI,10,0))),"")</f>
        <v/>
      </c>
      <c r="Z10" s="49" t="str">
        <f>IFERROR(IF(Z$3="","",IF(TEXT(Z$3,"ddd")="CN","CN",VLOOKUP($A10&amp;Z$3,Data_Cong!$R:$AI,10,0))),"")</f>
        <v/>
      </c>
      <c r="AA10" s="49" t="str">
        <f>IFERROR(IF(AA$3="","",IF(TEXT(AA$3,"ddd")="CN","CN",VLOOKUP($A10&amp;AA$3,Data_Cong!$R:$AI,10,0))),"")</f>
        <v/>
      </c>
      <c r="AB10" s="49" t="str">
        <f>IFERROR(IF(AB$3="","",IF(TEXT(AB$3,"ddd")="CN","CN",VLOOKUP($A10&amp;AB$3,Data_Cong!$R:$AI,10,0))),"")</f>
        <v/>
      </c>
      <c r="AC10" s="49" t="str">
        <f>IFERROR(IF(AC$3="","",IF(TEXT(AC$3,"ddd")="CN","CN",VLOOKUP($A10&amp;AC$3,Data_Cong!$R:$AI,10,0))),"")</f>
        <v/>
      </c>
      <c r="AD10" s="49" t="str">
        <f>IFERROR(IF(AD$3="","",IF(TEXT(AD$3,"ddd")="CN","CN",VLOOKUP($A10&amp;AD$3,Data_Cong!$R:$AI,10,0))),"")</f>
        <v/>
      </c>
      <c r="AE10" s="49" t="str">
        <f>IFERROR(IF(AE$3="","",IF(TEXT(AE$3,"ddd")="CN","CN",VLOOKUP($A10&amp;AE$3,Data_Cong!$R:$AI,10,0))),"")</f>
        <v>CN</v>
      </c>
      <c r="AF10" s="49" t="str">
        <f>IFERROR(IF(AF$3="","",IF(TEXT(AF$3,"ddd")="CN","CN",VLOOKUP($A10&amp;AF$3,Data_Cong!$R:$AI,10,0))),"")</f>
        <v/>
      </c>
      <c r="AG10" s="49" t="str">
        <f>IFERROR(IF(AG$3="","",IF(TEXT(AG$3,"ddd")="CN","CN",VLOOKUP($A10&amp;AG$3,Data_Cong!$R:$AI,10,0))),"")</f>
        <v/>
      </c>
      <c r="AH10" s="49" t="str">
        <f>IFERROR(IF(AH$3="","",IF(TEXT(AH$3,"ddd")="CN","CN",VLOOKUP($A10&amp;AH$3,Data_Cong!$R:$AI,10,0))),"")</f>
        <v/>
      </c>
      <c r="AI10" s="50" cm="1">
        <f t="array" ref="AI10">SUMPRODUCT((D10:AH10="x")*1+(D10:AH10="P")*1+(D10:AH10="1/2P")*1+(D10:AH10="1/2")*0.5+(D10:AH10="2x")*2+(D10:AH10="L")*1)</f>
        <v>0</v>
      </c>
      <c r="AJ10" s="51">
        <f>SUMIF(Data_Cong!A:A,$A10,Data_Cong!AE:AE)</f>
        <v>0</v>
      </c>
      <c r="AK10" s="52">
        <f>COUNTIFS(Data_Cong!AB:AB,"&gt;5",Data_Cong!A:A,A10)</f>
        <v>0</v>
      </c>
      <c r="AL10" s="53" t="str">
        <f>IF(MONTH(VLOOKUP(A10,Data_NV!$A:$J,10,0))=BANG_CHAM_CONG!$R$2,"T"&amp;BANG_CHAM_CONG!$R$2,"")</f>
        <v/>
      </c>
      <c r="AM10" s="94">
        <v>5</v>
      </c>
      <c r="AN10" s="91" cm="1">
        <f t="array" ref="AN10">IF((AM10+1)&gt;12,12,(AM10+1))-SUMPRODUCT((D10:AH10="P")*1+(D10:AH10="1/2P")*0.5)</f>
        <v>6</v>
      </c>
      <c r="AO10" s="50"/>
      <c r="AP10" s="54">
        <f>SUMIFS(Data_Cong!AF:AF,Data_Cong!A:A,$A10)+SUMIFS(Data_Cong!AG:AG,Data_Cong!A:A,$A10)</f>
        <v>0</v>
      </c>
    </row>
    <row r="11" spans="1:42" ht="15.75" x14ac:dyDescent="0.25">
      <c r="A11" s="28" t="s">
        <v>263</v>
      </c>
      <c r="B11" s="47">
        <v>6</v>
      </c>
      <c r="C11" s="48" t="s">
        <v>526</v>
      </c>
      <c r="D11" s="49" t="str">
        <f>IFERROR(IF(D$3="","",IF(TEXT(D$3,"ddd")="CN","CN",VLOOKUP($A11&amp;D$3,Data_Cong!$R:$AI,10,0))),"")</f>
        <v/>
      </c>
      <c r="E11" s="49" t="str">
        <f>IFERROR(IF(E$3="","",IF(TEXT(E$3,"ddd")="CN","CN",VLOOKUP($A11&amp;E$3,Data_Cong!$R:$AI,10,0))),"")</f>
        <v/>
      </c>
      <c r="F11" s="49" t="str">
        <f>IFERROR(IF(F$3="","",IF(TEXT(F$3,"ddd")="CN","CN",VLOOKUP($A11&amp;F$3,Data_Cong!$R:$AI,10,0))),"")</f>
        <v/>
      </c>
      <c r="G11" s="49" t="str">
        <f>IFERROR(IF(G$3="","",IF(TEXT(G$3,"ddd")="CN","CN",VLOOKUP($A11&amp;G$3,Data_Cong!$R:$AI,10,0))),"")</f>
        <v/>
      </c>
      <c r="H11" s="49" t="str">
        <f>IFERROR(IF(H$3="","",IF(TEXT(H$3,"ddd")="CN","CN",VLOOKUP($A11&amp;H$3,Data_Cong!$R:$AI,10,0))),"")</f>
        <v/>
      </c>
      <c r="I11" s="49" t="str">
        <f>IFERROR(IF(I$3="","",IF(TEXT(I$3,"ddd")="CN","CN",VLOOKUP($A11&amp;I$3,Data_Cong!$R:$AI,10,0))),"")</f>
        <v/>
      </c>
      <c r="J11" s="49" t="str">
        <f>IFERROR(IF(J$3="","",IF(TEXT(J$3,"ddd")="CN","CN",VLOOKUP($A11&amp;J$3,Data_Cong!$R:$AI,10,0))),"")</f>
        <v>CN</v>
      </c>
      <c r="K11" s="49" t="str">
        <f>IFERROR(IF(K$3="","",IF(TEXT(K$3,"ddd")="CN","CN",VLOOKUP($A11&amp;K$3,Data_Cong!$R:$AI,10,0))),"")</f>
        <v/>
      </c>
      <c r="L11" s="49" t="str">
        <f>IFERROR(IF(L$3="","",IF(TEXT(L$3,"ddd")="CN","CN",VLOOKUP($A11&amp;L$3,Data_Cong!$R:$AI,10,0))),"")</f>
        <v/>
      </c>
      <c r="M11" s="49" t="str">
        <f>IFERROR(IF(M$3="","",IF(TEXT(M$3,"ddd")="CN","CN",VLOOKUP($A11&amp;M$3,Data_Cong!$R:$AI,10,0))),"")</f>
        <v/>
      </c>
      <c r="N11" s="49" t="str">
        <f>IFERROR(IF(N$3="","",IF(TEXT(N$3,"ddd")="CN","CN",VLOOKUP($A11&amp;N$3,Data_Cong!$R:$AI,10,0))),"")</f>
        <v/>
      </c>
      <c r="O11" s="49" t="str">
        <f>IFERROR(IF(O$3="","",IF(TEXT(O$3,"ddd")="CN","CN",VLOOKUP($A11&amp;O$3,Data_Cong!$R:$AI,10,0))),"")</f>
        <v/>
      </c>
      <c r="P11" s="49" t="str">
        <f>IFERROR(IF(P$3="","",IF(TEXT(P$3,"ddd")="CN","CN",VLOOKUP($A11&amp;P$3,Data_Cong!$R:$AI,10,0))),"")</f>
        <v/>
      </c>
      <c r="Q11" s="49" t="str">
        <f>IFERROR(IF(Q$3="","",IF(TEXT(Q$3,"ddd")="CN","CN",VLOOKUP($A11&amp;Q$3,Data_Cong!$R:$AI,10,0))),"")</f>
        <v>CN</v>
      </c>
      <c r="R11" s="49" t="str">
        <f>IFERROR(IF(R$3="","",IF(TEXT(R$3,"ddd")="CN","CN",VLOOKUP($A11&amp;R$3,Data_Cong!$R:$AI,10,0))),"")</f>
        <v/>
      </c>
      <c r="S11" s="49" t="str">
        <f>IFERROR(IF(S$3="","",IF(TEXT(S$3,"ddd")="CN","CN",VLOOKUP($A11&amp;S$3,Data_Cong!$R:$AI,10,0))),"")</f>
        <v/>
      </c>
      <c r="T11" s="49" t="str">
        <f>IFERROR(IF(T$3="","",IF(TEXT(T$3,"ddd")="CN","CN",VLOOKUP($A11&amp;T$3,Data_Cong!$R:$AI,10,0))),"")</f>
        <v/>
      </c>
      <c r="U11" s="49" t="str">
        <f>IFERROR(IF(U$3="","",IF(TEXT(U$3,"ddd")="CN","CN",VLOOKUP($A11&amp;U$3,Data_Cong!$R:$AI,10,0))),"")</f>
        <v/>
      </c>
      <c r="V11" s="49" t="str">
        <f>IFERROR(IF(V$3="","",IF(TEXT(V$3,"ddd")="CN","CN",VLOOKUP($A11&amp;V$3,Data_Cong!$R:$AI,10,0))),"")</f>
        <v/>
      </c>
      <c r="W11" s="49" t="str">
        <f>IFERROR(IF(W$3="","",IF(TEXT(W$3,"ddd")="CN","CN",VLOOKUP($A11&amp;W$3,Data_Cong!$R:$AI,10,0))),"")</f>
        <v/>
      </c>
      <c r="X11" s="49" t="str">
        <f>IFERROR(IF(X$3="","",IF(TEXT(X$3,"ddd")="CN","CN",VLOOKUP($A11&amp;X$3,Data_Cong!$R:$AI,10,0))),"")</f>
        <v>CN</v>
      </c>
      <c r="Y11" s="49" t="str">
        <f>IFERROR(IF(Y$3="","",IF(TEXT(Y$3,"ddd")="CN","CN",VLOOKUP($A11&amp;Y$3,Data_Cong!$R:$AI,10,0))),"")</f>
        <v/>
      </c>
      <c r="Z11" s="49" t="str">
        <f>IFERROR(IF(Z$3="","",IF(TEXT(Z$3,"ddd")="CN","CN",VLOOKUP($A11&amp;Z$3,Data_Cong!$R:$AI,10,0))),"")</f>
        <v/>
      </c>
      <c r="AA11" s="49" t="str">
        <f>IFERROR(IF(AA$3="","",IF(TEXT(AA$3,"ddd")="CN","CN",VLOOKUP($A11&amp;AA$3,Data_Cong!$R:$AI,10,0))),"")</f>
        <v/>
      </c>
      <c r="AB11" s="49" t="str">
        <f>IFERROR(IF(AB$3="","",IF(TEXT(AB$3,"ddd")="CN","CN",VLOOKUP($A11&amp;AB$3,Data_Cong!$R:$AI,10,0))),"")</f>
        <v/>
      </c>
      <c r="AC11" s="49" t="str">
        <f>IFERROR(IF(AC$3="","",IF(TEXT(AC$3,"ddd")="CN","CN",VLOOKUP($A11&amp;AC$3,Data_Cong!$R:$AI,10,0))),"")</f>
        <v/>
      </c>
      <c r="AD11" s="49" t="str">
        <f>IFERROR(IF(AD$3="","",IF(TEXT(AD$3,"ddd")="CN","CN",VLOOKUP($A11&amp;AD$3,Data_Cong!$R:$AI,10,0))),"")</f>
        <v/>
      </c>
      <c r="AE11" s="49" t="str">
        <f>IFERROR(IF(AE$3="","",IF(TEXT(AE$3,"ddd")="CN","CN",VLOOKUP($A11&amp;AE$3,Data_Cong!$R:$AI,10,0))),"")</f>
        <v>CN</v>
      </c>
      <c r="AF11" s="49" t="str">
        <f>IFERROR(IF(AF$3="","",IF(TEXT(AF$3,"ddd")="CN","CN",VLOOKUP($A11&amp;AF$3,Data_Cong!$R:$AI,10,0))),"")</f>
        <v/>
      </c>
      <c r="AG11" s="49" t="str">
        <f>IFERROR(IF(AG$3="","",IF(TEXT(AG$3,"ddd")="CN","CN",VLOOKUP($A11&amp;AG$3,Data_Cong!$R:$AI,10,0))),"")</f>
        <v/>
      </c>
      <c r="AH11" s="49" t="str">
        <f>IFERROR(IF(AH$3="","",IF(TEXT(AH$3,"ddd")="CN","CN",VLOOKUP($A11&amp;AH$3,Data_Cong!$R:$AI,10,0))),"")</f>
        <v/>
      </c>
      <c r="AI11" s="50" cm="1">
        <f t="array" ref="AI11">SUMPRODUCT((D11:AH11="x")*1+(D11:AH11="P")*1+(D11:AH11="1/2P")*1+(D11:AH11="1/2")*0.5+(D11:AH11="2x")*2+(D11:AH11="L")*1)</f>
        <v>0</v>
      </c>
      <c r="AJ11" s="51">
        <f>SUMIF(Data_Cong!A:A,$A11,Data_Cong!AE:AE)</f>
        <v>0</v>
      </c>
      <c r="AK11" s="52">
        <f>COUNTIFS(Data_Cong!AB:AB,"&gt;5",Data_Cong!A:A,A11)</f>
        <v>0</v>
      </c>
      <c r="AL11" s="53" t="str">
        <f>IF(MONTH(VLOOKUP(A11,Data_NV!$A:$J,10,0))=BANG_CHAM_CONG!$R$2,"T"&amp;BANG_CHAM_CONG!$R$2,"")</f>
        <v/>
      </c>
      <c r="AM11" s="94">
        <v>6</v>
      </c>
      <c r="AN11" s="91" cm="1">
        <f t="array" ref="AN11">IF((AM11+1)&gt;12,12,(AM11+1))-SUMPRODUCT((D11:AH11="P")*1+(D11:AH11="1/2P")*0.5)</f>
        <v>7</v>
      </c>
      <c r="AO11" s="50"/>
      <c r="AP11" s="54">
        <f>SUMIFS(Data_Cong!AF:AF,Data_Cong!A:A,$A11)+SUMIFS(Data_Cong!AG:AG,Data_Cong!A:A,$A11)</f>
        <v>0</v>
      </c>
    </row>
    <row r="12" spans="1:42" ht="15.75" x14ac:dyDescent="0.25">
      <c r="A12" s="28" t="s">
        <v>332</v>
      </c>
      <c r="B12" s="47">
        <v>7</v>
      </c>
      <c r="C12" s="48" t="s">
        <v>527</v>
      </c>
      <c r="D12" s="49" t="str">
        <f>IFERROR(IF(D$3="","",IF(TEXT(D$3,"ddd")="CN","CN",VLOOKUP($A12&amp;D$3,Data_Cong!$R:$AI,10,0))),"")</f>
        <v/>
      </c>
      <c r="E12" s="49" t="str">
        <f>IFERROR(IF(E$3="","",IF(TEXT(E$3,"ddd")="CN","CN",VLOOKUP($A12&amp;E$3,Data_Cong!$R:$AI,10,0))),"")</f>
        <v/>
      </c>
      <c r="F12" s="49" t="str">
        <f>IFERROR(IF(F$3="","",IF(TEXT(F$3,"ddd")="CN","CN",VLOOKUP($A12&amp;F$3,Data_Cong!$R:$AI,10,0))),"")</f>
        <v/>
      </c>
      <c r="G12" s="49" t="str">
        <f>IFERROR(IF(G$3="","",IF(TEXT(G$3,"ddd")="CN","CN",VLOOKUP($A12&amp;G$3,Data_Cong!$R:$AI,10,0))),"")</f>
        <v/>
      </c>
      <c r="H12" s="49" t="str">
        <f>IFERROR(IF(H$3="","",IF(TEXT(H$3,"ddd")="CN","CN",VLOOKUP($A12&amp;H$3,Data_Cong!$R:$AI,10,0))),"")</f>
        <v/>
      </c>
      <c r="I12" s="49" t="str">
        <f>IFERROR(IF(I$3="","",IF(TEXT(I$3,"ddd")="CN","CN",VLOOKUP($A12&amp;I$3,Data_Cong!$R:$AI,10,0))),"")</f>
        <v/>
      </c>
      <c r="J12" s="49" t="str">
        <f>IFERROR(IF(J$3="","",IF(TEXT(J$3,"ddd")="CN","CN",VLOOKUP($A12&amp;J$3,Data_Cong!$R:$AI,10,0))),"")</f>
        <v>CN</v>
      </c>
      <c r="K12" s="49" t="str">
        <f>IFERROR(IF(K$3="","",IF(TEXT(K$3,"ddd")="CN","CN",VLOOKUP($A12&amp;K$3,Data_Cong!$R:$AI,10,0))),"")</f>
        <v/>
      </c>
      <c r="L12" s="49" t="str">
        <f>IFERROR(IF(L$3="","",IF(TEXT(L$3,"ddd")="CN","CN",VLOOKUP($A12&amp;L$3,Data_Cong!$R:$AI,10,0))),"")</f>
        <v/>
      </c>
      <c r="M12" s="49" t="str">
        <f>IFERROR(IF(M$3="","",IF(TEXT(M$3,"ddd")="CN","CN",VLOOKUP($A12&amp;M$3,Data_Cong!$R:$AI,10,0))),"")</f>
        <v/>
      </c>
      <c r="N12" s="49" t="str">
        <f>IFERROR(IF(N$3="","",IF(TEXT(N$3,"ddd")="CN","CN",VLOOKUP($A12&amp;N$3,Data_Cong!$R:$AI,10,0))),"")</f>
        <v/>
      </c>
      <c r="O12" s="49" t="str">
        <f>IFERROR(IF(O$3="","",IF(TEXT(O$3,"ddd")="CN","CN",VLOOKUP($A12&amp;O$3,Data_Cong!$R:$AI,10,0))),"")</f>
        <v/>
      </c>
      <c r="P12" s="49" t="str">
        <f>IFERROR(IF(P$3="","",IF(TEXT(P$3,"ddd")="CN","CN",VLOOKUP($A12&amp;P$3,Data_Cong!$R:$AI,10,0))),"")</f>
        <v/>
      </c>
      <c r="Q12" s="49" t="str">
        <f>IFERROR(IF(Q$3="","",IF(TEXT(Q$3,"ddd")="CN","CN",VLOOKUP($A12&amp;Q$3,Data_Cong!$R:$AI,10,0))),"")</f>
        <v>CN</v>
      </c>
      <c r="R12" s="49" t="str">
        <f>IFERROR(IF(R$3="","",IF(TEXT(R$3,"ddd")="CN","CN",VLOOKUP($A12&amp;R$3,Data_Cong!$R:$AI,10,0))),"")</f>
        <v/>
      </c>
      <c r="S12" s="49" t="str">
        <f>IFERROR(IF(S$3="","",IF(TEXT(S$3,"ddd")="CN","CN",VLOOKUP($A12&amp;S$3,Data_Cong!$R:$AI,10,0))),"")</f>
        <v/>
      </c>
      <c r="T12" s="49" t="str">
        <f>IFERROR(IF(T$3="","",IF(TEXT(T$3,"ddd")="CN","CN",VLOOKUP($A12&amp;T$3,Data_Cong!$R:$AI,10,0))),"")</f>
        <v/>
      </c>
      <c r="U12" s="49" t="str">
        <f>IFERROR(IF(U$3="","",IF(TEXT(U$3,"ddd")="CN","CN",VLOOKUP($A12&amp;U$3,Data_Cong!$R:$AI,10,0))),"")</f>
        <v/>
      </c>
      <c r="V12" s="49" t="str">
        <f>IFERROR(IF(V$3="","",IF(TEXT(V$3,"ddd")="CN","CN",VLOOKUP($A12&amp;V$3,Data_Cong!$R:$AI,10,0))),"")</f>
        <v/>
      </c>
      <c r="W12" s="49" t="str">
        <f>IFERROR(IF(W$3="","",IF(TEXT(W$3,"ddd")="CN","CN",VLOOKUP($A12&amp;W$3,Data_Cong!$R:$AI,10,0))),"")</f>
        <v/>
      </c>
      <c r="X12" s="49" t="str">
        <f>IFERROR(IF(X$3="","",IF(TEXT(X$3,"ddd")="CN","CN",VLOOKUP($A12&amp;X$3,Data_Cong!$R:$AI,10,0))),"")</f>
        <v>CN</v>
      </c>
      <c r="Y12" s="49" t="str">
        <f>IFERROR(IF(Y$3="","",IF(TEXT(Y$3,"ddd")="CN","CN",VLOOKUP($A12&amp;Y$3,Data_Cong!$R:$AI,10,0))),"")</f>
        <v/>
      </c>
      <c r="Z12" s="49" t="str">
        <f>IFERROR(IF(Z$3="","",IF(TEXT(Z$3,"ddd")="CN","CN",VLOOKUP($A12&amp;Z$3,Data_Cong!$R:$AI,10,0))),"")</f>
        <v/>
      </c>
      <c r="AA12" s="49" t="str">
        <f>IFERROR(IF(AA$3="","",IF(TEXT(AA$3,"ddd")="CN","CN",VLOOKUP($A12&amp;AA$3,Data_Cong!$R:$AI,10,0))),"")</f>
        <v/>
      </c>
      <c r="AB12" s="49" t="str">
        <f>IFERROR(IF(AB$3="","",IF(TEXT(AB$3,"ddd")="CN","CN",VLOOKUP($A12&amp;AB$3,Data_Cong!$R:$AI,10,0))),"")</f>
        <v/>
      </c>
      <c r="AC12" s="49" t="str">
        <f>IFERROR(IF(AC$3="","",IF(TEXT(AC$3,"ddd")="CN","CN",VLOOKUP($A12&amp;AC$3,Data_Cong!$R:$AI,10,0))),"")</f>
        <v/>
      </c>
      <c r="AD12" s="49" t="str">
        <f>IFERROR(IF(AD$3="","",IF(TEXT(AD$3,"ddd")="CN","CN",VLOOKUP($A12&amp;AD$3,Data_Cong!$R:$AI,10,0))),"")</f>
        <v/>
      </c>
      <c r="AE12" s="49" t="str">
        <f>IFERROR(IF(AE$3="","",IF(TEXT(AE$3,"ddd")="CN","CN",VLOOKUP($A12&amp;AE$3,Data_Cong!$R:$AI,10,0))),"")</f>
        <v>CN</v>
      </c>
      <c r="AF12" s="49" t="str">
        <f>IFERROR(IF(AF$3="","",IF(TEXT(AF$3,"ddd")="CN","CN",VLOOKUP($A12&amp;AF$3,Data_Cong!$R:$AI,10,0))),"")</f>
        <v/>
      </c>
      <c r="AG12" s="49" t="str">
        <f>IFERROR(IF(AG$3="","",IF(TEXT(AG$3,"ddd")="CN","CN",VLOOKUP($A12&amp;AG$3,Data_Cong!$R:$AI,10,0))),"")</f>
        <v/>
      </c>
      <c r="AH12" s="49" t="str">
        <f>IFERROR(IF(AH$3="","",IF(TEXT(AH$3,"ddd")="CN","CN",VLOOKUP($A12&amp;AH$3,Data_Cong!$R:$AI,10,0))),"")</f>
        <v/>
      </c>
      <c r="AI12" s="50" cm="1">
        <f t="array" ref="AI12">SUMPRODUCT((D12:AH12="x")*1+(D12:AH12="P")*1+(D12:AH12="1/2P")*1+(D12:AH12="1/2")*0.5+(D12:AH12="2x")*2+(D12:AH12="L")*1)</f>
        <v>0</v>
      </c>
      <c r="AJ12" s="51">
        <f>SUMIF(Data_Cong!A:A,$A12,Data_Cong!AE:AE)</f>
        <v>0</v>
      </c>
      <c r="AK12" s="52">
        <f>COUNTIFS(Data_Cong!AB:AB,"&gt;5",Data_Cong!A:A,A12)</f>
        <v>0</v>
      </c>
      <c r="AL12" s="53" t="str">
        <f>IF(MONTH(VLOOKUP(A12,Data_NV!$A:$J,10,0))=BANG_CHAM_CONG!$R$2,"T"&amp;BANG_CHAM_CONG!$R$2,"")</f>
        <v/>
      </c>
      <c r="AM12" s="94">
        <v>7</v>
      </c>
      <c r="AN12" s="91" cm="1">
        <f t="array" ref="AN12">IF((AM12+1)&gt;12,12,(AM12+1))-SUMPRODUCT((D12:AH12="P")*1+(D12:AH12="1/2P")*0.5)</f>
        <v>8</v>
      </c>
      <c r="AO12" s="50"/>
      <c r="AP12" s="54">
        <f>SUMIFS(Data_Cong!AF:AF,Data_Cong!A:A,$A12)+SUMIFS(Data_Cong!AG:AG,Data_Cong!A:A,$A12)</f>
        <v>0</v>
      </c>
    </row>
    <row r="13" spans="1:42" ht="15.75" x14ac:dyDescent="0.25">
      <c r="A13" s="28" t="s">
        <v>240</v>
      </c>
      <c r="B13" s="47">
        <v>8</v>
      </c>
      <c r="C13" s="48" t="s">
        <v>528</v>
      </c>
      <c r="D13" s="49" t="str">
        <f>IFERROR(IF(D$3="","",IF(TEXT(D$3,"ddd")="CN","CN",VLOOKUP($A13&amp;D$3,Data_Cong!$R:$AI,10,0))),"")</f>
        <v/>
      </c>
      <c r="E13" s="49" t="str">
        <f>IFERROR(IF(E$3="","",IF(TEXT(E$3,"ddd")="CN","CN",VLOOKUP($A13&amp;E$3,Data_Cong!$R:$AI,10,0))),"")</f>
        <v/>
      </c>
      <c r="F13" s="49" t="str">
        <f>IFERROR(IF(F$3="","",IF(TEXT(F$3,"ddd")="CN","CN",VLOOKUP($A13&amp;F$3,Data_Cong!$R:$AI,10,0))),"")</f>
        <v/>
      </c>
      <c r="G13" s="49" t="str">
        <f>IFERROR(IF(G$3="","",IF(TEXT(G$3,"ddd")="CN","CN",VLOOKUP($A13&amp;G$3,Data_Cong!$R:$AI,10,0))),"")</f>
        <v/>
      </c>
      <c r="H13" s="49" t="str">
        <f>IFERROR(IF(H$3="","",IF(TEXT(H$3,"ddd")="CN","CN",VLOOKUP($A13&amp;H$3,Data_Cong!$R:$AI,10,0))),"")</f>
        <v/>
      </c>
      <c r="I13" s="49" t="str">
        <f>IFERROR(IF(I$3="","",IF(TEXT(I$3,"ddd")="CN","CN",VLOOKUP($A13&amp;I$3,Data_Cong!$R:$AI,10,0))),"")</f>
        <v/>
      </c>
      <c r="J13" s="49" t="str">
        <f>IFERROR(IF(J$3="","",IF(TEXT(J$3,"ddd")="CN","CN",VLOOKUP($A13&amp;J$3,Data_Cong!$R:$AI,10,0))),"")</f>
        <v>CN</v>
      </c>
      <c r="K13" s="49" t="str">
        <f>IFERROR(IF(K$3="","",IF(TEXT(K$3,"ddd")="CN","CN",VLOOKUP($A13&amp;K$3,Data_Cong!$R:$AI,10,0))),"")</f>
        <v/>
      </c>
      <c r="L13" s="49" t="str">
        <f>IFERROR(IF(L$3="","",IF(TEXT(L$3,"ddd")="CN","CN",VLOOKUP($A13&amp;L$3,Data_Cong!$R:$AI,10,0))),"")</f>
        <v/>
      </c>
      <c r="M13" s="49" t="str">
        <f>IFERROR(IF(M$3="","",IF(TEXT(M$3,"ddd")="CN","CN",VLOOKUP($A13&amp;M$3,Data_Cong!$R:$AI,10,0))),"")</f>
        <v/>
      </c>
      <c r="N13" s="49" t="str">
        <f>IFERROR(IF(N$3="","",IF(TEXT(N$3,"ddd")="CN","CN",VLOOKUP($A13&amp;N$3,Data_Cong!$R:$AI,10,0))),"")</f>
        <v/>
      </c>
      <c r="O13" s="49" t="str">
        <f>IFERROR(IF(O$3="","",IF(TEXT(O$3,"ddd")="CN","CN",VLOOKUP($A13&amp;O$3,Data_Cong!$R:$AI,10,0))),"")</f>
        <v/>
      </c>
      <c r="P13" s="49" t="str">
        <f>IFERROR(IF(P$3="","",IF(TEXT(P$3,"ddd")="CN","CN",VLOOKUP($A13&amp;P$3,Data_Cong!$R:$AI,10,0))),"")</f>
        <v/>
      </c>
      <c r="Q13" s="49" t="str">
        <f>IFERROR(IF(Q$3="","",IF(TEXT(Q$3,"ddd")="CN","CN",VLOOKUP($A13&amp;Q$3,Data_Cong!$R:$AI,10,0))),"")</f>
        <v>CN</v>
      </c>
      <c r="R13" s="49" t="str">
        <f>IFERROR(IF(R$3="","",IF(TEXT(R$3,"ddd")="CN","CN",VLOOKUP($A13&amp;R$3,Data_Cong!$R:$AI,10,0))),"")</f>
        <v/>
      </c>
      <c r="S13" s="49" t="str">
        <f>IFERROR(IF(S$3="","",IF(TEXT(S$3,"ddd")="CN","CN",VLOOKUP($A13&amp;S$3,Data_Cong!$R:$AI,10,0))),"")</f>
        <v/>
      </c>
      <c r="T13" s="49" t="str">
        <f>IFERROR(IF(T$3="","",IF(TEXT(T$3,"ddd")="CN","CN",VLOOKUP($A13&amp;T$3,Data_Cong!$R:$AI,10,0))),"")</f>
        <v/>
      </c>
      <c r="U13" s="49" t="str">
        <f>IFERROR(IF(U$3="","",IF(TEXT(U$3,"ddd")="CN","CN",VLOOKUP($A13&amp;U$3,Data_Cong!$R:$AI,10,0))),"")</f>
        <v/>
      </c>
      <c r="V13" s="49" t="str">
        <f>IFERROR(IF(V$3="","",IF(TEXT(V$3,"ddd")="CN","CN",VLOOKUP($A13&amp;V$3,Data_Cong!$R:$AI,10,0))),"")</f>
        <v/>
      </c>
      <c r="W13" s="49" t="str">
        <f>IFERROR(IF(W$3="","",IF(TEXT(W$3,"ddd")="CN","CN",VLOOKUP($A13&amp;W$3,Data_Cong!$R:$AI,10,0))),"")</f>
        <v/>
      </c>
      <c r="X13" s="49" t="str">
        <f>IFERROR(IF(X$3="","",IF(TEXT(X$3,"ddd")="CN","CN",VLOOKUP($A13&amp;X$3,Data_Cong!$R:$AI,10,0))),"")</f>
        <v>CN</v>
      </c>
      <c r="Y13" s="49" t="str">
        <f>IFERROR(IF(Y$3="","",IF(TEXT(Y$3,"ddd")="CN","CN",VLOOKUP($A13&amp;Y$3,Data_Cong!$R:$AI,10,0))),"")</f>
        <v/>
      </c>
      <c r="Z13" s="49" t="str">
        <f>IFERROR(IF(Z$3="","",IF(TEXT(Z$3,"ddd")="CN","CN",VLOOKUP($A13&amp;Z$3,Data_Cong!$R:$AI,10,0))),"")</f>
        <v/>
      </c>
      <c r="AA13" s="49" t="str">
        <f>IFERROR(IF(AA$3="","",IF(TEXT(AA$3,"ddd")="CN","CN",VLOOKUP($A13&amp;AA$3,Data_Cong!$R:$AI,10,0))),"")</f>
        <v/>
      </c>
      <c r="AB13" s="49" t="str">
        <f>IFERROR(IF(AB$3="","",IF(TEXT(AB$3,"ddd")="CN","CN",VLOOKUP($A13&amp;AB$3,Data_Cong!$R:$AI,10,0))),"")</f>
        <v/>
      </c>
      <c r="AC13" s="49" t="str">
        <f>IFERROR(IF(AC$3="","",IF(TEXT(AC$3,"ddd")="CN","CN",VLOOKUP($A13&amp;AC$3,Data_Cong!$R:$AI,10,0))),"")</f>
        <v/>
      </c>
      <c r="AD13" s="49" t="str">
        <f>IFERROR(IF(AD$3="","",IF(TEXT(AD$3,"ddd")="CN","CN",VLOOKUP($A13&amp;AD$3,Data_Cong!$R:$AI,10,0))),"")</f>
        <v/>
      </c>
      <c r="AE13" s="49" t="str">
        <f>IFERROR(IF(AE$3="","",IF(TEXT(AE$3,"ddd")="CN","CN",VLOOKUP($A13&amp;AE$3,Data_Cong!$R:$AI,10,0))),"")</f>
        <v>CN</v>
      </c>
      <c r="AF13" s="49" t="str">
        <f>IFERROR(IF(AF$3="","",IF(TEXT(AF$3,"ddd")="CN","CN",VLOOKUP($A13&amp;AF$3,Data_Cong!$R:$AI,10,0))),"")</f>
        <v/>
      </c>
      <c r="AG13" s="49" t="str">
        <f>IFERROR(IF(AG$3="","",IF(TEXT(AG$3,"ddd")="CN","CN",VLOOKUP($A13&amp;AG$3,Data_Cong!$R:$AI,10,0))),"")</f>
        <v/>
      </c>
      <c r="AH13" s="49" t="str">
        <f>IFERROR(IF(AH$3="","",IF(TEXT(AH$3,"ddd")="CN","CN",VLOOKUP($A13&amp;AH$3,Data_Cong!$R:$AI,10,0))),"")</f>
        <v/>
      </c>
      <c r="AI13" s="50" cm="1">
        <f t="array" ref="AI13">SUMPRODUCT((D13:AH13="x")*1+(D13:AH13="P")*1+(D13:AH13="1/2P")*1+(D13:AH13="1/2")*0.5+(D13:AH13="2x")*2+(D13:AH13="L")*1)</f>
        <v>0</v>
      </c>
      <c r="AJ13" s="51">
        <f>SUMIF(Data_Cong!A:A,$A13,Data_Cong!AE:AE)</f>
        <v>0</v>
      </c>
      <c r="AK13" s="52">
        <f>COUNTIFS(Data_Cong!AB:AB,"&gt;5",Data_Cong!A:A,A13)</f>
        <v>0</v>
      </c>
      <c r="AL13" s="53" t="str">
        <f>IF(MONTH(VLOOKUP(A13,Data_NV!$A:$J,10,0))=BANG_CHAM_CONG!$R$2,"T"&amp;BANG_CHAM_CONG!$R$2,"")</f>
        <v/>
      </c>
      <c r="AM13" s="94">
        <v>8.5</v>
      </c>
      <c r="AN13" s="91" cm="1">
        <f t="array" ref="AN13">IF((AM13+1)&gt;12,12,(AM13+1))-SUMPRODUCT((D13:AH13="P")*1+(D13:AH13="1/2P")*0.5)</f>
        <v>9.5</v>
      </c>
      <c r="AO13" s="50"/>
      <c r="AP13" s="54">
        <f>SUMIFS(Data_Cong!AF:AF,Data_Cong!A:A,$A13)+SUMIFS(Data_Cong!AG:AG,Data_Cong!A:A,$A13)</f>
        <v>0</v>
      </c>
    </row>
    <row r="14" spans="1:42" ht="15.75" x14ac:dyDescent="0.25">
      <c r="A14" s="28"/>
      <c r="B14" s="55"/>
      <c r="C14" s="56" t="s">
        <v>611</v>
      </c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 t="str">
        <f t="shared" ref="AG14" si="3">IF(AF14="","",IF(DAY(AF14+1)=1,"",AF14+1))</f>
        <v/>
      </c>
      <c r="AH14" s="57"/>
      <c r="AI14" s="57"/>
      <c r="AJ14" s="57"/>
      <c r="AK14" s="57"/>
      <c r="AL14" s="57"/>
      <c r="AM14" s="92"/>
      <c r="AN14" s="92"/>
      <c r="AO14" s="57"/>
      <c r="AP14" s="57"/>
    </row>
    <row r="15" spans="1:42" ht="15.75" x14ac:dyDescent="0.25">
      <c r="A15" s="28" t="s">
        <v>18</v>
      </c>
      <c r="B15" s="47">
        <v>1</v>
      </c>
      <c r="C15" s="48" t="s">
        <v>529</v>
      </c>
      <c r="D15" s="49" t="str">
        <f>IFERROR(IF(D$3="","",IF(TEXT(D$3,"ddd")="CN","CN",VLOOKUP($A15&amp;D$3,Data_Cong!$R:$AI,10,0))),"")</f>
        <v/>
      </c>
      <c r="E15" s="49" t="str">
        <f>IFERROR(IF(E$3="","",IF(TEXT(E$3,"ddd")="CN","CN",VLOOKUP($A15&amp;E$3,Data_Cong!$R:$AI,10,0))),"")</f>
        <v/>
      </c>
      <c r="F15" s="49" t="str">
        <f>IFERROR(IF(F$3="","",IF(TEXT(F$3,"ddd")="CN","CN",VLOOKUP($A15&amp;F$3,Data_Cong!$R:$AI,10,0))),"")</f>
        <v/>
      </c>
      <c r="G15" s="49" t="str">
        <f>IFERROR(IF(G$3="","",IF(TEXT(G$3,"ddd")="CN","CN",VLOOKUP($A15&amp;G$3,Data_Cong!$R:$AI,10,0))),"")</f>
        <v/>
      </c>
      <c r="H15" s="49" t="str">
        <f>IFERROR(IF(H$3="","",IF(TEXT(H$3,"ddd")="CN","CN",VLOOKUP($A15&amp;H$3,Data_Cong!$R:$AI,10,0))),"")</f>
        <v/>
      </c>
      <c r="I15" s="49" t="str">
        <f>IFERROR(IF(I$3="","",IF(TEXT(I$3,"ddd")="CN","CN",VLOOKUP($A15&amp;I$3,Data_Cong!$R:$AI,10,0))),"")</f>
        <v/>
      </c>
      <c r="J15" s="49" t="str">
        <f>IFERROR(IF(J$3="","",IF(TEXT(J$3,"ddd")="CN","CN",VLOOKUP($A15&amp;J$3,Data_Cong!$R:$AI,10,0))),"")</f>
        <v>CN</v>
      </c>
      <c r="K15" s="49" t="str">
        <f>IFERROR(IF(K$3="","",IF(TEXT(K$3,"ddd")="CN","CN",VLOOKUP($A15&amp;K$3,Data_Cong!$R:$AI,10,0))),"")</f>
        <v/>
      </c>
      <c r="L15" s="49" t="str">
        <f>IFERROR(IF(L$3="","",IF(TEXT(L$3,"ddd")="CN","CN",VLOOKUP($A15&amp;L$3,Data_Cong!$R:$AI,10,0))),"")</f>
        <v/>
      </c>
      <c r="M15" s="49" t="str">
        <f>IFERROR(IF(M$3="","",IF(TEXT(M$3,"ddd")="CN","CN",VLOOKUP($A15&amp;M$3,Data_Cong!$R:$AI,10,0))),"")</f>
        <v/>
      </c>
      <c r="N15" s="49" t="str">
        <f>IFERROR(IF(N$3="","",IF(TEXT(N$3,"ddd")="CN","CN",VLOOKUP($A15&amp;N$3,Data_Cong!$R:$AI,10,0))),"")</f>
        <v/>
      </c>
      <c r="O15" s="49" t="str">
        <f>IFERROR(IF(O$3="","",IF(TEXT(O$3,"ddd")="CN","CN",VLOOKUP($A15&amp;O$3,Data_Cong!$R:$AI,10,0))),"")</f>
        <v/>
      </c>
      <c r="P15" s="49" t="str">
        <f>IFERROR(IF(P$3="","",IF(TEXT(P$3,"ddd")="CN","CN",VLOOKUP($A15&amp;P$3,Data_Cong!$R:$AI,10,0))),"")</f>
        <v/>
      </c>
      <c r="Q15" s="49" t="str">
        <f>IFERROR(IF(Q$3="","",IF(TEXT(Q$3,"ddd")="CN","CN",VLOOKUP($A15&amp;Q$3,Data_Cong!$R:$AI,10,0))),"")</f>
        <v>CN</v>
      </c>
      <c r="R15" s="49" t="str">
        <f>IFERROR(IF(R$3="","",IF(TEXT(R$3,"ddd")="CN","CN",VLOOKUP($A15&amp;R$3,Data_Cong!$R:$AI,10,0))),"")</f>
        <v/>
      </c>
      <c r="S15" s="49" t="str">
        <f>IFERROR(IF(S$3="","",IF(TEXT(S$3,"ddd")="CN","CN",VLOOKUP($A15&amp;S$3,Data_Cong!$R:$AI,10,0))),"")</f>
        <v/>
      </c>
      <c r="T15" s="49" t="str">
        <f>IFERROR(IF(T$3="","",IF(TEXT(T$3,"ddd")="CN","CN",VLOOKUP($A15&amp;T$3,Data_Cong!$R:$AI,10,0))),"")</f>
        <v/>
      </c>
      <c r="U15" s="49" t="str">
        <f>IFERROR(IF(U$3="","",IF(TEXT(U$3,"ddd")="CN","CN",VLOOKUP($A15&amp;U$3,Data_Cong!$R:$AI,10,0))),"")</f>
        <v/>
      </c>
      <c r="V15" s="49" t="str">
        <f>IFERROR(IF(V$3="","",IF(TEXT(V$3,"ddd")="CN","CN",VLOOKUP($A15&amp;V$3,Data_Cong!$R:$AI,10,0))),"")</f>
        <v/>
      </c>
      <c r="W15" s="49" t="str">
        <f>IFERROR(IF(W$3="","",IF(TEXT(W$3,"ddd")="CN","CN",VLOOKUP($A15&amp;W$3,Data_Cong!$R:$AI,10,0))),"")</f>
        <v/>
      </c>
      <c r="X15" s="49" t="str">
        <f>IFERROR(IF(X$3="","",IF(TEXT(X$3,"ddd")="CN","CN",VLOOKUP($A15&amp;X$3,Data_Cong!$R:$AI,10,0))),"")</f>
        <v>CN</v>
      </c>
      <c r="Y15" s="49" t="str">
        <f>IFERROR(IF(Y$3="","",IF(TEXT(Y$3,"ddd")="CN","CN",VLOOKUP($A15&amp;Y$3,Data_Cong!$R:$AI,10,0))),"")</f>
        <v/>
      </c>
      <c r="Z15" s="49" t="str">
        <f>IFERROR(IF(Z$3="","",IF(TEXT(Z$3,"ddd")="CN","CN",VLOOKUP($A15&amp;Z$3,Data_Cong!$R:$AI,10,0))),"")</f>
        <v/>
      </c>
      <c r="AA15" s="49" t="str">
        <f>IFERROR(IF(AA$3="","",IF(TEXT(AA$3,"ddd")="CN","CN",VLOOKUP($A15&amp;AA$3,Data_Cong!$R:$AI,10,0))),"")</f>
        <v/>
      </c>
      <c r="AB15" s="49" t="str">
        <f>IFERROR(IF(AB$3="","",IF(TEXT(AB$3,"ddd")="CN","CN",VLOOKUP($A15&amp;AB$3,Data_Cong!$R:$AI,10,0))),"")</f>
        <v/>
      </c>
      <c r="AC15" s="49" t="str">
        <f>IFERROR(IF(AC$3="","",IF(TEXT(AC$3,"ddd")="CN","CN",VLOOKUP($A15&amp;AC$3,Data_Cong!$R:$AI,10,0))),"")</f>
        <v/>
      </c>
      <c r="AD15" s="49" t="str">
        <f>IFERROR(IF(AD$3="","",IF(TEXT(AD$3,"ddd")="CN","CN",VLOOKUP($A15&amp;AD$3,Data_Cong!$R:$AI,10,0))),"")</f>
        <v/>
      </c>
      <c r="AE15" s="49" t="str">
        <f>IFERROR(IF(AE$3="","",IF(TEXT(AE$3,"ddd")="CN","CN",VLOOKUP($A15&amp;AE$3,Data_Cong!$R:$AI,10,0))),"")</f>
        <v>CN</v>
      </c>
      <c r="AF15" s="49" t="str">
        <f>IFERROR(IF(AF$3="","",IF(TEXT(AF$3,"ddd")="CN","CN",VLOOKUP($A15&amp;AF$3,Data_Cong!$R:$AI,10,0))),"")</f>
        <v/>
      </c>
      <c r="AG15" s="49" t="str">
        <f>IFERROR(IF(AG$3="","",IF(TEXT(AG$3,"ddd")="CN","CN",VLOOKUP($A15&amp;AG$3,Data_Cong!$R:$AI,10,0))),"")</f>
        <v/>
      </c>
      <c r="AH15" s="49" t="str">
        <f>IFERROR(IF(AH$3="","",IF(TEXT(AH$3,"ddd")="CN","CN",VLOOKUP($A15&amp;AH$3,Data_Cong!$R:$AI,10,0))),"")</f>
        <v/>
      </c>
      <c r="AI15" s="50" cm="1">
        <f t="array" ref="AI15">SUMPRODUCT((D15:AH15="x")*1+(D15:AH15="P")*1+(D15:AH15="1/2P")*1+(D15:AH15="1/2")*0.5+(D15:AH15="2x")*2+(D15:AH15="L")*1)</f>
        <v>0</v>
      </c>
      <c r="AJ15" s="51">
        <f>SUMIF(Data_Cong!A:A,$A15,Data_Cong!AE:AE)</f>
        <v>0</v>
      </c>
      <c r="AK15" s="52">
        <f>COUNTIFS(Data_Cong!AB:AB,"&gt;5",Data_Cong!A:A,A15)</f>
        <v>0</v>
      </c>
      <c r="AL15" s="53" t="str">
        <f>IF(MONTH(VLOOKUP(A15,Data_NV!$A:$J,10,0))=BANG_CHAM_CONG!$R$2,"T"&amp;BANG_CHAM_CONG!$R$2,"")</f>
        <v>T9</v>
      </c>
      <c r="AM15" s="94">
        <v>10</v>
      </c>
      <c r="AN15" s="91" cm="1">
        <f t="array" ref="AN15">IF((AM15+1)&gt;12,12,(AM15+1))-SUMPRODUCT((D15:AH15="P")*1+(D15:AH15="1/2P")*0.5)</f>
        <v>11</v>
      </c>
      <c r="AO15" s="50"/>
      <c r="AP15" s="54">
        <f>SUMIFS(Data_Cong!AF:AF,Data_Cong!A:A,$A15)+SUMIFS(Data_Cong!AG:AG,Data_Cong!A:A,$A15)</f>
        <v>0</v>
      </c>
    </row>
    <row r="16" spans="1:42" ht="15.75" x14ac:dyDescent="0.25">
      <c r="A16" s="28" t="s">
        <v>76</v>
      </c>
      <c r="B16" s="47">
        <v>2</v>
      </c>
      <c r="C16" s="48" t="s">
        <v>530</v>
      </c>
      <c r="D16" s="49" t="str">
        <f>IFERROR(IF(D$3="","",IF(TEXT(D$3,"ddd")="CN","CN",VLOOKUP($A16&amp;D$3,Data_Cong!$R:$AI,10,0))),"")</f>
        <v/>
      </c>
      <c r="E16" s="49" t="str">
        <f>IFERROR(IF(E$3="","",IF(TEXT(E$3,"ddd")="CN","CN",VLOOKUP($A16&amp;E$3,Data_Cong!$R:$AI,10,0))),"")</f>
        <v/>
      </c>
      <c r="F16" s="49" t="str">
        <f>IFERROR(IF(F$3="","",IF(TEXT(F$3,"ddd")="CN","CN",VLOOKUP($A16&amp;F$3,Data_Cong!$R:$AI,10,0))),"")</f>
        <v/>
      </c>
      <c r="G16" s="49" t="str">
        <f>IFERROR(IF(G$3="","",IF(TEXT(G$3,"ddd")="CN","CN",VLOOKUP($A16&amp;G$3,Data_Cong!$R:$AI,10,0))),"")</f>
        <v/>
      </c>
      <c r="H16" s="49" t="str">
        <f>IFERROR(IF(H$3="","",IF(TEXT(H$3,"ddd")="CN","CN",VLOOKUP($A16&amp;H$3,Data_Cong!$R:$AI,10,0))),"")</f>
        <v/>
      </c>
      <c r="I16" s="49" t="str">
        <f>IFERROR(IF(I$3="","",IF(TEXT(I$3,"ddd")="CN","CN",VLOOKUP($A16&amp;I$3,Data_Cong!$R:$AI,10,0))),"")</f>
        <v/>
      </c>
      <c r="J16" s="49" t="str">
        <f>IFERROR(IF(J$3="","",IF(TEXT(J$3,"ddd")="CN","CN",VLOOKUP($A16&amp;J$3,Data_Cong!$R:$AI,10,0))),"")</f>
        <v>CN</v>
      </c>
      <c r="K16" s="49" t="str">
        <f>IFERROR(IF(K$3="","",IF(TEXT(K$3,"ddd")="CN","CN",VLOOKUP($A16&amp;K$3,Data_Cong!$R:$AI,10,0))),"")</f>
        <v/>
      </c>
      <c r="L16" s="49" t="str">
        <f>IFERROR(IF(L$3="","",IF(TEXT(L$3,"ddd")="CN","CN",VLOOKUP($A16&amp;L$3,Data_Cong!$R:$AI,10,0))),"")</f>
        <v/>
      </c>
      <c r="M16" s="49" t="str">
        <f>IFERROR(IF(M$3="","",IF(TEXT(M$3,"ddd")="CN","CN",VLOOKUP($A16&amp;M$3,Data_Cong!$R:$AI,10,0))),"")</f>
        <v/>
      </c>
      <c r="N16" s="49" t="str">
        <f>IFERROR(IF(N$3="","",IF(TEXT(N$3,"ddd")="CN","CN",VLOOKUP($A16&amp;N$3,Data_Cong!$R:$AI,10,0))),"")</f>
        <v/>
      </c>
      <c r="O16" s="49" t="str">
        <f>IFERROR(IF(O$3="","",IF(TEXT(O$3,"ddd")="CN","CN",VLOOKUP($A16&amp;O$3,Data_Cong!$R:$AI,10,0))),"")</f>
        <v/>
      </c>
      <c r="P16" s="49" t="str">
        <f>IFERROR(IF(P$3="","",IF(TEXT(P$3,"ddd")="CN","CN",VLOOKUP($A16&amp;P$3,Data_Cong!$R:$AI,10,0))),"")</f>
        <v/>
      </c>
      <c r="Q16" s="49" t="str">
        <f>IFERROR(IF(Q$3="","",IF(TEXT(Q$3,"ddd")="CN","CN",VLOOKUP($A16&amp;Q$3,Data_Cong!$R:$AI,10,0))),"")</f>
        <v>CN</v>
      </c>
      <c r="R16" s="49" t="str">
        <f>IFERROR(IF(R$3="","",IF(TEXT(R$3,"ddd")="CN","CN",VLOOKUP($A16&amp;R$3,Data_Cong!$R:$AI,10,0))),"")</f>
        <v/>
      </c>
      <c r="S16" s="49" t="str">
        <f>IFERROR(IF(S$3="","",IF(TEXT(S$3,"ddd")="CN","CN",VLOOKUP($A16&amp;S$3,Data_Cong!$R:$AI,10,0))),"")</f>
        <v/>
      </c>
      <c r="T16" s="49" t="str">
        <f>IFERROR(IF(T$3="","",IF(TEXT(T$3,"ddd")="CN","CN",VLOOKUP($A16&amp;T$3,Data_Cong!$R:$AI,10,0))),"")</f>
        <v/>
      </c>
      <c r="U16" s="49" t="str">
        <f>IFERROR(IF(U$3="","",IF(TEXT(U$3,"ddd")="CN","CN",VLOOKUP($A16&amp;U$3,Data_Cong!$R:$AI,10,0))),"")</f>
        <v/>
      </c>
      <c r="V16" s="49" t="str">
        <f>IFERROR(IF(V$3="","",IF(TEXT(V$3,"ddd")="CN","CN",VLOOKUP($A16&amp;V$3,Data_Cong!$R:$AI,10,0))),"")</f>
        <v/>
      </c>
      <c r="W16" s="49" t="str">
        <f>IFERROR(IF(W$3="","",IF(TEXT(W$3,"ddd")="CN","CN",VLOOKUP($A16&amp;W$3,Data_Cong!$R:$AI,10,0))),"")</f>
        <v/>
      </c>
      <c r="X16" s="49" t="str">
        <f>IFERROR(IF(X$3="","",IF(TEXT(X$3,"ddd")="CN","CN",VLOOKUP($A16&amp;X$3,Data_Cong!$R:$AI,10,0))),"")</f>
        <v>CN</v>
      </c>
      <c r="Y16" s="49" t="str">
        <f>IFERROR(IF(Y$3="","",IF(TEXT(Y$3,"ddd")="CN","CN",VLOOKUP($A16&amp;Y$3,Data_Cong!$R:$AI,10,0))),"")</f>
        <v/>
      </c>
      <c r="Z16" s="49" t="str">
        <f>IFERROR(IF(Z$3="","",IF(TEXT(Z$3,"ddd")="CN","CN",VLOOKUP($A16&amp;Z$3,Data_Cong!$R:$AI,10,0))),"")</f>
        <v/>
      </c>
      <c r="AA16" s="49" t="str">
        <f>IFERROR(IF(AA$3="","",IF(TEXT(AA$3,"ddd")="CN","CN",VLOOKUP($A16&amp;AA$3,Data_Cong!$R:$AI,10,0))),"")</f>
        <v/>
      </c>
      <c r="AB16" s="49" t="str">
        <f>IFERROR(IF(AB$3="","",IF(TEXT(AB$3,"ddd")="CN","CN",VLOOKUP($A16&amp;AB$3,Data_Cong!$R:$AI,10,0))),"")</f>
        <v/>
      </c>
      <c r="AC16" s="49" t="str">
        <f>IFERROR(IF(AC$3="","",IF(TEXT(AC$3,"ddd")="CN","CN",VLOOKUP($A16&amp;AC$3,Data_Cong!$R:$AI,10,0))),"")</f>
        <v/>
      </c>
      <c r="AD16" s="49" t="str">
        <f>IFERROR(IF(AD$3="","",IF(TEXT(AD$3,"ddd")="CN","CN",VLOOKUP($A16&amp;AD$3,Data_Cong!$R:$AI,10,0))),"")</f>
        <v/>
      </c>
      <c r="AE16" s="49" t="str">
        <f>IFERROR(IF(AE$3="","",IF(TEXT(AE$3,"ddd")="CN","CN",VLOOKUP($A16&amp;AE$3,Data_Cong!$R:$AI,10,0))),"")</f>
        <v>CN</v>
      </c>
      <c r="AF16" s="49" t="str">
        <f>IFERROR(IF(AF$3="","",IF(TEXT(AF$3,"ddd")="CN","CN",VLOOKUP($A16&amp;AF$3,Data_Cong!$R:$AI,10,0))),"")</f>
        <v/>
      </c>
      <c r="AG16" s="49" t="str">
        <f>IFERROR(IF(AG$3="","",IF(TEXT(AG$3,"ddd")="CN","CN",VLOOKUP($A16&amp;AG$3,Data_Cong!$R:$AI,10,0))),"")</f>
        <v/>
      </c>
      <c r="AH16" s="49" t="str">
        <f>IFERROR(IF(AH$3="","",IF(TEXT(AH$3,"ddd")="CN","CN",VLOOKUP($A16&amp;AH$3,Data_Cong!$R:$AI,10,0))),"")</f>
        <v/>
      </c>
      <c r="AI16" s="50" cm="1">
        <f t="array" ref="AI16">SUMPRODUCT((D16:AH16="x")*1+(D16:AH16="P")*1+(D16:AH16="1/2P")*1+(D16:AH16="1/2")*0.5+(D16:AH16="2x")*2+(D16:AH16="L")*1)</f>
        <v>0</v>
      </c>
      <c r="AJ16" s="51">
        <f>SUMIF(Data_Cong!A:A,$A16,Data_Cong!AE:AE)</f>
        <v>0</v>
      </c>
      <c r="AK16" s="52">
        <f>COUNTIFS(Data_Cong!AB:AB,"&gt;5",Data_Cong!A:A,A16)</f>
        <v>0</v>
      </c>
      <c r="AL16" s="53" t="str">
        <f>IF(MONTH(VLOOKUP(A16,Data_NV!$A:$J,10,0))=BANG_CHAM_CONG!$R$2,"T"&amp;BANG_CHAM_CONG!$R$2,"")</f>
        <v>T9</v>
      </c>
      <c r="AM16" s="94">
        <v>7.5</v>
      </c>
      <c r="AN16" s="91" cm="1">
        <f t="array" ref="AN16">IF((AM16+1)&gt;12,12,(AM16+1))-SUMPRODUCT((D16:AH16="P")*1+(D16:AH16="1/2P")*0.5)</f>
        <v>8.5</v>
      </c>
      <c r="AO16" s="50"/>
      <c r="AP16" s="54">
        <f>SUMIFS(Data_Cong!AF:AF,Data_Cong!A:A,$A16)+SUMIFS(Data_Cong!AG:AG,Data_Cong!A:A,$A16)</f>
        <v>0</v>
      </c>
    </row>
    <row r="17" spans="1:42" ht="15.75" x14ac:dyDescent="0.25">
      <c r="A17" s="28" t="s">
        <v>77</v>
      </c>
      <c r="B17" s="47">
        <v>3</v>
      </c>
      <c r="C17" s="48" t="s">
        <v>531</v>
      </c>
      <c r="D17" s="49" t="str">
        <f>IFERROR(IF(D$3="","",IF(TEXT(D$3,"ddd")="CN","CN",VLOOKUP($A17&amp;D$3,Data_Cong!$R:$AI,10,0))),"")</f>
        <v/>
      </c>
      <c r="E17" s="49" t="str">
        <f>IFERROR(IF(E$3="","",IF(TEXT(E$3,"ddd")="CN","CN",VLOOKUP($A17&amp;E$3,Data_Cong!$R:$AI,10,0))),"")</f>
        <v/>
      </c>
      <c r="F17" s="49" t="str">
        <f>IFERROR(IF(F$3="","",IF(TEXT(F$3,"ddd")="CN","CN",VLOOKUP($A17&amp;F$3,Data_Cong!$R:$AI,10,0))),"")</f>
        <v/>
      </c>
      <c r="G17" s="49" t="str">
        <f>IFERROR(IF(G$3="","",IF(TEXT(G$3,"ddd")="CN","CN",VLOOKUP($A17&amp;G$3,Data_Cong!$R:$AI,10,0))),"")</f>
        <v/>
      </c>
      <c r="H17" s="49" t="str">
        <f>IFERROR(IF(H$3="","",IF(TEXT(H$3,"ddd")="CN","CN",VLOOKUP($A17&amp;H$3,Data_Cong!$R:$AI,10,0))),"")</f>
        <v/>
      </c>
      <c r="I17" s="49" t="str">
        <f>IFERROR(IF(I$3="","",IF(TEXT(I$3,"ddd")="CN","CN",VLOOKUP($A17&amp;I$3,Data_Cong!$R:$AI,10,0))),"")</f>
        <v/>
      </c>
      <c r="J17" s="49" t="str">
        <f>IFERROR(IF(J$3="","",IF(TEXT(J$3,"ddd")="CN","CN",VLOOKUP($A17&amp;J$3,Data_Cong!$R:$AI,10,0))),"")</f>
        <v>CN</v>
      </c>
      <c r="K17" s="49" t="str">
        <f>IFERROR(IF(K$3="","",IF(TEXT(K$3,"ddd")="CN","CN",VLOOKUP($A17&amp;K$3,Data_Cong!$R:$AI,10,0))),"")</f>
        <v/>
      </c>
      <c r="L17" s="49" t="str">
        <f>IFERROR(IF(L$3="","",IF(TEXT(L$3,"ddd")="CN","CN",VLOOKUP($A17&amp;L$3,Data_Cong!$R:$AI,10,0))),"")</f>
        <v/>
      </c>
      <c r="M17" s="49" t="str">
        <f>IFERROR(IF(M$3="","",IF(TEXT(M$3,"ddd")="CN","CN",VLOOKUP($A17&amp;M$3,Data_Cong!$R:$AI,10,0))),"")</f>
        <v/>
      </c>
      <c r="N17" s="49" t="str">
        <f>IFERROR(IF(N$3="","",IF(TEXT(N$3,"ddd")="CN","CN",VLOOKUP($A17&amp;N$3,Data_Cong!$R:$AI,10,0))),"")</f>
        <v/>
      </c>
      <c r="O17" s="49" t="str">
        <f>IFERROR(IF(O$3="","",IF(TEXT(O$3,"ddd")="CN","CN",VLOOKUP($A17&amp;O$3,Data_Cong!$R:$AI,10,0))),"")</f>
        <v/>
      </c>
      <c r="P17" s="49" t="str">
        <f>IFERROR(IF(P$3="","",IF(TEXT(P$3,"ddd")="CN","CN",VLOOKUP($A17&amp;P$3,Data_Cong!$R:$AI,10,0))),"")</f>
        <v/>
      </c>
      <c r="Q17" s="49" t="str">
        <f>IFERROR(IF(Q$3="","",IF(TEXT(Q$3,"ddd")="CN","CN",VLOOKUP($A17&amp;Q$3,Data_Cong!$R:$AI,10,0))),"")</f>
        <v>CN</v>
      </c>
      <c r="R17" s="49" t="str">
        <f>IFERROR(IF(R$3="","",IF(TEXT(R$3,"ddd")="CN","CN",VLOOKUP($A17&amp;R$3,Data_Cong!$R:$AI,10,0))),"")</f>
        <v/>
      </c>
      <c r="S17" s="49" t="str">
        <f>IFERROR(IF(S$3="","",IF(TEXT(S$3,"ddd")="CN","CN",VLOOKUP($A17&amp;S$3,Data_Cong!$R:$AI,10,0))),"")</f>
        <v/>
      </c>
      <c r="T17" s="49" t="str">
        <f>IFERROR(IF(T$3="","",IF(TEXT(T$3,"ddd")="CN","CN",VLOOKUP($A17&amp;T$3,Data_Cong!$R:$AI,10,0))),"")</f>
        <v/>
      </c>
      <c r="U17" s="49" t="str">
        <f>IFERROR(IF(U$3="","",IF(TEXT(U$3,"ddd")="CN","CN",VLOOKUP($A17&amp;U$3,Data_Cong!$R:$AI,10,0))),"")</f>
        <v/>
      </c>
      <c r="V17" s="49" t="str">
        <f>IFERROR(IF(V$3="","",IF(TEXT(V$3,"ddd")="CN","CN",VLOOKUP($A17&amp;V$3,Data_Cong!$R:$AI,10,0))),"")</f>
        <v/>
      </c>
      <c r="W17" s="49" t="str">
        <f>IFERROR(IF(W$3="","",IF(TEXT(W$3,"ddd")="CN","CN",VLOOKUP($A17&amp;W$3,Data_Cong!$R:$AI,10,0))),"")</f>
        <v/>
      </c>
      <c r="X17" s="49" t="str">
        <f>IFERROR(IF(X$3="","",IF(TEXT(X$3,"ddd")="CN","CN",VLOOKUP($A17&amp;X$3,Data_Cong!$R:$AI,10,0))),"")</f>
        <v>CN</v>
      </c>
      <c r="Y17" s="49" t="str">
        <f>IFERROR(IF(Y$3="","",IF(TEXT(Y$3,"ddd")="CN","CN",VLOOKUP($A17&amp;Y$3,Data_Cong!$R:$AI,10,0))),"")</f>
        <v/>
      </c>
      <c r="Z17" s="49" t="str">
        <f>IFERROR(IF(Z$3="","",IF(TEXT(Z$3,"ddd")="CN","CN",VLOOKUP($A17&amp;Z$3,Data_Cong!$R:$AI,10,0))),"")</f>
        <v/>
      </c>
      <c r="AA17" s="49" t="str">
        <f>IFERROR(IF(AA$3="","",IF(TEXT(AA$3,"ddd")="CN","CN",VLOOKUP($A17&amp;AA$3,Data_Cong!$R:$AI,10,0))),"")</f>
        <v/>
      </c>
      <c r="AB17" s="49" t="str">
        <f>IFERROR(IF(AB$3="","",IF(TEXT(AB$3,"ddd")="CN","CN",VLOOKUP($A17&amp;AB$3,Data_Cong!$R:$AI,10,0))),"")</f>
        <v/>
      </c>
      <c r="AC17" s="49" t="str">
        <f>IFERROR(IF(AC$3="","",IF(TEXT(AC$3,"ddd")="CN","CN",VLOOKUP($A17&amp;AC$3,Data_Cong!$R:$AI,10,0))),"")</f>
        <v/>
      </c>
      <c r="AD17" s="49" t="str">
        <f>IFERROR(IF(AD$3="","",IF(TEXT(AD$3,"ddd")="CN","CN",VLOOKUP($A17&amp;AD$3,Data_Cong!$R:$AI,10,0))),"")</f>
        <v/>
      </c>
      <c r="AE17" s="49" t="str">
        <f>IFERROR(IF(AE$3="","",IF(TEXT(AE$3,"ddd")="CN","CN",VLOOKUP($A17&amp;AE$3,Data_Cong!$R:$AI,10,0))),"")</f>
        <v>CN</v>
      </c>
      <c r="AF17" s="49" t="str">
        <f>IFERROR(IF(AF$3="","",IF(TEXT(AF$3,"ddd")="CN","CN",VLOOKUP($A17&amp;AF$3,Data_Cong!$R:$AI,10,0))),"")</f>
        <v/>
      </c>
      <c r="AG17" s="49" t="str">
        <f>IFERROR(IF(AG$3="","",IF(TEXT(AG$3,"ddd")="CN","CN",VLOOKUP($A17&amp;AG$3,Data_Cong!$R:$AI,10,0))),"")</f>
        <v/>
      </c>
      <c r="AH17" s="49" t="str">
        <f>IFERROR(IF(AH$3="","",IF(TEXT(AH$3,"ddd")="CN","CN",VLOOKUP($A17&amp;AH$3,Data_Cong!$R:$AI,10,0))),"")</f>
        <v/>
      </c>
      <c r="AI17" s="50" cm="1">
        <f t="array" ref="AI17">SUMPRODUCT((D17:AH17="x")*1+(D17:AH17="P")*1+(D17:AH17="1/2P")*1+(D17:AH17="1/2")*0.5+(D17:AH17="2x")*2+(D17:AH17="L")*1)</f>
        <v>0</v>
      </c>
      <c r="AJ17" s="51">
        <f>SUMIF(Data_Cong!A:A,$A17,Data_Cong!AE:AE)</f>
        <v>0</v>
      </c>
      <c r="AK17" s="52">
        <f>COUNTIFS(Data_Cong!AB:AB,"&gt;5",Data_Cong!A:A,A17)</f>
        <v>0</v>
      </c>
      <c r="AL17" s="53" t="str">
        <f>IF(MONTH(VLOOKUP(A17,Data_NV!$A:$J,10,0))=BANG_CHAM_CONG!$R$2,"T"&amp;BANG_CHAM_CONG!$R$2,"")</f>
        <v/>
      </c>
      <c r="AM17" s="94">
        <v>6</v>
      </c>
      <c r="AN17" s="91" cm="1">
        <f t="array" ref="AN17">IF((AM17+1)&gt;12,12,(AM17+1))-SUMPRODUCT((D17:AH17="P")*1+(D17:AH17="1/2P")*0.5)</f>
        <v>7</v>
      </c>
      <c r="AO17" s="50"/>
      <c r="AP17" s="54">
        <f>SUMIFS(Data_Cong!AF:AF,Data_Cong!A:A,$A17)+SUMIFS(Data_Cong!AG:AG,Data_Cong!A:A,$A17)</f>
        <v>0</v>
      </c>
    </row>
    <row r="18" spans="1:42" ht="15.75" x14ac:dyDescent="0.25">
      <c r="A18" s="28" t="s">
        <v>210</v>
      </c>
      <c r="B18" s="47">
        <v>4</v>
      </c>
      <c r="C18" s="48" t="s">
        <v>532</v>
      </c>
      <c r="D18" s="49" t="str">
        <f>IFERROR(IF(D$3="","",IF(TEXT(D$3,"ddd")="CN","CN",VLOOKUP($A18&amp;D$3,Data_Cong!$R:$AI,10,0))),"")</f>
        <v/>
      </c>
      <c r="E18" s="49" t="str">
        <f>IFERROR(IF(E$3="","",IF(TEXT(E$3,"ddd")="CN","CN",VLOOKUP($A18&amp;E$3,Data_Cong!$R:$AI,10,0))),"")</f>
        <v/>
      </c>
      <c r="F18" s="49" t="str">
        <f>IFERROR(IF(F$3="","",IF(TEXT(F$3,"ddd")="CN","CN",VLOOKUP($A18&amp;F$3,Data_Cong!$R:$AI,10,0))),"")</f>
        <v/>
      </c>
      <c r="G18" s="49" t="str">
        <f>IFERROR(IF(G$3="","",IF(TEXT(G$3,"ddd")="CN","CN",VLOOKUP($A18&amp;G$3,Data_Cong!$R:$AI,10,0))),"")</f>
        <v/>
      </c>
      <c r="H18" s="49" t="str">
        <f>IFERROR(IF(H$3="","",IF(TEXT(H$3,"ddd")="CN","CN",VLOOKUP($A18&amp;H$3,Data_Cong!$R:$AI,10,0))),"")</f>
        <v/>
      </c>
      <c r="I18" s="49" t="str">
        <f>IFERROR(IF(I$3="","",IF(TEXT(I$3,"ddd")="CN","CN",VLOOKUP($A18&amp;I$3,Data_Cong!$R:$AI,10,0))),"")</f>
        <v/>
      </c>
      <c r="J18" s="49" t="str">
        <f>IFERROR(IF(J$3="","",IF(TEXT(J$3,"ddd")="CN","CN",VLOOKUP($A18&amp;J$3,Data_Cong!$R:$AI,10,0))),"")</f>
        <v>CN</v>
      </c>
      <c r="K18" s="49" t="str">
        <f>IFERROR(IF(K$3="","",IF(TEXT(K$3,"ddd")="CN","CN",VLOOKUP($A18&amp;K$3,Data_Cong!$R:$AI,10,0))),"")</f>
        <v/>
      </c>
      <c r="L18" s="49" t="str">
        <f>IFERROR(IF(L$3="","",IF(TEXT(L$3,"ddd")="CN","CN",VLOOKUP($A18&amp;L$3,Data_Cong!$R:$AI,10,0))),"")</f>
        <v/>
      </c>
      <c r="M18" s="49" t="str">
        <f>IFERROR(IF(M$3="","",IF(TEXT(M$3,"ddd")="CN","CN",VLOOKUP($A18&amp;M$3,Data_Cong!$R:$AI,10,0))),"")</f>
        <v/>
      </c>
      <c r="N18" s="49" t="str">
        <f>IFERROR(IF(N$3="","",IF(TEXT(N$3,"ddd")="CN","CN",VLOOKUP($A18&amp;N$3,Data_Cong!$R:$AI,10,0))),"")</f>
        <v/>
      </c>
      <c r="O18" s="49" t="str">
        <f>IFERROR(IF(O$3="","",IF(TEXT(O$3,"ddd")="CN","CN",VLOOKUP($A18&amp;O$3,Data_Cong!$R:$AI,10,0))),"")</f>
        <v/>
      </c>
      <c r="P18" s="49" t="str">
        <f>IFERROR(IF(P$3="","",IF(TEXT(P$3,"ddd")="CN","CN",VLOOKUP($A18&amp;P$3,Data_Cong!$R:$AI,10,0))),"")</f>
        <v/>
      </c>
      <c r="Q18" s="49" t="str">
        <f>IFERROR(IF(Q$3="","",IF(TEXT(Q$3,"ddd")="CN","CN",VLOOKUP($A18&amp;Q$3,Data_Cong!$R:$AI,10,0))),"")</f>
        <v>CN</v>
      </c>
      <c r="R18" s="49" t="str">
        <f>IFERROR(IF(R$3="","",IF(TEXT(R$3,"ddd")="CN","CN",VLOOKUP($A18&amp;R$3,Data_Cong!$R:$AI,10,0))),"")</f>
        <v/>
      </c>
      <c r="S18" s="49" t="str">
        <f>IFERROR(IF(S$3="","",IF(TEXT(S$3,"ddd")="CN","CN",VLOOKUP($A18&amp;S$3,Data_Cong!$R:$AI,10,0))),"")</f>
        <v/>
      </c>
      <c r="T18" s="49" t="str">
        <f>IFERROR(IF(T$3="","",IF(TEXT(T$3,"ddd")="CN","CN",VLOOKUP($A18&amp;T$3,Data_Cong!$R:$AI,10,0))),"")</f>
        <v/>
      </c>
      <c r="U18" s="49" t="str">
        <f>IFERROR(IF(U$3="","",IF(TEXT(U$3,"ddd")="CN","CN",VLOOKUP($A18&amp;U$3,Data_Cong!$R:$AI,10,0))),"")</f>
        <v/>
      </c>
      <c r="V18" s="49" t="str">
        <f>IFERROR(IF(V$3="","",IF(TEXT(V$3,"ddd")="CN","CN",VLOOKUP($A18&amp;V$3,Data_Cong!$R:$AI,10,0))),"")</f>
        <v/>
      </c>
      <c r="W18" s="49" t="str">
        <f>IFERROR(IF(W$3="","",IF(TEXT(W$3,"ddd")="CN","CN",VLOOKUP($A18&amp;W$3,Data_Cong!$R:$AI,10,0))),"")</f>
        <v/>
      </c>
      <c r="X18" s="49" t="str">
        <f>IFERROR(IF(X$3="","",IF(TEXT(X$3,"ddd")="CN","CN",VLOOKUP($A18&amp;X$3,Data_Cong!$R:$AI,10,0))),"")</f>
        <v>CN</v>
      </c>
      <c r="Y18" s="49" t="str">
        <f>IFERROR(IF(Y$3="","",IF(TEXT(Y$3,"ddd")="CN","CN",VLOOKUP($A18&amp;Y$3,Data_Cong!$R:$AI,10,0))),"")</f>
        <v/>
      </c>
      <c r="Z18" s="49" t="str">
        <f>IFERROR(IF(Z$3="","",IF(TEXT(Z$3,"ddd")="CN","CN",VLOOKUP($A18&amp;Z$3,Data_Cong!$R:$AI,10,0))),"")</f>
        <v/>
      </c>
      <c r="AA18" s="49" t="str">
        <f>IFERROR(IF(AA$3="","",IF(TEXT(AA$3,"ddd")="CN","CN",VLOOKUP($A18&amp;AA$3,Data_Cong!$R:$AI,10,0))),"")</f>
        <v/>
      </c>
      <c r="AB18" s="49" t="str">
        <f>IFERROR(IF(AB$3="","",IF(TEXT(AB$3,"ddd")="CN","CN",VLOOKUP($A18&amp;AB$3,Data_Cong!$R:$AI,10,0))),"")</f>
        <v/>
      </c>
      <c r="AC18" s="49" t="str">
        <f>IFERROR(IF(AC$3="","",IF(TEXT(AC$3,"ddd")="CN","CN",VLOOKUP($A18&amp;AC$3,Data_Cong!$R:$AI,10,0))),"")</f>
        <v/>
      </c>
      <c r="AD18" s="49" t="str">
        <f>IFERROR(IF(AD$3="","",IF(TEXT(AD$3,"ddd")="CN","CN",VLOOKUP($A18&amp;AD$3,Data_Cong!$R:$AI,10,0))),"")</f>
        <v/>
      </c>
      <c r="AE18" s="49" t="str">
        <f>IFERROR(IF(AE$3="","",IF(TEXT(AE$3,"ddd")="CN","CN",VLOOKUP($A18&amp;AE$3,Data_Cong!$R:$AI,10,0))),"")</f>
        <v>CN</v>
      </c>
      <c r="AF18" s="49" t="str">
        <f>IFERROR(IF(AF$3="","",IF(TEXT(AF$3,"ddd")="CN","CN",VLOOKUP($A18&amp;AF$3,Data_Cong!$R:$AI,10,0))),"")</f>
        <v/>
      </c>
      <c r="AG18" s="49" t="str">
        <f>IFERROR(IF(AG$3="","",IF(TEXT(AG$3,"ddd")="CN","CN",VLOOKUP($A18&amp;AG$3,Data_Cong!$R:$AI,10,0))),"")</f>
        <v/>
      </c>
      <c r="AH18" s="49" t="str">
        <f>IFERROR(IF(AH$3="","",IF(TEXT(AH$3,"ddd")="CN","CN",VLOOKUP($A18&amp;AH$3,Data_Cong!$R:$AI,10,0))),"")</f>
        <v/>
      </c>
      <c r="AI18" s="50" cm="1">
        <f t="array" ref="AI18">SUMPRODUCT((D18:AH18="x")*1+(D18:AH18="P")*1+(D18:AH18="1/2P")*1+(D18:AH18="1/2")*0.5+(D18:AH18="2x")*2+(D18:AH18="L")*1)</f>
        <v>0</v>
      </c>
      <c r="AJ18" s="51">
        <f>SUMIF(Data_Cong!A:A,$A18,Data_Cong!AE:AE)</f>
        <v>0</v>
      </c>
      <c r="AK18" s="52">
        <f>COUNTIFS(Data_Cong!AB:AB,"&gt;5",Data_Cong!A:A,A18)</f>
        <v>0</v>
      </c>
      <c r="AL18" s="53" t="str">
        <f>IF(MONTH(VLOOKUP(A18,Data_NV!$A:$J,10,0))=BANG_CHAM_CONG!$R$2,"T"&amp;BANG_CHAM_CONG!$R$2,"")</f>
        <v/>
      </c>
      <c r="AM18" s="94">
        <v>8</v>
      </c>
      <c r="AN18" s="91" cm="1">
        <f t="array" ref="AN18">IF((AM18+1)&gt;12,12,(AM18+1))-SUMPRODUCT((D18:AH18="P")*1+(D18:AH18="1/2P")*0.5)</f>
        <v>9</v>
      </c>
      <c r="AO18" s="50"/>
      <c r="AP18" s="54">
        <f>SUMIFS(Data_Cong!AF:AF,Data_Cong!A:A,$A18)+SUMIFS(Data_Cong!AG:AG,Data_Cong!A:A,$A18)</f>
        <v>0</v>
      </c>
    </row>
    <row r="19" spans="1:42" ht="15.75" x14ac:dyDescent="0.25">
      <c r="A19" s="28" t="s">
        <v>75</v>
      </c>
      <c r="B19" s="47">
        <v>5</v>
      </c>
      <c r="C19" s="48" t="s">
        <v>533</v>
      </c>
      <c r="D19" s="49" t="str">
        <f>IFERROR(IF(D$3="","",IF(TEXT(D$3,"ddd")="CN","CN",VLOOKUP($A19&amp;D$3,Data_Cong!$R:$AI,10,0))),"")</f>
        <v/>
      </c>
      <c r="E19" s="49" t="str">
        <f>IFERROR(IF(E$3="","",IF(TEXT(E$3,"ddd")="CN","CN",VLOOKUP($A19&amp;E$3,Data_Cong!$R:$AI,10,0))),"")</f>
        <v/>
      </c>
      <c r="F19" s="49" t="str">
        <f>IFERROR(IF(F$3="","",IF(TEXT(F$3,"ddd")="CN","CN",VLOOKUP($A19&amp;F$3,Data_Cong!$R:$AI,10,0))),"")</f>
        <v/>
      </c>
      <c r="G19" s="49" t="str">
        <f>IFERROR(IF(G$3="","",IF(TEXT(G$3,"ddd")="CN","CN",VLOOKUP($A19&amp;G$3,Data_Cong!$R:$AI,10,0))),"")</f>
        <v/>
      </c>
      <c r="H19" s="49" t="str">
        <f>IFERROR(IF(H$3="","",IF(TEXT(H$3,"ddd")="CN","CN",VLOOKUP($A19&amp;H$3,Data_Cong!$R:$AI,10,0))),"")</f>
        <v/>
      </c>
      <c r="I19" s="49" t="str">
        <f>IFERROR(IF(I$3="","",IF(TEXT(I$3,"ddd")="CN","CN",VLOOKUP($A19&amp;I$3,Data_Cong!$R:$AI,10,0))),"")</f>
        <v/>
      </c>
      <c r="J19" s="49" t="str">
        <f>IFERROR(IF(J$3="","",IF(TEXT(J$3,"ddd")="CN","CN",VLOOKUP($A19&amp;J$3,Data_Cong!$R:$AI,10,0))),"")</f>
        <v>CN</v>
      </c>
      <c r="K19" s="49" t="str">
        <f>IFERROR(IF(K$3="","",IF(TEXT(K$3,"ddd")="CN","CN",VLOOKUP($A19&amp;K$3,Data_Cong!$R:$AI,10,0))),"")</f>
        <v/>
      </c>
      <c r="L19" s="49" t="str">
        <f>IFERROR(IF(L$3="","",IF(TEXT(L$3,"ddd")="CN","CN",VLOOKUP($A19&amp;L$3,Data_Cong!$R:$AI,10,0))),"")</f>
        <v/>
      </c>
      <c r="M19" s="49" t="str">
        <f>IFERROR(IF(M$3="","",IF(TEXT(M$3,"ddd")="CN","CN",VLOOKUP($A19&amp;M$3,Data_Cong!$R:$AI,10,0))),"")</f>
        <v/>
      </c>
      <c r="N19" s="49" t="str">
        <f>IFERROR(IF(N$3="","",IF(TEXT(N$3,"ddd")="CN","CN",VLOOKUP($A19&amp;N$3,Data_Cong!$R:$AI,10,0))),"")</f>
        <v/>
      </c>
      <c r="O19" s="49" t="str">
        <f>IFERROR(IF(O$3="","",IF(TEXT(O$3,"ddd")="CN","CN",VLOOKUP($A19&amp;O$3,Data_Cong!$R:$AI,10,0))),"")</f>
        <v/>
      </c>
      <c r="P19" s="49" t="str">
        <f>IFERROR(IF(P$3="","",IF(TEXT(P$3,"ddd")="CN","CN",VLOOKUP($A19&amp;P$3,Data_Cong!$R:$AI,10,0))),"")</f>
        <v/>
      </c>
      <c r="Q19" s="49" t="str">
        <f>IFERROR(IF(Q$3="","",IF(TEXT(Q$3,"ddd")="CN","CN",VLOOKUP($A19&amp;Q$3,Data_Cong!$R:$AI,10,0))),"")</f>
        <v>CN</v>
      </c>
      <c r="R19" s="49" t="str">
        <f>IFERROR(IF(R$3="","",IF(TEXT(R$3,"ddd")="CN","CN",VLOOKUP($A19&amp;R$3,Data_Cong!$R:$AI,10,0))),"")</f>
        <v/>
      </c>
      <c r="S19" s="49" t="str">
        <f>IFERROR(IF(S$3="","",IF(TEXT(S$3,"ddd")="CN","CN",VLOOKUP($A19&amp;S$3,Data_Cong!$R:$AI,10,0))),"")</f>
        <v/>
      </c>
      <c r="T19" s="49" t="str">
        <f>IFERROR(IF(T$3="","",IF(TEXT(T$3,"ddd")="CN","CN",VLOOKUP($A19&amp;T$3,Data_Cong!$R:$AI,10,0))),"")</f>
        <v/>
      </c>
      <c r="U19" s="49" t="str">
        <f>IFERROR(IF(U$3="","",IF(TEXT(U$3,"ddd")="CN","CN",VLOOKUP($A19&amp;U$3,Data_Cong!$R:$AI,10,0))),"")</f>
        <v/>
      </c>
      <c r="V19" s="49" t="str">
        <f>IFERROR(IF(V$3="","",IF(TEXT(V$3,"ddd")="CN","CN",VLOOKUP($A19&amp;V$3,Data_Cong!$R:$AI,10,0))),"")</f>
        <v/>
      </c>
      <c r="W19" s="49" t="str">
        <f>IFERROR(IF(W$3="","",IF(TEXT(W$3,"ddd")="CN","CN",VLOOKUP($A19&amp;W$3,Data_Cong!$R:$AI,10,0))),"")</f>
        <v/>
      </c>
      <c r="X19" s="49" t="str">
        <f>IFERROR(IF(X$3="","",IF(TEXT(X$3,"ddd")="CN","CN",VLOOKUP($A19&amp;X$3,Data_Cong!$R:$AI,10,0))),"")</f>
        <v>CN</v>
      </c>
      <c r="Y19" s="49" t="str">
        <f>IFERROR(IF(Y$3="","",IF(TEXT(Y$3,"ddd")="CN","CN",VLOOKUP($A19&amp;Y$3,Data_Cong!$R:$AI,10,0))),"")</f>
        <v/>
      </c>
      <c r="Z19" s="49" t="str">
        <f>IFERROR(IF(Z$3="","",IF(TEXT(Z$3,"ddd")="CN","CN",VLOOKUP($A19&amp;Z$3,Data_Cong!$R:$AI,10,0))),"")</f>
        <v/>
      </c>
      <c r="AA19" s="49" t="str">
        <f>IFERROR(IF(AA$3="","",IF(TEXT(AA$3,"ddd")="CN","CN",VLOOKUP($A19&amp;AA$3,Data_Cong!$R:$AI,10,0))),"")</f>
        <v/>
      </c>
      <c r="AB19" s="49" t="str">
        <f>IFERROR(IF(AB$3="","",IF(TEXT(AB$3,"ddd")="CN","CN",VLOOKUP($A19&amp;AB$3,Data_Cong!$R:$AI,10,0))),"")</f>
        <v/>
      </c>
      <c r="AC19" s="49" t="str">
        <f>IFERROR(IF(AC$3="","",IF(TEXT(AC$3,"ddd")="CN","CN",VLOOKUP($A19&amp;AC$3,Data_Cong!$R:$AI,10,0))),"")</f>
        <v/>
      </c>
      <c r="AD19" s="49" t="str">
        <f>IFERROR(IF(AD$3="","",IF(TEXT(AD$3,"ddd")="CN","CN",VLOOKUP($A19&amp;AD$3,Data_Cong!$R:$AI,10,0))),"")</f>
        <v/>
      </c>
      <c r="AE19" s="49" t="str">
        <f>IFERROR(IF(AE$3="","",IF(TEXT(AE$3,"ddd")="CN","CN",VLOOKUP($A19&amp;AE$3,Data_Cong!$R:$AI,10,0))),"")</f>
        <v>CN</v>
      </c>
      <c r="AF19" s="49" t="str">
        <f>IFERROR(IF(AF$3="","",IF(TEXT(AF$3,"ddd")="CN","CN",VLOOKUP($A19&amp;AF$3,Data_Cong!$R:$AI,10,0))),"")</f>
        <v/>
      </c>
      <c r="AG19" s="49" t="str">
        <f>IFERROR(IF(AG$3="","",IF(TEXT(AG$3,"ddd")="CN","CN",VLOOKUP($A19&amp;AG$3,Data_Cong!$R:$AI,10,0))),"")</f>
        <v/>
      </c>
      <c r="AH19" s="49" t="str">
        <f>IFERROR(IF(AH$3="","",IF(TEXT(AH$3,"ddd")="CN","CN",VLOOKUP($A19&amp;AH$3,Data_Cong!$R:$AI,10,0))),"")</f>
        <v/>
      </c>
      <c r="AI19" s="50" cm="1">
        <f t="array" ref="AI19">SUMPRODUCT((D19:AH19="x")*1+(D19:AH19="P")*1+(D19:AH19="1/2P")*1+(D19:AH19="1/2")*0.5+(D19:AH19="2x")*2+(D19:AH19="L")*1)</f>
        <v>0</v>
      </c>
      <c r="AJ19" s="51">
        <f>SUMIF(Data_Cong!A:A,$A19,Data_Cong!AE:AE)</f>
        <v>0</v>
      </c>
      <c r="AK19" s="52">
        <f>COUNTIFS(Data_Cong!AB:AB,"&gt;5",Data_Cong!A:A,A19)</f>
        <v>0</v>
      </c>
      <c r="AL19" s="53" t="str">
        <f>IF(MONTH(VLOOKUP(A19,Data_NV!$A:$J,10,0))=BANG_CHAM_CONG!$R$2,"T"&amp;BANG_CHAM_CONG!$R$2,"")</f>
        <v/>
      </c>
      <c r="AM19" s="94">
        <v>6</v>
      </c>
      <c r="AN19" s="91" cm="1">
        <f t="array" ref="AN19">IF((AM19+1)&gt;12,12,(AM19+1))-SUMPRODUCT((D19:AH19="P")*1+(D19:AH19="1/2P")*0.5)</f>
        <v>7</v>
      </c>
      <c r="AO19" s="50"/>
      <c r="AP19" s="54">
        <f>SUMIFS(Data_Cong!AF:AF,Data_Cong!A:A,$A19)+SUMIFS(Data_Cong!AG:AG,Data_Cong!A:A,$A19)</f>
        <v>0</v>
      </c>
    </row>
    <row r="20" spans="1:42" ht="15.75" x14ac:dyDescent="0.25">
      <c r="A20" s="28" t="s">
        <v>74</v>
      </c>
      <c r="B20" s="47">
        <v>6</v>
      </c>
      <c r="C20" s="48" t="s">
        <v>534</v>
      </c>
      <c r="D20" s="49" t="str">
        <f>IFERROR(IF(D$3="","",IF(TEXT(D$3,"ddd")="CN","CN",VLOOKUP($A20&amp;D$3,Data_Cong!$R:$AI,10,0))),"")</f>
        <v/>
      </c>
      <c r="E20" s="49" t="str">
        <f>IFERROR(IF(E$3="","",IF(TEXT(E$3,"ddd")="CN","CN",VLOOKUP($A20&amp;E$3,Data_Cong!$R:$AI,10,0))),"")</f>
        <v/>
      </c>
      <c r="F20" s="49" t="str">
        <f>IFERROR(IF(F$3="","",IF(TEXT(F$3,"ddd")="CN","CN",VLOOKUP($A20&amp;F$3,Data_Cong!$R:$AI,10,0))),"")</f>
        <v/>
      </c>
      <c r="G20" s="49" t="str">
        <f>IFERROR(IF(G$3="","",IF(TEXT(G$3,"ddd")="CN","CN",VLOOKUP($A20&amp;G$3,Data_Cong!$R:$AI,10,0))),"")</f>
        <v/>
      </c>
      <c r="H20" s="49" t="str">
        <f>IFERROR(IF(H$3="","",IF(TEXT(H$3,"ddd")="CN","CN",VLOOKUP($A20&amp;H$3,Data_Cong!$R:$AI,10,0))),"")</f>
        <v/>
      </c>
      <c r="I20" s="49" t="str">
        <f>IFERROR(IF(I$3="","",IF(TEXT(I$3,"ddd")="CN","CN",VLOOKUP($A20&amp;I$3,Data_Cong!$R:$AI,10,0))),"")</f>
        <v/>
      </c>
      <c r="J20" s="49" t="str">
        <f>IFERROR(IF(J$3="","",IF(TEXT(J$3,"ddd")="CN","CN",VLOOKUP($A20&amp;J$3,Data_Cong!$R:$AI,10,0))),"")</f>
        <v>CN</v>
      </c>
      <c r="K20" s="49" t="str">
        <f>IFERROR(IF(K$3="","",IF(TEXT(K$3,"ddd")="CN","CN",VLOOKUP($A20&amp;K$3,Data_Cong!$R:$AI,10,0))),"")</f>
        <v/>
      </c>
      <c r="L20" s="49" t="str">
        <f>IFERROR(IF(L$3="","",IF(TEXT(L$3,"ddd")="CN","CN",VLOOKUP($A20&amp;L$3,Data_Cong!$R:$AI,10,0))),"")</f>
        <v/>
      </c>
      <c r="M20" s="49" t="str">
        <f>IFERROR(IF(M$3="","",IF(TEXT(M$3,"ddd")="CN","CN",VLOOKUP($A20&amp;M$3,Data_Cong!$R:$AI,10,0))),"")</f>
        <v/>
      </c>
      <c r="N20" s="49" t="str">
        <f>IFERROR(IF(N$3="","",IF(TEXT(N$3,"ddd")="CN","CN",VLOOKUP($A20&amp;N$3,Data_Cong!$R:$AI,10,0))),"")</f>
        <v/>
      </c>
      <c r="O20" s="49" t="str">
        <f>IFERROR(IF(O$3="","",IF(TEXT(O$3,"ddd")="CN","CN",VLOOKUP($A20&amp;O$3,Data_Cong!$R:$AI,10,0))),"")</f>
        <v/>
      </c>
      <c r="P20" s="49" t="str">
        <f>IFERROR(IF(P$3="","",IF(TEXT(P$3,"ddd")="CN","CN",VLOOKUP($A20&amp;P$3,Data_Cong!$R:$AI,10,0))),"")</f>
        <v/>
      </c>
      <c r="Q20" s="49" t="str">
        <f>IFERROR(IF(Q$3="","",IF(TEXT(Q$3,"ddd")="CN","CN",VLOOKUP($A20&amp;Q$3,Data_Cong!$R:$AI,10,0))),"")</f>
        <v>CN</v>
      </c>
      <c r="R20" s="49" t="str">
        <f>IFERROR(IF(R$3="","",IF(TEXT(R$3,"ddd")="CN","CN",VLOOKUP($A20&amp;R$3,Data_Cong!$R:$AI,10,0))),"")</f>
        <v/>
      </c>
      <c r="S20" s="49" t="str">
        <f>IFERROR(IF(S$3="","",IF(TEXT(S$3,"ddd")="CN","CN",VLOOKUP($A20&amp;S$3,Data_Cong!$R:$AI,10,0))),"")</f>
        <v/>
      </c>
      <c r="T20" s="49" t="str">
        <f>IFERROR(IF(T$3="","",IF(TEXT(T$3,"ddd")="CN","CN",VLOOKUP($A20&amp;T$3,Data_Cong!$R:$AI,10,0))),"")</f>
        <v/>
      </c>
      <c r="U20" s="49" t="str">
        <f>IFERROR(IF(U$3="","",IF(TEXT(U$3,"ddd")="CN","CN",VLOOKUP($A20&amp;U$3,Data_Cong!$R:$AI,10,0))),"")</f>
        <v/>
      </c>
      <c r="V20" s="49" t="str">
        <f>IFERROR(IF(V$3="","",IF(TEXT(V$3,"ddd")="CN","CN",VLOOKUP($A20&amp;V$3,Data_Cong!$R:$AI,10,0))),"")</f>
        <v/>
      </c>
      <c r="W20" s="49" t="str">
        <f>IFERROR(IF(W$3="","",IF(TEXT(W$3,"ddd")="CN","CN",VLOOKUP($A20&amp;W$3,Data_Cong!$R:$AI,10,0))),"")</f>
        <v/>
      </c>
      <c r="X20" s="49" t="str">
        <f>IFERROR(IF(X$3="","",IF(TEXT(X$3,"ddd")="CN","CN",VLOOKUP($A20&amp;X$3,Data_Cong!$R:$AI,10,0))),"")</f>
        <v>CN</v>
      </c>
      <c r="Y20" s="49" t="str">
        <f>IFERROR(IF(Y$3="","",IF(TEXT(Y$3,"ddd")="CN","CN",VLOOKUP($A20&amp;Y$3,Data_Cong!$R:$AI,10,0))),"")</f>
        <v/>
      </c>
      <c r="Z20" s="49" t="str">
        <f>IFERROR(IF(Z$3="","",IF(TEXT(Z$3,"ddd")="CN","CN",VLOOKUP($A20&amp;Z$3,Data_Cong!$R:$AI,10,0))),"")</f>
        <v/>
      </c>
      <c r="AA20" s="49" t="str">
        <f>IFERROR(IF(AA$3="","",IF(TEXT(AA$3,"ddd")="CN","CN",VLOOKUP($A20&amp;AA$3,Data_Cong!$R:$AI,10,0))),"")</f>
        <v/>
      </c>
      <c r="AB20" s="49" t="str">
        <f>IFERROR(IF(AB$3="","",IF(TEXT(AB$3,"ddd")="CN","CN",VLOOKUP($A20&amp;AB$3,Data_Cong!$R:$AI,10,0))),"")</f>
        <v/>
      </c>
      <c r="AC20" s="49" t="str">
        <f>IFERROR(IF(AC$3="","",IF(TEXT(AC$3,"ddd")="CN","CN",VLOOKUP($A20&amp;AC$3,Data_Cong!$R:$AI,10,0))),"")</f>
        <v/>
      </c>
      <c r="AD20" s="49" t="str">
        <f>IFERROR(IF(AD$3="","",IF(TEXT(AD$3,"ddd")="CN","CN",VLOOKUP($A20&amp;AD$3,Data_Cong!$R:$AI,10,0))),"")</f>
        <v/>
      </c>
      <c r="AE20" s="49" t="str">
        <f>IFERROR(IF(AE$3="","",IF(TEXT(AE$3,"ddd")="CN","CN",VLOOKUP($A20&amp;AE$3,Data_Cong!$R:$AI,10,0))),"")</f>
        <v>CN</v>
      </c>
      <c r="AF20" s="49" t="str">
        <f>IFERROR(IF(AF$3="","",IF(TEXT(AF$3,"ddd")="CN","CN",VLOOKUP($A20&amp;AF$3,Data_Cong!$R:$AI,10,0))),"")</f>
        <v/>
      </c>
      <c r="AG20" s="49" t="str">
        <f>IFERROR(IF(AG$3="","",IF(TEXT(AG$3,"ddd")="CN","CN",VLOOKUP($A20&amp;AG$3,Data_Cong!$R:$AI,10,0))),"")</f>
        <v/>
      </c>
      <c r="AH20" s="49" t="str">
        <f>IFERROR(IF(AH$3="","",IF(TEXT(AH$3,"ddd")="CN","CN",VLOOKUP($A20&amp;AH$3,Data_Cong!$R:$AI,10,0))),"")</f>
        <v/>
      </c>
      <c r="AI20" s="50" cm="1">
        <f t="array" ref="AI20">SUMPRODUCT((D20:AH20="x")*1+(D20:AH20="P")*1+(D20:AH20="1/2P")*1+(D20:AH20="1/2")*0.5+(D20:AH20="2x")*2+(D20:AH20="L")*1)</f>
        <v>0</v>
      </c>
      <c r="AJ20" s="51">
        <f>SUMIF(Data_Cong!A:A,$A20,Data_Cong!AE:AE)</f>
        <v>0</v>
      </c>
      <c r="AK20" s="52">
        <f>COUNTIFS(Data_Cong!AB:AB,"&gt;5",Data_Cong!A:A,A20)</f>
        <v>0</v>
      </c>
      <c r="AL20" s="53" t="str">
        <f>IF(MONTH(VLOOKUP(A20,Data_NV!$A:$J,10,0))=BANG_CHAM_CONG!$R$2,"T"&amp;BANG_CHAM_CONG!$R$2,"")</f>
        <v/>
      </c>
      <c r="AM20" s="94">
        <v>10</v>
      </c>
      <c r="AN20" s="91" cm="1">
        <f t="array" ref="AN20">IF((AM20+1)&gt;12,12,(AM20+1))-SUMPRODUCT((D20:AH20="P")*1+(D20:AH20="1/2P")*0.5)</f>
        <v>11</v>
      </c>
      <c r="AO20" s="50"/>
      <c r="AP20" s="54">
        <f>SUMIFS(Data_Cong!AF:AF,Data_Cong!A:A,$A20)+SUMIFS(Data_Cong!AG:AG,Data_Cong!A:A,$A20)</f>
        <v>0</v>
      </c>
    </row>
    <row r="21" spans="1:42" ht="15.75" x14ac:dyDescent="0.25">
      <c r="A21" s="28" t="s">
        <v>202</v>
      </c>
      <c r="B21" s="47">
        <v>7</v>
      </c>
      <c r="C21" s="48" t="s">
        <v>535</v>
      </c>
      <c r="D21" s="49" t="str">
        <f>IFERROR(IF(D$3="","",IF(TEXT(D$3,"ddd")="CN","CN",VLOOKUP($A21&amp;D$3,Data_Cong!$R:$AI,10,0))),"")</f>
        <v/>
      </c>
      <c r="E21" s="49" t="str">
        <f>IFERROR(IF(E$3="","",IF(TEXT(E$3,"ddd")="CN","CN",VLOOKUP($A21&amp;E$3,Data_Cong!$R:$AI,10,0))),"")</f>
        <v/>
      </c>
      <c r="F21" s="49" t="str">
        <f>IFERROR(IF(F$3="","",IF(TEXT(F$3,"ddd")="CN","CN",VLOOKUP($A21&amp;F$3,Data_Cong!$R:$AI,10,0))),"")</f>
        <v/>
      </c>
      <c r="G21" s="49" t="str">
        <f>IFERROR(IF(G$3="","",IF(TEXT(G$3,"ddd")="CN","CN",VLOOKUP($A21&amp;G$3,Data_Cong!$R:$AI,10,0))),"")</f>
        <v/>
      </c>
      <c r="H21" s="49" t="str">
        <f>IFERROR(IF(H$3="","",IF(TEXT(H$3,"ddd")="CN","CN",VLOOKUP($A21&amp;H$3,Data_Cong!$R:$AI,10,0))),"")</f>
        <v/>
      </c>
      <c r="I21" s="49" t="str">
        <f>IFERROR(IF(I$3="","",IF(TEXT(I$3,"ddd")="CN","CN",VLOOKUP($A21&amp;I$3,Data_Cong!$R:$AI,10,0))),"")</f>
        <v/>
      </c>
      <c r="J21" s="49" t="str">
        <f>IFERROR(IF(J$3="","",IF(TEXT(J$3,"ddd")="CN","CN",VLOOKUP($A21&amp;J$3,Data_Cong!$R:$AI,10,0))),"")</f>
        <v>CN</v>
      </c>
      <c r="K21" s="49" t="str">
        <f>IFERROR(IF(K$3="","",IF(TEXT(K$3,"ddd")="CN","CN",VLOOKUP($A21&amp;K$3,Data_Cong!$R:$AI,10,0))),"")</f>
        <v/>
      </c>
      <c r="L21" s="49" t="str">
        <f>IFERROR(IF(L$3="","",IF(TEXT(L$3,"ddd")="CN","CN",VLOOKUP($A21&amp;L$3,Data_Cong!$R:$AI,10,0))),"")</f>
        <v/>
      </c>
      <c r="M21" s="49" t="str">
        <f>IFERROR(IF(M$3="","",IF(TEXT(M$3,"ddd")="CN","CN",VLOOKUP($A21&amp;M$3,Data_Cong!$R:$AI,10,0))),"")</f>
        <v/>
      </c>
      <c r="N21" s="49" t="str">
        <f>IFERROR(IF(N$3="","",IF(TEXT(N$3,"ddd")="CN","CN",VLOOKUP($A21&amp;N$3,Data_Cong!$R:$AI,10,0))),"")</f>
        <v/>
      </c>
      <c r="O21" s="49" t="str">
        <f>IFERROR(IF(O$3="","",IF(TEXT(O$3,"ddd")="CN","CN",VLOOKUP($A21&amp;O$3,Data_Cong!$R:$AI,10,0))),"")</f>
        <v/>
      </c>
      <c r="P21" s="49" t="str">
        <f>IFERROR(IF(P$3="","",IF(TEXT(P$3,"ddd")="CN","CN",VLOOKUP($A21&amp;P$3,Data_Cong!$R:$AI,10,0))),"")</f>
        <v/>
      </c>
      <c r="Q21" s="49" t="str">
        <f>IFERROR(IF(Q$3="","",IF(TEXT(Q$3,"ddd")="CN","CN",VLOOKUP($A21&amp;Q$3,Data_Cong!$R:$AI,10,0))),"")</f>
        <v>CN</v>
      </c>
      <c r="R21" s="49" t="str">
        <f>IFERROR(IF(R$3="","",IF(TEXT(R$3,"ddd")="CN","CN",VLOOKUP($A21&amp;R$3,Data_Cong!$R:$AI,10,0))),"")</f>
        <v/>
      </c>
      <c r="S21" s="49" t="str">
        <f>IFERROR(IF(S$3="","",IF(TEXT(S$3,"ddd")="CN","CN",VLOOKUP($A21&amp;S$3,Data_Cong!$R:$AI,10,0))),"")</f>
        <v/>
      </c>
      <c r="T21" s="49" t="str">
        <f>IFERROR(IF(T$3="","",IF(TEXT(T$3,"ddd")="CN","CN",VLOOKUP($A21&amp;T$3,Data_Cong!$R:$AI,10,0))),"")</f>
        <v/>
      </c>
      <c r="U21" s="49" t="str">
        <f>IFERROR(IF(U$3="","",IF(TEXT(U$3,"ddd")="CN","CN",VLOOKUP($A21&amp;U$3,Data_Cong!$R:$AI,10,0))),"")</f>
        <v/>
      </c>
      <c r="V21" s="49" t="str">
        <f>IFERROR(IF(V$3="","",IF(TEXT(V$3,"ddd")="CN","CN",VLOOKUP($A21&amp;V$3,Data_Cong!$R:$AI,10,0))),"")</f>
        <v/>
      </c>
      <c r="W21" s="49" t="str">
        <f>IFERROR(IF(W$3="","",IF(TEXT(W$3,"ddd")="CN","CN",VLOOKUP($A21&amp;W$3,Data_Cong!$R:$AI,10,0))),"")</f>
        <v/>
      </c>
      <c r="X21" s="49" t="str">
        <f>IFERROR(IF(X$3="","",IF(TEXT(X$3,"ddd")="CN","CN",VLOOKUP($A21&amp;X$3,Data_Cong!$R:$AI,10,0))),"")</f>
        <v>CN</v>
      </c>
      <c r="Y21" s="49" t="str">
        <f>IFERROR(IF(Y$3="","",IF(TEXT(Y$3,"ddd")="CN","CN",VLOOKUP($A21&amp;Y$3,Data_Cong!$R:$AI,10,0))),"")</f>
        <v/>
      </c>
      <c r="Z21" s="49" t="str">
        <f>IFERROR(IF(Z$3="","",IF(TEXT(Z$3,"ddd")="CN","CN",VLOOKUP($A21&amp;Z$3,Data_Cong!$R:$AI,10,0))),"")</f>
        <v/>
      </c>
      <c r="AA21" s="49" t="str">
        <f>IFERROR(IF(AA$3="","",IF(TEXT(AA$3,"ddd")="CN","CN",VLOOKUP($A21&amp;AA$3,Data_Cong!$R:$AI,10,0))),"")</f>
        <v/>
      </c>
      <c r="AB21" s="49" t="str">
        <f>IFERROR(IF(AB$3="","",IF(TEXT(AB$3,"ddd")="CN","CN",VLOOKUP($A21&amp;AB$3,Data_Cong!$R:$AI,10,0))),"")</f>
        <v/>
      </c>
      <c r="AC21" s="49" t="str">
        <f>IFERROR(IF(AC$3="","",IF(TEXT(AC$3,"ddd")="CN","CN",VLOOKUP($A21&amp;AC$3,Data_Cong!$R:$AI,10,0))),"")</f>
        <v/>
      </c>
      <c r="AD21" s="49" t="str">
        <f>IFERROR(IF(AD$3="","",IF(TEXT(AD$3,"ddd")="CN","CN",VLOOKUP($A21&amp;AD$3,Data_Cong!$R:$AI,10,0))),"")</f>
        <v/>
      </c>
      <c r="AE21" s="49" t="str">
        <f>IFERROR(IF(AE$3="","",IF(TEXT(AE$3,"ddd")="CN","CN",VLOOKUP($A21&amp;AE$3,Data_Cong!$R:$AI,10,0))),"")</f>
        <v>CN</v>
      </c>
      <c r="AF21" s="49" t="str">
        <f>IFERROR(IF(AF$3="","",IF(TEXT(AF$3,"ddd")="CN","CN",VLOOKUP($A21&amp;AF$3,Data_Cong!$R:$AI,10,0))),"")</f>
        <v/>
      </c>
      <c r="AG21" s="49" t="str">
        <f>IFERROR(IF(AG$3="","",IF(TEXT(AG$3,"ddd")="CN","CN",VLOOKUP($A21&amp;AG$3,Data_Cong!$R:$AI,10,0))),"")</f>
        <v/>
      </c>
      <c r="AH21" s="49" t="str">
        <f>IFERROR(IF(AH$3="","",IF(TEXT(AH$3,"ddd")="CN","CN",VLOOKUP($A21&amp;AH$3,Data_Cong!$R:$AI,10,0))),"")</f>
        <v/>
      </c>
      <c r="AI21" s="50" cm="1">
        <f t="array" ref="AI21">SUMPRODUCT((D21:AH21="x")*1+(D21:AH21="P")*1+(D21:AH21="1/2P")*1+(D21:AH21="1/2")*0.5+(D21:AH21="2x")*2+(D21:AH21="L")*1)</f>
        <v>0</v>
      </c>
      <c r="AJ21" s="51">
        <f>SUMIF(Data_Cong!A:A,$A21,Data_Cong!AE:AE)</f>
        <v>0</v>
      </c>
      <c r="AK21" s="52">
        <f>COUNTIFS(Data_Cong!AB:AB,"&gt;5",Data_Cong!A:A,A21)</f>
        <v>0</v>
      </c>
      <c r="AL21" s="53" t="str">
        <f>IF(MONTH(VLOOKUP(A21,Data_NV!$A:$J,10,0))=BANG_CHAM_CONG!$R$2,"T"&amp;BANG_CHAM_CONG!$R$2,"")</f>
        <v/>
      </c>
      <c r="AM21" s="94">
        <v>12</v>
      </c>
      <c r="AN21" s="91" cm="1">
        <f t="array" ref="AN21">IF((AM21+1)&gt;12,12,(AM21+1))-SUMPRODUCT((D21:AH21="P")*1+(D21:AH21="1/2P")*0.5)</f>
        <v>12</v>
      </c>
      <c r="AO21" s="50"/>
      <c r="AP21" s="54">
        <f>SUMIFS(Data_Cong!AF:AF,Data_Cong!A:A,$A21)+SUMIFS(Data_Cong!AG:AG,Data_Cong!A:A,$A21)</f>
        <v>0</v>
      </c>
    </row>
    <row r="22" spans="1:42" ht="15.75" x14ac:dyDescent="0.25">
      <c r="A22" s="28" t="s">
        <v>194</v>
      </c>
      <c r="B22" s="47">
        <v>8</v>
      </c>
      <c r="C22" s="48" t="s">
        <v>536</v>
      </c>
      <c r="D22" s="49" t="str">
        <f>IFERROR(IF(D$3="","",IF(TEXT(D$3,"ddd")="CN","CN",VLOOKUP($A22&amp;D$3,Data_Cong!$R:$AI,10,0))),"")</f>
        <v/>
      </c>
      <c r="E22" s="49" t="str">
        <f>IFERROR(IF(E$3="","",IF(TEXT(E$3,"ddd")="CN","CN",VLOOKUP($A22&amp;E$3,Data_Cong!$R:$AI,10,0))),"")</f>
        <v/>
      </c>
      <c r="F22" s="49" t="str">
        <f>IFERROR(IF(F$3="","",IF(TEXT(F$3,"ddd")="CN","CN",VLOOKUP($A22&amp;F$3,Data_Cong!$R:$AI,10,0))),"")</f>
        <v/>
      </c>
      <c r="G22" s="49" t="str">
        <f>IFERROR(IF(G$3="","",IF(TEXT(G$3,"ddd")="CN","CN",VLOOKUP($A22&amp;G$3,Data_Cong!$R:$AI,10,0))),"")</f>
        <v/>
      </c>
      <c r="H22" s="49" t="str">
        <f>IFERROR(IF(H$3="","",IF(TEXT(H$3,"ddd")="CN","CN",VLOOKUP($A22&amp;H$3,Data_Cong!$R:$AI,10,0))),"")</f>
        <v/>
      </c>
      <c r="I22" s="49" t="str">
        <f>IFERROR(IF(I$3="","",IF(TEXT(I$3,"ddd")="CN","CN",VLOOKUP($A22&amp;I$3,Data_Cong!$R:$AI,10,0))),"")</f>
        <v/>
      </c>
      <c r="J22" s="49" t="str">
        <f>IFERROR(IF(J$3="","",IF(TEXT(J$3,"ddd")="CN","CN",VLOOKUP($A22&amp;J$3,Data_Cong!$R:$AI,10,0))),"")</f>
        <v>CN</v>
      </c>
      <c r="K22" s="49" t="str">
        <f>IFERROR(IF(K$3="","",IF(TEXT(K$3,"ddd")="CN","CN",VLOOKUP($A22&amp;K$3,Data_Cong!$R:$AI,10,0))),"")</f>
        <v/>
      </c>
      <c r="L22" s="49" t="str">
        <f>IFERROR(IF(L$3="","",IF(TEXT(L$3,"ddd")="CN","CN",VLOOKUP($A22&amp;L$3,Data_Cong!$R:$AI,10,0))),"")</f>
        <v/>
      </c>
      <c r="M22" s="49" t="str">
        <f>IFERROR(IF(M$3="","",IF(TEXT(M$3,"ddd")="CN","CN",VLOOKUP($A22&amp;M$3,Data_Cong!$R:$AI,10,0))),"")</f>
        <v/>
      </c>
      <c r="N22" s="49" t="str">
        <f>IFERROR(IF(N$3="","",IF(TEXT(N$3,"ddd")="CN","CN",VLOOKUP($A22&amp;N$3,Data_Cong!$R:$AI,10,0))),"")</f>
        <v/>
      </c>
      <c r="O22" s="49" t="str">
        <f>IFERROR(IF(O$3="","",IF(TEXT(O$3,"ddd")="CN","CN",VLOOKUP($A22&amp;O$3,Data_Cong!$R:$AI,10,0))),"")</f>
        <v/>
      </c>
      <c r="P22" s="49" t="str">
        <f>IFERROR(IF(P$3="","",IF(TEXT(P$3,"ddd")="CN","CN",VLOOKUP($A22&amp;P$3,Data_Cong!$R:$AI,10,0))),"")</f>
        <v/>
      </c>
      <c r="Q22" s="49" t="str">
        <f>IFERROR(IF(Q$3="","",IF(TEXT(Q$3,"ddd")="CN","CN",VLOOKUP($A22&amp;Q$3,Data_Cong!$R:$AI,10,0))),"")</f>
        <v>CN</v>
      </c>
      <c r="R22" s="49" t="str">
        <f>IFERROR(IF(R$3="","",IF(TEXT(R$3,"ddd")="CN","CN",VLOOKUP($A22&amp;R$3,Data_Cong!$R:$AI,10,0))),"")</f>
        <v/>
      </c>
      <c r="S22" s="49" t="str">
        <f>IFERROR(IF(S$3="","",IF(TEXT(S$3,"ddd")="CN","CN",VLOOKUP($A22&amp;S$3,Data_Cong!$R:$AI,10,0))),"")</f>
        <v/>
      </c>
      <c r="T22" s="49" t="str">
        <f>IFERROR(IF(T$3="","",IF(TEXT(T$3,"ddd")="CN","CN",VLOOKUP($A22&amp;T$3,Data_Cong!$R:$AI,10,0))),"")</f>
        <v/>
      </c>
      <c r="U22" s="49" t="str">
        <f>IFERROR(IF(U$3="","",IF(TEXT(U$3,"ddd")="CN","CN",VLOOKUP($A22&amp;U$3,Data_Cong!$R:$AI,10,0))),"")</f>
        <v/>
      </c>
      <c r="V22" s="49" t="str">
        <f>IFERROR(IF(V$3="","",IF(TEXT(V$3,"ddd")="CN","CN",VLOOKUP($A22&amp;V$3,Data_Cong!$R:$AI,10,0))),"")</f>
        <v/>
      </c>
      <c r="W22" s="49" t="str">
        <f>IFERROR(IF(W$3="","",IF(TEXT(W$3,"ddd")="CN","CN",VLOOKUP($A22&amp;W$3,Data_Cong!$R:$AI,10,0))),"")</f>
        <v/>
      </c>
      <c r="X22" s="49" t="str">
        <f>IFERROR(IF(X$3="","",IF(TEXT(X$3,"ddd")="CN","CN",VLOOKUP($A22&amp;X$3,Data_Cong!$R:$AI,10,0))),"")</f>
        <v>CN</v>
      </c>
      <c r="Y22" s="49" t="str">
        <f>IFERROR(IF(Y$3="","",IF(TEXT(Y$3,"ddd")="CN","CN",VLOOKUP($A22&amp;Y$3,Data_Cong!$R:$AI,10,0))),"")</f>
        <v/>
      </c>
      <c r="Z22" s="49" t="str">
        <f>IFERROR(IF(Z$3="","",IF(TEXT(Z$3,"ddd")="CN","CN",VLOOKUP($A22&amp;Z$3,Data_Cong!$R:$AI,10,0))),"")</f>
        <v/>
      </c>
      <c r="AA22" s="49" t="str">
        <f>IFERROR(IF(AA$3="","",IF(TEXT(AA$3,"ddd")="CN","CN",VLOOKUP($A22&amp;AA$3,Data_Cong!$R:$AI,10,0))),"")</f>
        <v/>
      </c>
      <c r="AB22" s="49" t="str">
        <f>IFERROR(IF(AB$3="","",IF(TEXT(AB$3,"ddd")="CN","CN",VLOOKUP($A22&amp;AB$3,Data_Cong!$R:$AI,10,0))),"")</f>
        <v/>
      </c>
      <c r="AC22" s="49" t="str">
        <f>IFERROR(IF(AC$3="","",IF(TEXT(AC$3,"ddd")="CN","CN",VLOOKUP($A22&amp;AC$3,Data_Cong!$R:$AI,10,0))),"")</f>
        <v/>
      </c>
      <c r="AD22" s="49" t="str">
        <f>IFERROR(IF(AD$3="","",IF(TEXT(AD$3,"ddd")="CN","CN",VLOOKUP($A22&amp;AD$3,Data_Cong!$R:$AI,10,0))),"")</f>
        <v/>
      </c>
      <c r="AE22" s="49" t="str">
        <f>IFERROR(IF(AE$3="","",IF(TEXT(AE$3,"ddd")="CN","CN",VLOOKUP($A22&amp;AE$3,Data_Cong!$R:$AI,10,0))),"")</f>
        <v>CN</v>
      </c>
      <c r="AF22" s="49" t="str">
        <f>IFERROR(IF(AF$3="","",IF(TEXT(AF$3,"ddd")="CN","CN",VLOOKUP($A22&amp;AF$3,Data_Cong!$R:$AI,10,0))),"")</f>
        <v/>
      </c>
      <c r="AG22" s="49" t="str">
        <f>IFERROR(IF(AG$3="","",IF(TEXT(AG$3,"ddd")="CN","CN",VLOOKUP($A22&amp;AG$3,Data_Cong!$R:$AI,10,0))),"")</f>
        <v/>
      </c>
      <c r="AH22" s="49" t="str">
        <f>IFERROR(IF(AH$3="","",IF(TEXT(AH$3,"ddd")="CN","CN",VLOOKUP($A22&amp;AH$3,Data_Cong!$R:$AI,10,0))),"")</f>
        <v/>
      </c>
      <c r="AI22" s="50" cm="1">
        <f t="array" ref="AI22">SUMPRODUCT((D22:AH22="x")*1+(D22:AH22="P")*1+(D22:AH22="1/2P")*1+(D22:AH22="1/2")*0.5+(D22:AH22="2x")*2+(D22:AH22="L")*1)</f>
        <v>0</v>
      </c>
      <c r="AJ22" s="51">
        <f>SUMIF(Data_Cong!A:A,$A22,Data_Cong!AE:AE)</f>
        <v>0</v>
      </c>
      <c r="AK22" s="52">
        <f>COUNTIFS(Data_Cong!AB:AB,"&gt;5",Data_Cong!A:A,A22)</f>
        <v>0</v>
      </c>
      <c r="AL22" s="53" t="str">
        <f>IF(MONTH(VLOOKUP(A22,Data_NV!$A:$J,10,0))=BANG_CHAM_CONG!$R$2,"T"&amp;BANG_CHAM_CONG!$R$2,"")</f>
        <v/>
      </c>
      <c r="AM22" s="94">
        <v>12</v>
      </c>
      <c r="AN22" s="91" cm="1">
        <f t="array" ref="AN22">IF((AM22+1)&gt;12,12,(AM22+1))-SUMPRODUCT((D22:AH22="P")*1+(D22:AH22="1/2P")*0.5)</f>
        <v>12</v>
      </c>
      <c r="AO22" s="50"/>
      <c r="AP22" s="54">
        <f>SUMIFS(Data_Cong!AF:AF,Data_Cong!A:A,$A22)+SUMIFS(Data_Cong!AG:AG,Data_Cong!A:A,$A22)</f>
        <v>0</v>
      </c>
    </row>
    <row r="23" spans="1:42" ht="15.75" x14ac:dyDescent="0.25">
      <c r="A23" s="28" t="s">
        <v>225</v>
      </c>
      <c r="B23" s="47">
        <v>9</v>
      </c>
      <c r="C23" s="48" t="s">
        <v>537</v>
      </c>
      <c r="D23" s="49" t="str">
        <f>IFERROR(IF(D$3="","",IF(TEXT(D$3,"ddd")="CN","CN",VLOOKUP($A23&amp;D$3,Data_Cong!$R:$AI,10,0))),"")</f>
        <v/>
      </c>
      <c r="E23" s="49" t="str">
        <f>IFERROR(IF(E$3="","",IF(TEXT(E$3,"ddd")="CN","CN",VLOOKUP($A23&amp;E$3,Data_Cong!$R:$AI,10,0))),"")</f>
        <v/>
      </c>
      <c r="F23" s="49" t="str">
        <f>IFERROR(IF(F$3="","",IF(TEXT(F$3,"ddd")="CN","CN",VLOOKUP($A23&amp;F$3,Data_Cong!$R:$AI,10,0))),"")</f>
        <v/>
      </c>
      <c r="G23" s="49" t="str">
        <f>IFERROR(IF(G$3="","",IF(TEXT(G$3,"ddd")="CN","CN",VLOOKUP($A23&amp;G$3,Data_Cong!$R:$AI,10,0))),"")</f>
        <v/>
      </c>
      <c r="H23" s="49" t="str">
        <f>IFERROR(IF(H$3="","",IF(TEXT(H$3,"ddd")="CN","CN",VLOOKUP($A23&amp;H$3,Data_Cong!$R:$AI,10,0))),"")</f>
        <v/>
      </c>
      <c r="I23" s="49" t="str">
        <f>IFERROR(IF(I$3="","",IF(TEXT(I$3,"ddd")="CN","CN",VLOOKUP($A23&amp;I$3,Data_Cong!$R:$AI,10,0))),"")</f>
        <v/>
      </c>
      <c r="J23" s="49" t="str">
        <f>IFERROR(IF(J$3="","",IF(TEXT(J$3,"ddd")="CN","CN",VLOOKUP($A23&amp;J$3,Data_Cong!$R:$AI,10,0))),"")</f>
        <v>CN</v>
      </c>
      <c r="K23" s="49" t="str">
        <f>IFERROR(IF(K$3="","",IF(TEXT(K$3,"ddd")="CN","CN",VLOOKUP($A23&amp;K$3,Data_Cong!$R:$AI,10,0))),"")</f>
        <v/>
      </c>
      <c r="L23" s="49" t="str">
        <f>IFERROR(IF(L$3="","",IF(TEXT(L$3,"ddd")="CN","CN",VLOOKUP($A23&amp;L$3,Data_Cong!$R:$AI,10,0))),"")</f>
        <v/>
      </c>
      <c r="M23" s="49" t="str">
        <f>IFERROR(IF(M$3="","",IF(TEXT(M$3,"ddd")="CN","CN",VLOOKUP($A23&amp;M$3,Data_Cong!$R:$AI,10,0))),"")</f>
        <v/>
      </c>
      <c r="N23" s="49" t="str">
        <f>IFERROR(IF(N$3="","",IF(TEXT(N$3,"ddd")="CN","CN",VLOOKUP($A23&amp;N$3,Data_Cong!$R:$AI,10,0))),"")</f>
        <v/>
      </c>
      <c r="O23" s="49" t="str">
        <f>IFERROR(IF(O$3="","",IF(TEXT(O$3,"ddd")="CN","CN",VLOOKUP($A23&amp;O$3,Data_Cong!$R:$AI,10,0))),"")</f>
        <v/>
      </c>
      <c r="P23" s="49" t="str">
        <f>IFERROR(IF(P$3="","",IF(TEXT(P$3,"ddd")="CN","CN",VLOOKUP($A23&amp;P$3,Data_Cong!$R:$AI,10,0))),"")</f>
        <v/>
      </c>
      <c r="Q23" s="49" t="str">
        <f>IFERROR(IF(Q$3="","",IF(TEXT(Q$3,"ddd")="CN","CN",VLOOKUP($A23&amp;Q$3,Data_Cong!$R:$AI,10,0))),"")</f>
        <v>CN</v>
      </c>
      <c r="R23" s="49" t="str">
        <f>IFERROR(IF(R$3="","",IF(TEXT(R$3,"ddd")="CN","CN",VLOOKUP($A23&amp;R$3,Data_Cong!$R:$AI,10,0))),"")</f>
        <v/>
      </c>
      <c r="S23" s="49" t="str">
        <f>IFERROR(IF(S$3="","",IF(TEXT(S$3,"ddd")="CN","CN",VLOOKUP($A23&amp;S$3,Data_Cong!$R:$AI,10,0))),"")</f>
        <v/>
      </c>
      <c r="T23" s="49" t="str">
        <f>IFERROR(IF(T$3="","",IF(TEXT(T$3,"ddd")="CN","CN",VLOOKUP($A23&amp;T$3,Data_Cong!$R:$AI,10,0))),"")</f>
        <v/>
      </c>
      <c r="U23" s="49" t="str">
        <f>IFERROR(IF(U$3="","",IF(TEXT(U$3,"ddd")="CN","CN",VLOOKUP($A23&amp;U$3,Data_Cong!$R:$AI,10,0))),"")</f>
        <v/>
      </c>
      <c r="V23" s="49" t="str">
        <f>IFERROR(IF(V$3="","",IF(TEXT(V$3,"ddd")="CN","CN",VLOOKUP($A23&amp;V$3,Data_Cong!$R:$AI,10,0))),"")</f>
        <v/>
      </c>
      <c r="W23" s="49" t="str">
        <f>IFERROR(IF(W$3="","",IF(TEXT(W$3,"ddd")="CN","CN",VLOOKUP($A23&amp;W$3,Data_Cong!$R:$AI,10,0))),"")</f>
        <v/>
      </c>
      <c r="X23" s="49" t="str">
        <f>IFERROR(IF(X$3="","",IF(TEXT(X$3,"ddd")="CN","CN",VLOOKUP($A23&amp;X$3,Data_Cong!$R:$AI,10,0))),"")</f>
        <v>CN</v>
      </c>
      <c r="Y23" s="49" t="str">
        <f>IFERROR(IF(Y$3="","",IF(TEXT(Y$3,"ddd")="CN","CN",VLOOKUP($A23&amp;Y$3,Data_Cong!$R:$AI,10,0))),"")</f>
        <v/>
      </c>
      <c r="Z23" s="49" t="str">
        <f>IFERROR(IF(Z$3="","",IF(TEXT(Z$3,"ddd")="CN","CN",VLOOKUP($A23&amp;Z$3,Data_Cong!$R:$AI,10,0))),"")</f>
        <v/>
      </c>
      <c r="AA23" s="49" t="str">
        <f>IFERROR(IF(AA$3="","",IF(TEXT(AA$3,"ddd")="CN","CN",VLOOKUP($A23&amp;AA$3,Data_Cong!$R:$AI,10,0))),"")</f>
        <v/>
      </c>
      <c r="AB23" s="49" t="str">
        <f>IFERROR(IF(AB$3="","",IF(TEXT(AB$3,"ddd")="CN","CN",VLOOKUP($A23&amp;AB$3,Data_Cong!$R:$AI,10,0))),"")</f>
        <v/>
      </c>
      <c r="AC23" s="49" t="str">
        <f>IFERROR(IF(AC$3="","",IF(TEXT(AC$3,"ddd")="CN","CN",VLOOKUP($A23&amp;AC$3,Data_Cong!$R:$AI,10,0))),"")</f>
        <v/>
      </c>
      <c r="AD23" s="49" t="str">
        <f>IFERROR(IF(AD$3="","",IF(TEXT(AD$3,"ddd")="CN","CN",VLOOKUP($A23&amp;AD$3,Data_Cong!$R:$AI,10,0))),"")</f>
        <v/>
      </c>
      <c r="AE23" s="49" t="str">
        <f>IFERROR(IF(AE$3="","",IF(TEXT(AE$3,"ddd")="CN","CN",VLOOKUP($A23&amp;AE$3,Data_Cong!$R:$AI,10,0))),"")</f>
        <v>CN</v>
      </c>
      <c r="AF23" s="49" t="str">
        <f>IFERROR(IF(AF$3="","",IF(TEXT(AF$3,"ddd")="CN","CN",VLOOKUP($A23&amp;AF$3,Data_Cong!$R:$AI,10,0))),"")</f>
        <v/>
      </c>
      <c r="AG23" s="49" t="str">
        <f>IFERROR(IF(AG$3="","",IF(TEXT(AG$3,"ddd")="CN","CN",VLOOKUP($A23&amp;AG$3,Data_Cong!$R:$AI,10,0))),"")</f>
        <v/>
      </c>
      <c r="AH23" s="49" t="str">
        <f>IFERROR(IF(AH$3="","",IF(TEXT(AH$3,"ddd")="CN","CN",VLOOKUP($A23&amp;AH$3,Data_Cong!$R:$AI,10,0))),"")</f>
        <v/>
      </c>
      <c r="AI23" s="50" cm="1">
        <f t="array" ref="AI23">SUMPRODUCT((D23:AH23="x")*1+(D23:AH23="P")*1+(D23:AH23="1/2P")*1+(D23:AH23="1/2")*0.5+(D23:AH23="2x")*2+(D23:AH23="L")*1)</f>
        <v>0</v>
      </c>
      <c r="AJ23" s="51">
        <f>SUMIF(Data_Cong!A:A,$A23,Data_Cong!AE:AE)</f>
        <v>0</v>
      </c>
      <c r="AK23" s="52">
        <f>COUNTIFS(Data_Cong!AB:AB,"&gt;5",Data_Cong!A:A,A23)</f>
        <v>0</v>
      </c>
      <c r="AL23" s="53" t="str">
        <f>IF(MONTH(VLOOKUP(A23,Data_NV!$A:$J,10,0))=BANG_CHAM_CONG!$R$2,"T"&amp;BANG_CHAM_CONG!$R$2,"")</f>
        <v/>
      </c>
      <c r="AM23" s="94">
        <v>8</v>
      </c>
      <c r="AN23" s="91" cm="1">
        <f t="array" ref="AN23">IF((AM23+1)&gt;12,12,(AM23+1))-SUMPRODUCT((D23:AH23="P")*1+(D23:AH23="1/2P")*0.5)</f>
        <v>9</v>
      </c>
      <c r="AO23" s="50"/>
      <c r="AP23" s="54">
        <f>SUMIFS(Data_Cong!AF:AF,Data_Cong!A:A,$A23)+SUMIFS(Data_Cong!AG:AG,Data_Cong!A:A,$A23)</f>
        <v>0</v>
      </c>
    </row>
    <row r="24" spans="1:42" ht="15.75" x14ac:dyDescent="0.25">
      <c r="A24" s="28" t="s">
        <v>331</v>
      </c>
      <c r="B24" s="47">
        <v>10</v>
      </c>
      <c r="C24" s="48" t="s">
        <v>538</v>
      </c>
      <c r="D24" s="49" t="str">
        <f>IFERROR(IF(D$3="","",IF(TEXT(D$3,"ddd")="CN","CN",VLOOKUP($A24&amp;D$3,Data_Cong!$R:$AI,10,0))),"")</f>
        <v/>
      </c>
      <c r="E24" s="49" t="str">
        <f>IFERROR(IF(E$3="","",IF(TEXT(E$3,"ddd")="CN","CN",VLOOKUP($A24&amp;E$3,Data_Cong!$R:$AI,10,0))),"")</f>
        <v/>
      </c>
      <c r="F24" s="49" t="str">
        <f>IFERROR(IF(F$3="","",IF(TEXT(F$3,"ddd")="CN","CN",VLOOKUP($A24&amp;F$3,Data_Cong!$R:$AI,10,0))),"")</f>
        <v/>
      </c>
      <c r="G24" s="49" t="str">
        <f>IFERROR(IF(G$3="","",IF(TEXT(G$3,"ddd")="CN","CN",VLOOKUP($A24&amp;G$3,Data_Cong!$R:$AI,10,0))),"")</f>
        <v/>
      </c>
      <c r="H24" s="49" t="str">
        <f>IFERROR(IF(H$3="","",IF(TEXT(H$3,"ddd")="CN","CN",VLOOKUP($A24&amp;H$3,Data_Cong!$R:$AI,10,0))),"")</f>
        <v/>
      </c>
      <c r="I24" s="49" t="str">
        <f>IFERROR(IF(I$3="","",IF(TEXT(I$3,"ddd")="CN","CN",VLOOKUP($A24&amp;I$3,Data_Cong!$R:$AI,10,0))),"")</f>
        <v/>
      </c>
      <c r="J24" s="49" t="str">
        <f>IFERROR(IF(J$3="","",IF(TEXT(J$3,"ddd")="CN","CN",VLOOKUP($A24&amp;J$3,Data_Cong!$R:$AI,10,0))),"")</f>
        <v>CN</v>
      </c>
      <c r="K24" s="49" t="str">
        <f>IFERROR(IF(K$3="","",IF(TEXT(K$3,"ddd")="CN","CN",VLOOKUP($A24&amp;K$3,Data_Cong!$R:$AI,10,0))),"")</f>
        <v/>
      </c>
      <c r="L24" s="49" t="str">
        <f>IFERROR(IF(L$3="","",IF(TEXT(L$3,"ddd")="CN","CN",VLOOKUP($A24&amp;L$3,Data_Cong!$R:$AI,10,0))),"")</f>
        <v/>
      </c>
      <c r="M24" s="49" t="str">
        <f>IFERROR(IF(M$3="","",IF(TEXT(M$3,"ddd")="CN","CN",VLOOKUP($A24&amp;M$3,Data_Cong!$R:$AI,10,0))),"")</f>
        <v/>
      </c>
      <c r="N24" s="49" t="str">
        <f>IFERROR(IF(N$3="","",IF(TEXT(N$3,"ddd")="CN","CN",VLOOKUP($A24&amp;N$3,Data_Cong!$R:$AI,10,0))),"")</f>
        <v/>
      </c>
      <c r="O24" s="49" t="str">
        <f>IFERROR(IF(O$3="","",IF(TEXT(O$3,"ddd")="CN","CN",VLOOKUP($A24&amp;O$3,Data_Cong!$R:$AI,10,0))),"")</f>
        <v/>
      </c>
      <c r="P24" s="49" t="str">
        <f>IFERROR(IF(P$3="","",IF(TEXT(P$3,"ddd")="CN","CN",VLOOKUP($A24&amp;P$3,Data_Cong!$R:$AI,10,0))),"")</f>
        <v/>
      </c>
      <c r="Q24" s="49" t="str">
        <f>IFERROR(IF(Q$3="","",IF(TEXT(Q$3,"ddd")="CN","CN",VLOOKUP($A24&amp;Q$3,Data_Cong!$R:$AI,10,0))),"")</f>
        <v>CN</v>
      </c>
      <c r="R24" s="49" t="str">
        <f>IFERROR(IF(R$3="","",IF(TEXT(R$3,"ddd")="CN","CN",VLOOKUP($A24&amp;R$3,Data_Cong!$R:$AI,10,0))),"")</f>
        <v/>
      </c>
      <c r="S24" s="49" t="str">
        <f>IFERROR(IF(S$3="","",IF(TEXT(S$3,"ddd")="CN","CN",VLOOKUP($A24&amp;S$3,Data_Cong!$R:$AI,10,0))),"")</f>
        <v/>
      </c>
      <c r="T24" s="49" t="str">
        <f>IFERROR(IF(T$3="","",IF(TEXT(T$3,"ddd")="CN","CN",VLOOKUP($A24&amp;T$3,Data_Cong!$R:$AI,10,0))),"")</f>
        <v/>
      </c>
      <c r="U24" s="49" t="str">
        <f>IFERROR(IF(U$3="","",IF(TEXT(U$3,"ddd")="CN","CN",VLOOKUP($A24&amp;U$3,Data_Cong!$R:$AI,10,0))),"")</f>
        <v/>
      </c>
      <c r="V24" s="49" t="str">
        <f>IFERROR(IF(V$3="","",IF(TEXT(V$3,"ddd")="CN","CN",VLOOKUP($A24&amp;V$3,Data_Cong!$R:$AI,10,0))),"")</f>
        <v/>
      </c>
      <c r="W24" s="49" t="str">
        <f>IFERROR(IF(W$3="","",IF(TEXT(W$3,"ddd")="CN","CN",VLOOKUP($A24&amp;W$3,Data_Cong!$R:$AI,10,0))),"")</f>
        <v/>
      </c>
      <c r="X24" s="49" t="str">
        <f>IFERROR(IF(X$3="","",IF(TEXT(X$3,"ddd")="CN","CN",VLOOKUP($A24&amp;X$3,Data_Cong!$R:$AI,10,0))),"")</f>
        <v>CN</v>
      </c>
      <c r="Y24" s="49" t="str">
        <f>IFERROR(IF(Y$3="","",IF(TEXT(Y$3,"ddd")="CN","CN",VLOOKUP($A24&amp;Y$3,Data_Cong!$R:$AI,10,0))),"")</f>
        <v/>
      </c>
      <c r="Z24" s="49" t="str">
        <f>IFERROR(IF(Z$3="","",IF(TEXT(Z$3,"ddd")="CN","CN",VLOOKUP($A24&amp;Z$3,Data_Cong!$R:$AI,10,0))),"")</f>
        <v/>
      </c>
      <c r="AA24" s="49" t="str">
        <f>IFERROR(IF(AA$3="","",IF(TEXT(AA$3,"ddd")="CN","CN",VLOOKUP($A24&amp;AA$3,Data_Cong!$R:$AI,10,0))),"")</f>
        <v/>
      </c>
      <c r="AB24" s="49" t="str">
        <f>IFERROR(IF(AB$3="","",IF(TEXT(AB$3,"ddd")="CN","CN",VLOOKUP($A24&amp;AB$3,Data_Cong!$R:$AI,10,0))),"")</f>
        <v/>
      </c>
      <c r="AC24" s="49" t="str">
        <f>IFERROR(IF(AC$3="","",IF(TEXT(AC$3,"ddd")="CN","CN",VLOOKUP($A24&amp;AC$3,Data_Cong!$R:$AI,10,0))),"")</f>
        <v/>
      </c>
      <c r="AD24" s="49" t="str">
        <f>IFERROR(IF(AD$3="","",IF(TEXT(AD$3,"ddd")="CN","CN",VLOOKUP($A24&amp;AD$3,Data_Cong!$R:$AI,10,0))),"")</f>
        <v/>
      </c>
      <c r="AE24" s="49" t="str">
        <f>IFERROR(IF(AE$3="","",IF(TEXT(AE$3,"ddd")="CN","CN",VLOOKUP($A24&amp;AE$3,Data_Cong!$R:$AI,10,0))),"")</f>
        <v>CN</v>
      </c>
      <c r="AF24" s="49" t="str">
        <f>IFERROR(IF(AF$3="","",IF(TEXT(AF$3,"ddd")="CN","CN",VLOOKUP($A24&amp;AF$3,Data_Cong!$R:$AI,10,0))),"")</f>
        <v/>
      </c>
      <c r="AG24" s="49" t="str">
        <f>IFERROR(IF(AG$3="","",IF(TEXT(AG$3,"ddd")="CN","CN",VLOOKUP($A24&amp;AG$3,Data_Cong!$R:$AI,10,0))),"")</f>
        <v/>
      </c>
      <c r="AH24" s="49" t="str">
        <f>IFERROR(IF(AH$3="","",IF(TEXT(AH$3,"ddd")="CN","CN",VLOOKUP($A24&amp;AH$3,Data_Cong!$R:$AI,10,0))),"")</f>
        <v/>
      </c>
      <c r="AI24" s="50" cm="1">
        <f t="array" ref="AI24">SUMPRODUCT((D24:AH24="x")*1+(D24:AH24="P")*1+(D24:AH24="1/2P")*1+(D24:AH24="1/2")*0.5+(D24:AH24="2x")*2+(D24:AH24="L")*1)</f>
        <v>0</v>
      </c>
      <c r="AJ24" s="51">
        <f>SUMIF(Data_Cong!A:A,$A24,Data_Cong!AE:AE)</f>
        <v>0</v>
      </c>
      <c r="AK24" s="52">
        <f>COUNTIFS(Data_Cong!AB:AB,"&gt;5",Data_Cong!A:A,A24)</f>
        <v>0</v>
      </c>
      <c r="AL24" s="53" t="str">
        <f>IF(MONTH(VLOOKUP(A24,Data_NV!$A:$J,10,0))=BANG_CHAM_CONG!$R$2,"T"&amp;BANG_CHAM_CONG!$R$2,"")</f>
        <v/>
      </c>
      <c r="AM24" s="94">
        <v>0</v>
      </c>
      <c r="AN24" s="91" cm="1">
        <f t="array" ref="AN24">IF((AM24+1)&gt;12,12,(AM24+1))-SUMPRODUCT((D24:AH24="P")*1+(D24:AH24="1/2P")*0.5)</f>
        <v>1</v>
      </c>
      <c r="AO24" s="50"/>
      <c r="AP24" s="54">
        <f>SUMIFS(Data_Cong!AF:AF,Data_Cong!A:A,$A24)+SUMIFS(Data_Cong!AG:AG,Data_Cong!A:A,$A24)</f>
        <v>0</v>
      </c>
    </row>
    <row r="25" spans="1:42" ht="15.75" x14ac:dyDescent="0.25">
      <c r="A25" s="28" t="s">
        <v>357</v>
      </c>
      <c r="B25" s="47">
        <v>11</v>
      </c>
      <c r="C25" s="48" t="s">
        <v>539</v>
      </c>
      <c r="D25" s="49" t="str">
        <f>IFERROR(IF(D$3="","",IF(TEXT(D$3,"ddd")="CN","CN",VLOOKUP($A25&amp;D$3,Data_Cong!$R:$AI,10,0))),"")</f>
        <v/>
      </c>
      <c r="E25" s="49" t="str">
        <f>IFERROR(IF(E$3="","",IF(TEXT(E$3,"ddd")="CN","CN",VLOOKUP($A25&amp;E$3,Data_Cong!$R:$AI,10,0))),"")</f>
        <v/>
      </c>
      <c r="F25" s="49" t="str">
        <f>IFERROR(IF(F$3="","",IF(TEXT(F$3,"ddd")="CN","CN",VLOOKUP($A25&amp;F$3,Data_Cong!$R:$AI,10,0))),"")</f>
        <v/>
      </c>
      <c r="G25" s="49" t="str">
        <f>IFERROR(IF(G$3="","",IF(TEXT(G$3,"ddd")="CN","CN",VLOOKUP($A25&amp;G$3,Data_Cong!$R:$AI,10,0))),"")</f>
        <v/>
      </c>
      <c r="H25" s="49" t="str">
        <f>IFERROR(IF(H$3="","",IF(TEXT(H$3,"ddd")="CN","CN",VLOOKUP($A25&amp;H$3,Data_Cong!$R:$AI,10,0))),"")</f>
        <v/>
      </c>
      <c r="I25" s="49" t="str">
        <f>IFERROR(IF(I$3="","",IF(TEXT(I$3,"ddd")="CN","CN",VLOOKUP($A25&amp;I$3,Data_Cong!$R:$AI,10,0))),"")</f>
        <v/>
      </c>
      <c r="J25" s="49" t="str">
        <f>IFERROR(IF(J$3="","",IF(TEXT(J$3,"ddd")="CN","CN",VLOOKUP($A25&amp;J$3,Data_Cong!$R:$AI,10,0))),"")</f>
        <v>CN</v>
      </c>
      <c r="K25" s="49" t="str">
        <f>IFERROR(IF(K$3="","",IF(TEXT(K$3,"ddd")="CN","CN",VLOOKUP($A25&amp;K$3,Data_Cong!$R:$AI,10,0))),"")</f>
        <v/>
      </c>
      <c r="L25" s="49" t="str">
        <f>IFERROR(IF(L$3="","",IF(TEXT(L$3,"ddd")="CN","CN",VLOOKUP($A25&amp;L$3,Data_Cong!$R:$AI,10,0))),"")</f>
        <v/>
      </c>
      <c r="M25" s="49" t="str">
        <f>IFERROR(IF(M$3="","",IF(TEXT(M$3,"ddd")="CN","CN",VLOOKUP($A25&amp;M$3,Data_Cong!$R:$AI,10,0))),"")</f>
        <v/>
      </c>
      <c r="N25" s="49" t="str">
        <f>IFERROR(IF(N$3="","",IF(TEXT(N$3,"ddd")="CN","CN",VLOOKUP($A25&amp;N$3,Data_Cong!$R:$AI,10,0))),"")</f>
        <v/>
      </c>
      <c r="O25" s="49" t="str">
        <f>IFERROR(IF(O$3="","",IF(TEXT(O$3,"ddd")="CN","CN",VLOOKUP($A25&amp;O$3,Data_Cong!$R:$AI,10,0))),"")</f>
        <v/>
      </c>
      <c r="P25" s="49" t="str">
        <f>IFERROR(IF(P$3="","",IF(TEXT(P$3,"ddd")="CN","CN",VLOOKUP($A25&amp;P$3,Data_Cong!$R:$AI,10,0))),"")</f>
        <v/>
      </c>
      <c r="Q25" s="49" t="str">
        <f>IFERROR(IF(Q$3="","",IF(TEXT(Q$3,"ddd")="CN","CN",VLOOKUP($A25&amp;Q$3,Data_Cong!$R:$AI,10,0))),"")</f>
        <v>CN</v>
      </c>
      <c r="R25" s="49" t="str">
        <f>IFERROR(IF(R$3="","",IF(TEXT(R$3,"ddd")="CN","CN",VLOOKUP($A25&amp;R$3,Data_Cong!$R:$AI,10,0))),"")</f>
        <v/>
      </c>
      <c r="S25" s="49" t="str">
        <f>IFERROR(IF(S$3="","",IF(TEXT(S$3,"ddd")="CN","CN",VLOOKUP($A25&amp;S$3,Data_Cong!$R:$AI,10,0))),"")</f>
        <v/>
      </c>
      <c r="T25" s="49" t="str">
        <f>IFERROR(IF(T$3="","",IF(TEXT(T$3,"ddd")="CN","CN",VLOOKUP($A25&amp;T$3,Data_Cong!$R:$AI,10,0))),"")</f>
        <v/>
      </c>
      <c r="U25" s="49" t="str">
        <f>IFERROR(IF(U$3="","",IF(TEXT(U$3,"ddd")="CN","CN",VLOOKUP($A25&amp;U$3,Data_Cong!$R:$AI,10,0))),"")</f>
        <v/>
      </c>
      <c r="V25" s="49" t="str">
        <f>IFERROR(IF(V$3="","",IF(TEXT(V$3,"ddd")="CN","CN",VLOOKUP($A25&amp;V$3,Data_Cong!$R:$AI,10,0))),"")</f>
        <v/>
      </c>
      <c r="W25" s="49" t="str">
        <f>IFERROR(IF(W$3="","",IF(TEXT(W$3,"ddd")="CN","CN",VLOOKUP($A25&amp;W$3,Data_Cong!$R:$AI,10,0))),"")</f>
        <v/>
      </c>
      <c r="X25" s="49" t="str">
        <f>IFERROR(IF(X$3="","",IF(TEXT(X$3,"ddd")="CN","CN",VLOOKUP($A25&amp;X$3,Data_Cong!$R:$AI,10,0))),"")</f>
        <v>CN</v>
      </c>
      <c r="Y25" s="49" t="str">
        <f>IFERROR(IF(Y$3="","",IF(TEXT(Y$3,"ddd")="CN","CN",VLOOKUP($A25&amp;Y$3,Data_Cong!$R:$AI,10,0))),"")</f>
        <v/>
      </c>
      <c r="Z25" s="49" t="str">
        <f>IFERROR(IF(Z$3="","",IF(TEXT(Z$3,"ddd")="CN","CN",VLOOKUP($A25&amp;Z$3,Data_Cong!$R:$AI,10,0))),"")</f>
        <v/>
      </c>
      <c r="AA25" s="49" t="str">
        <f>IFERROR(IF(AA$3="","",IF(TEXT(AA$3,"ddd")="CN","CN",VLOOKUP($A25&amp;AA$3,Data_Cong!$R:$AI,10,0))),"")</f>
        <v/>
      </c>
      <c r="AB25" s="49" t="str">
        <f>IFERROR(IF(AB$3="","",IF(TEXT(AB$3,"ddd")="CN","CN",VLOOKUP($A25&amp;AB$3,Data_Cong!$R:$AI,10,0))),"")</f>
        <v/>
      </c>
      <c r="AC25" s="49" t="str">
        <f>IFERROR(IF(AC$3="","",IF(TEXT(AC$3,"ddd")="CN","CN",VLOOKUP($A25&amp;AC$3,Data_Cong!$R:$AI,10,0))),"")</f>
        <v/>
      </c>
      <c r="AD25" s="49" t="str">
        <f>IFERROR(IF(AD$3="","",IF(TEXT(AD$3,"ddd")="CN","CN",VLOOKUP($A25&amp;AD$3,Data_Cong!$R:$AI,10,0))),"")</f>
        <v/>
      </c>
      <c r="AE25" s="49" t="str">
        <f>IFERROR(IF(AE$3="","",IF(TEXT(AE$3,"ddd")="CN","CN",VLOOKUP($A25&amp;AE$3,Data_Cong!$R:$AI,10,0))),"")</f>
        <v>CN</v>
      </c>
      <c r="AF25" s="49" t="str">
        <f>IFERROR(IF(AF$3="","",IF(TEXT(AF$3,"ddd")="CN","CN",VLOOKUP($A25&amp;AF$3,Data_Cong!$R:$AI,10,0))),"")</f>
        <v/>
      </c>
      <c r="AG25" s="49" t="str">
        <f>IFERROR(IF(AG$3="","",IF(TEXT(AG$3,"ddd")="CN","CN",VLOOKUP($A25&amp;AG$3,Data_Cong!$R:$AI,10,0))),"")</f>
        <v/>
      </c>
      <c r="AH25" s="49" t="str">
        <f>IFERROR(IF(AH$3="","",IF(TEXT(AH$3,"ddd")="CN","CN",VLOOKUP($A25&amp;AH$3,Data_Cong!$R:$AI,10,0))),"")</f>
        <v/>
      </c>
      <c r="AI25" s="50" cm="1">
        <f t="array" ref="AI25">SUMPRODUCT((D25:AH25="x")*1+(D25:AH25="P")*1+(D25:AH25="1/2P")*1+(D25:AH25="1/2")*0.5+(D25:AH25="2x")*2+(D25:AH25="L")*1)</f>
        <v>0</v>
      </c>
      <c r="AJ25" s="51">
        <f>SUMIF(Data_Cong!A:A,$A25,Data_Cong!AE:AE)</f>
        <v>0</v>
      </c>
      <c r="AK25" s="52">
        <f>COUNTIFS(Data_Cong!AB:AB,"&gt;5",Data_Cong!A:A,A25)</f>
        <v>0</v>
      </c>
      <c r="AL25" s="53" t="str">
        <f>IF(MONTH(VLOOKUP(A25,Data_NV!$A:$J,10,0))=BANG_CHAM_CONG!$R$2,"T"&amp;BANG_CHAM_CONG!$R$2,"")</f>
        <v/>
      </c>
      <c r="AM25" s="94">
        <v>1</v>
      </c>
      <c r="AN25" s="91" cm="1">
        <f t="array" ref="AN25">IF((AM25+1)&gt;12,12,(AM25+1))-SUMPRODUCT((D25:AH25="P")*1+(D25:AH25="1/2P")*0.5)</f>
        <v>2</v>
      </c>
      <c r="AO25" s="50"/>
      <c r="AP25" s="54">
        <f>SUMIFS(Data_Cong!AF:AF,Data_Cong!A:A,$A25)+SUMIFS(Data_Cong!AG:AG,Data_Cong!A:A,$A25)</f>
        <v>0</v>
      </c>
    </row>
    <row r="26" spans="1:42" ht="15.75" x14ac:dyDescent="0.25">
      <c r="A26" s="28" t="s">
        <v>92</v>
      </c>
      <c r="B26" s="47">
        <v>12</v>
      </c>
      <c r="C26" s="48" t="s">
        <v>540</v>
      </c>
      <c r="D26" s="49" t="str">
        <f>IFERROR(IF(D$3="","",IF(TEXT(D$3,"ddd")="CN","CN",VLOOKUP($A26&amp;D$3,Data_Cong!$R:$AI,10,0))),"")</f>
        <v/>
      </c>
      <c r="E26" s="49" t="str">
        <f>IFERROR(IF(E$3="","",IF(TEXT(E$3,"ddd")="CN","CN",VLOOKUP($A26&amp;E$3,Data_Cong!$R:$AI,10,0))),"")</f>
        <v/>
      </c>
      <c r="F26" s="49" t="str">
        <f>IFERROR(IF(F$3="","",IF(TEXT(F$3,"ddd")="CN","CN",VLOOKUP($A26&amp;F$3,Data_Cong!$R:$AI,10,0))),"")</f>
        <v/>
      </c>
      <c r="G26" s="49" t="str">
        <f>IFERROR(IF(G$3="","",IF(TEXT(G$3,"ddd")="CN","CN",VLOOKUP($A26&amp;G$3,Data_Cong!$R:$AI,10,0))),"")</f>
        <v/>
      </c>
      <c r="H26" s="49" t="str">
        <f>IFERROR(IF(H$3="","",IF(TEXT(H$3,"ddd")="CN","CN",VLOOKUP($A26&amp;H$3,Data_Cong!$R:$AI,10,0))),"")</f>
        <v/>
      </c>
      <c r="I26" s="49" t="str">
        <f>IFERROR(IF(I$3="","",IF(TEXT(I$3,"ddd")="CN","CN",VLOOKUP($A26&amp;I$3,Data_Cong!$R:$AI,10,0))),"")</f>
        <v/>
      </c>
      <c r="J26" s="49" t="str">
        <f>IFERROR(IF(J$3="","",IF(TEXT(J$3,"ddd")="CN","CN",VLOOKUP($A26&amp;J$3,Data_Cong!$R:$AI,10,0))),"")</f>
        <v>CN</v>
      </c>
      <c r="K26" s="49" t="str">
        <f>IFERROR(IF(K$3="","",IF(TEXT(K$3,"ddd")="CN","CN",VLOOKUP($A26&amp;K$3,Data_Cong!$R:$AI,10,0))),"")</f>
        <v/>
      </c>
      <c r="L26" s="49" t="str">
        <f>IFERROR(IF(L$3="","",IF(TEXT(L$3,"ddd")="CN","CN",VLOOKUP($A26&amp;L$3,Data_Cong!$R:$AI,10,0))),"")</f>
        <v/>
      </c>
      <c r="M26" s="49" t="str">
        <f>IFERROR(IF(M$3="","",IF(TEXT(M$3,"ddd")="CN","CN",VLOOKUP($A26&amp;M$3,Data_Cong!$R:$AI,10,0))),"")</f>
        <v/>
      </c>
      <c r="N26" s="49" t="str">
        <f>IFERROR(IF(N$3="","",IF(TEXT(N$3,"ddd")="CN","CN",VLOOKUP($A26&amp;N$3,Data_Cong!$R:$AI,10,0))),"")</f>
        <v/>
      </c>
      <c r="O26" s="49" t="str">
        <f>IFERROR(IF(O$3="","",IF(TEXT(O$3,"ddd")="CN","CN",VLOOKUP($A26&amp;O$3,Data_Cong!$R:$AI,10,0))),"")</f>
        <v/>
      </c>
      <c r="P26" s="49" t="str">
        <f>IFERROR(IF(P$3="","",IF(TEXT(P$3,"ddd")="CN","CN",VLOOKUP($A26&amp;P$3,Data_Cong!$R:$AI,10,0))),"")</f>
        <v/>
      </c>
      <c r="Q26" s="49" t="str">
        <f>IFERROR(IF(Q$3="","",IF(TEXT(Q$3,"ddd")="CN","CN",VLOOKUP($A26&amp;Q$3,Data_Cong!$R:$AI,10,0))),"")</f>
        <v>CN</v>
      </c>
      <c r="R26" s="49" t="str">
        <f>IFERROR(IF(R$3="","",IF(TEXT(R$3,"ddd")="CN","CN",VLOOKUP($A26&amp;R$3,Data_Cong!$R:$AI,10,0))),"")</f>
        <v/>
      </c>
      <c r="S26" s="49" t="str">
        <f>IFERROR(IF(S$3="","",IF(TEXT(S$3,"ddd")="CN","CN",VLOOKUP($A26&amp;S$3,Data_Cong!$R:$AI,10,0))),"")</f>
        <v/>
      </c>
      <c r="T26" s="49" t="str">
        <f>IFERROR(IF(T$3="","",IF(TEXT(T$3,"ddd")="CN","CN",VLOOKUP($A26&amp;T$3,Data_Cong!$R:$AI,10,0))),"")</f>
        <v/>
      </c>
      <c r="U26" s="49" t="str">
        <f>IFERROR(IF(U$3="","",IF(TEXT(U$3,"ddd")="CN","CN",VLOOKUP($A26&amp;U$3,Data_Cong!$R:$AI,10,0))),"")</f>
        <v/>
      </c>
      <c r="V26" s="49" t="str">
        <f>IFERROR(IF(V$3="","",IF(TEXT(V$3,"ddd")="CN","CN",VLOOKUP($A26&amp;V$3,Data_Cong!$R:$AI,10,0))),"")</f>
        <v/>
      </c>
      <c r="W26" s="49" t="str">
        <f>IFERROR(IF(W$3="","",IF(TEXT(W$3,"ddd")="CN","CN",VLOOKUP($A26&amp;W$3,Data_Cong!$R:$AI,10,0))),"")</f>
        <v/>
      </c>
      <c r="X26" s="49" t="str">
        <f>IFERROR(IF(X$3="","",IF(TEXT(X$3,"ddd")="CN","CN",VLOOKUP($A26&amp;X$3,Data_Cong!$R:$AI,10,0))),"")</f>
        <v>CN</v>
      </c>
      <c r="Y26" s="49" t="str">
        <f>IFERROR(IF(Y$3="","",IF(TEXT(Y$3,"ddd")="CN","CN",VLOOKUP($A26&amp;Y$3,Data_Cong!$R:$AI,10,0))),"")</f>
        <v/>
      </c>
      <c r="Z26" s="49" t="str">
        <f>IFERROR(IF(Z$3="","",IF(TEXT(Z$3,"ddd")="CN","CN",VLOOKUP($A26&amp;Z$3,Data_Cong!$R:$AI,10,0))),"")</f>
        <v/>
      </c>
      <c r="AA26" s="49" t="str">
        <f>IFERROR(IF(AA$3="","",IF(TEXT(AA$3,"ddd")="CN","CN",VLOOKUP($A26&amp;AA$3,Data_Cong!$R:$AI,10,0))),"")</f>
        <v/>
      </c>
      <c r="AB26" s="49" t="str">
        <f>IFERROR(IF(AB$3="","",IF(TEXT(AB$3,"ddd")="CN","CN",VLOOKUP($A26&amp;AB$3,Data_Cong!$R:$AI,10,0))),"")</f>
        <v/>
      </c>
      <c r="AC26" s="49" t="str">
        <f>IFERROR(IF(AC$3="","",IF(TEXT(AC$3,"ddd")="CN","CN",VLOOKUP($A26&amp;AC$3,Data_Cong!$R:$AI,10,0))),"")</f>
        <v/>
      </c>
      <c r="AD26" s="49" t="str">
        <f>IFERROR(IF(AD$3="","",IF(TEXT(AD$3,"ddd")="CN","CN",VLOOKUP($A26&amp;AD$3,Data_Cong!$R:$AI,10,0))),"")</f>
        <v/>
      </c>
      <c r="AE26" s="49" t="str">
        <f>IFERROR(IF(AE$3="","",IF(TEXT(AE$3,"ddd")="CN","CN",VLOOKUP($A26&amp;AE$3,Data_Cong!$R:$AI,10,0))),"")</f>
        <v>CN</v>
      </c>
      <c r="AF26" s="49" t="str">
        <f>IFERROR(IF(AF$3="","",IF(TEXT(AF$3,"ddd")="CN","CN",VLOOKUP($A26&amp;AF$3,Data_Cong!$R:$AI,10,0))),"")</f>
        <v/>
      </c>
      <c r="AG26" s="49" t="str">
        <f>IFERROR(IF(AG$3="","",IF(TEXT(AG$3,"ddd")="CN","CN",VLOOKUP($A26&amp;AG$3,Data_Cong!$R:$AI,10,0))),"")</f>
        <v/>
      </c>
      <c r="AH26" s="49" t="str">
        <f>IFERROR(IF(AH$3="","",IF(TEXT(AH$3,"ddd")="CN","CN",VLOOKUP($A26&amp;AH$3,Data_Cong!$R:$AI,10,0))),"")</f>
        <v/>
      </c>
      <c r="AI26" s="50" cm="1">
        <f t="array" ref="AI26">SUMPRODUCT((D26:AH26="x")*1+(D26:AH26="P")*1+(D26:AH26="1/2P")*1+(D26:AH26="1/2")*0.5+(D26:AH26="2x")*2+(D26:AH26="L")*1)</f>
        <v>0</v>
      </c>
      <c r="AJ26" s="51">
        <f>SUMIF(Data_Cong!A:A,$A26,Data_Cong!AE:AE)</f>
        <v>0</v>
      </c>
      <c r="AK26" s="52">
        <f>COUNTIFS(Data_Cong!AB:AB,"&gt;5",Data_Cong!A:A,A26)</f>
        <v>0</v>
      </c>
      <c r="AL26" s="53" t="str">
        <f>IF(MONTH(VLOOKUP(A26,Data_NV!$A:$J,10,0))=BANG_CHAM_CONG!$R$2,"T"&amp;BANG_CHAM_CONG!$R$2,"")</f>
        <v/>
      </c>
      <c r="AM26" s="94">
        <v>10.5</v>
      </c>
      <c r="AN26" s="91" cm="1">
        <f t="array" ref="AN26">IF((AM26+1)&gt;12,12,(AM26+1))-SUMPRODUCT((D26:AH26="P")*1+(D26:AH26="1/2P")*0.5)</f>
        <v>11.5</v>
      </c>
      <c r="AO26" s="50"/>
      <c r="AP26" s="54">
        <f>SUMIFS(Data_Cong!AF:AF,Data_Cong!A:A,$A26)+SUMIFS(Data_Cong!AG:AG,Data_Cong!A:A,$A26)</f>
        <v>0</v>
      </c>
    </row>
    <row r="27" spans="1:42" ht="15.75" x14ac:dyDescent="0.25">
      <c r="A27" s="28"/>
      <c r="B27" s="41"/>
      <c r="C27" s="41" t="s">
        <v>541</v>
      </c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9"/>
      <c r="AM27" s="93"/>
      <c r="AN27" s="93"/>
      <c r="AO27" s="59"/>
      <c r="AP27" s="59"/>
    </row>
    <row r="28" spans="1:42" ht="15.75" x14ac:dyDescent="0.25">
      <c r="A28" s="28" t="s">
        <v>415</v>
      </c>
      <c r="B28" s="47">
        <v>1</v>
      </c>
      <c r="C28" s="60" t="s">
        <v>542</v>
      </c>
      <c r="D28" s="49" t="str">
        <f>IFERROR(IF(D$3="","",IF(TEXT(D$3,"ddd")="CN","CN",VLOOKUP($A28&amp;D$3,Data_Cong!$R:$AI,10,0))),"")</f>
        <v/>
      </c>
      <c r="E28" s="49" t="str">
        <f>IFERROR(IF(E$3="","",IF(TEXT(E$3,"ddd")="CN","CN",VLOOKUP($A28&amp;E$3,Data_Cong!$R:$AI,10,0))),"")</f>
        <v/>
      </c>
      <c r="F28" s="49" t="str">
        <f>IFERROR(IF(F$3="","",IF(TEXT(F$3,"ddd")="CN","CN",VLOOKUP($A28&amp;F$3,Data_Cong!$R:$AI,10,0))),"")</f>
        <v/>
      </c>
      <c r="G28" s="49" t="str">
        <f>IFERROR(IF(G$3="","",IF(TEXT(G$3,"ddd")="CN","CN",VLOOKUP($A28&amp;G$3,Data_Cong!$R:$AI,10,0))),"")</f>
        <v/>
      </c>
      <c r="H28" s="49" t="str">
        <f>IFERROR(IF(H$3="","",IF(TEXT(H$3,"ddd")="CN","CN",VLOOKUP($A28&amp;H$3,Data_Cong!$R:$AI,10,0))),"")</f>
        <v/>
      </c>
      <c r="I28" s="49" t="str">
        <f>IFERROR(IF(I$3="","",IF(TEXT(I$3,"ddd")="CN","CN",VLOOKUP($A28&amp;I$3,Data_Cong!$R:$AI,10,0))),"")</f>
        <v/>
      </c>
      <c r="J28" s="49" t="str">
        <f>IFERROR(IF(J$3="","",IF(TEXT(J$3,"ddd")="CN","CN",VLOOKUP($A28&amp;J$3,Data_Cong!$R:$AI,10,0))),"")</f>
        <v>CN</v>
      </c>
      <c r="K28" s="49" t="str">
        <f>IFERROR(IF(K$3="","",IF(TEXT(K$3,"ddd")="CN","CN",VLOOKUP($A28&amp;K$3,Data_Cong!$R:$AI,10,0))),"")</f>
        <v/>
      </c>
      <c r="L28" s="49" t="str">
        <f>IFERROR(IF(L$3="","",IF(TEXT(L$3,"ddd")="CN","CN",VLOOKUP($A28&amp;L$3,Data_Cong!$R:$AI,10,0))),"")</f>
        <v/>
      </c>
      <c r="M28" s="49" t="str">
        <f>IFERROR(IF(M$3="","",IF(TEXT(M$3,"ddd")="CN","CN",VLOOKUP($A28&amp;M$3,Data_Cong!$R:$AI,10,0))),"")</f>
        <v/>
      </c>
      <c r="N28" s="49" t="str">
        <f>IFERROR(IF(N$3="","",IF(TEXT(N$3,"ddd")="CN","CN",VLOOKUP($A28&amp;N$3,Data_Cong!$R:$AI,10,0))),"")</f>
        <v/>
      </c>
      <c r="O28" s="49" t="str">
        <f>IFERROR(IF(O$3="","",IF(TEXT(O$3,"ddd")="CN","CN",VLOOKUP($A28&amp;O$3,Data_Cong!$R:$AI,10,0))),"")</f>
        <v/>
      </c>
      <c r="P28" s="49" t="str">
        <f>IFERROR(IF(P$3="","",IF(TEXT(P$3,"ddd")="CN","CN",VLOOKUP($A28&amp;P$3,Data_Cong!$R:$AI,10,0))),"")</f>
        <v/>
      </c>
      <c r="Q28" s="49" t="str">
        <f>IFERROR(IF(Q$3="","",IF(TEXT(Q$3,"ddd")="CN","CN",VLOOKUP($A28&amp;Q$3,Data_Cong!$R:$AI,10,0))),"")</f>
        <v>CN</v>
      </c>
      <c r="R28" s="49" t="str">
        <f>IFERROR(IF(R$3="","",IF(TEXT(R$3,"ddd")="CN","CN",VLOOKUP($A28&amp;R$3,Data_Cong!$R:$AI,10,0))),"")</f>
        <v/>
      </c>
      <c r="S28" s="49" t="str">
        <f>IFERROR(IF(S$3="","",IF(TEXT(S$3,"ddd")="CN","CN",VLOOKUP($A28&amp;S$3,Data_Cong!$R:$AI,10,0))),"")</f>
        <v/>
      </c>
      <c r="T28" s="49" t="str">
        <f>IFERROR(IF(T$3="","",IF(TEXT(T$3,"ddd")="CN","CN",VLOOKUP($A28&amp;T$3,Data_Cong!$R:$AI,10,0))),"")</f>
        <v/>
      </c>
      <c r="U28" s="49" t="str">
        <f>IFERROR(IF(U$3="","",IF(TEXT(U$3,"ddd")="CN","CN",VLOOKUP($A28&amp;U$3,Data_Cong!$R:$AI,10,0))),"")</f>
        <v/>
      </c>
      <c r="V28" s="49" t="str">
        <f>IFERROR(IF(V$3="","",IF(TEXT(V$3,"ddd")="CN","CN",VLOOKUP($A28&amp;V$3,Data_Cong!$R:$AI,10,0))),"")</f>
        <v/>
      </c>
      <c r="W28" s="49" t="str">
        <f>IFERROR(IF(W$3="","",IF(TEXT(W$3,"ddd")="CN","CN",VLOOKUP($A28&amp;W$3,Data_Cong!$R:$AI,10,0))),"")</f>
        <v/>
      </c>
      <c r="X28" s="49" t="str">
        <f>IFERROR(IF(X$3="","",IF(TEXT(X$3,"ddd")="CN","CN",VLOOKUP($A28&amp;X$3,Data_Cong!$R:$AI,10,0))),"")</f>
        <v>CN</v>
      </c>
      <c r="Y28" s="49" t="str">
        <f>IFERROR(IF(Y$3="","",IF(TEXT(Y$3,"ddd")="CN","CN",VLOOKUP($A28&amp;Y$3,Data_Cong!$R:$AI,10,0))),"")</f>
        <v/>
      </c>
      <c r="Z28" s="49" t="str">
        <f>IFERROR(IF(Z$3="","",IF(TEXT(Z$3,"ddd")="CN","CN",VLOOKUP($A28&amp;Z$3,Data_Cong!$R:$AI,10,0))),"")</f>
        <v/>
      </c>
      <c r="AA28" s="49" t="str">
        <f>IFERROR(IF(AA$3="","",IF(TEXT(AA$3,"ddd")="CN","CN",VLOOKUP($A28&amp;AA$3,Data_Cong!$R:$AI,10,0))),"")</f>
        <v/>
      </c>
      <c r="AB28" s="49" t="str">
        <f>IFERROR(IF(AB$3="","",IF(TEXT(AB$3,"ddd")="CN","CN",VLOOKUP($A28&amp;AB$3,Data_Cong!$R:$AI,10,0))),"")</f>
        <v/>
      </c>
      <c r="AC28" s="49" t="str">
        <f>IFERROR(IF(AC$3="","",IF(TEXT(AC$3,"ddd")="CN","CN",VLOOKUP($A28&amp;AC$3,Data_Cong!$R:$AI,10,0))),"")</f>
        <v/>
      </c>
      <c r="AD28" s="49" t="str">
        <f>IFERROR(IF(AD$3="","",IF(TEXT(AD$3,"ddd")="CN","CN",VLOOKUP($A28&amp;AD$3,Data_Cong!$R:$AI,10,0))),"")</f>
        <v/>
      </c>
      <c r="AE28" s="49" t="str">
        <f>IFERROR(IF(AE$3="","",IF(TEXT(AE$3,"ddd")="CN","CN",VLOOKUP($A28&amp;AE$3,Data_Cong!$R:$AI,10,0))),"")</f>
        <v>CN</v>
      </c>
      <c r="AF28" s="49" t="str">
        <f>IFERROR(IF(AF$3="","",IF(TEXT(AF$3,"ddd")="CN","CN",VLOOKUP($A28&amp;AF$3,Data_Cong!$R:$AI,10,0))),"")</f>
        <v/>
      </c>
      <c r="AG28" s="49" t="str">
        <f>IFERROR(IF(AG$3="","",IF(TEXT(AG$3,"ddd")="CN","CN",VLOOKUP($A28&amp;AG$3,Data_Cong!$R:$AI,10,0))),"")</f>
        <v/>
      </c>
      <c r="AH28" s="49" t="str">
        <f>IFERROR(IF(AH$3="","",IF(TEXT(AH$3,"ddd")="CN","CN",VLOOKUP($A28&amp;AH$3,Data_Cong!$R:$AI,10,0))),"")</f>
        <v/>
      </c>
      <c r="AI28" s="50" cm="1">
        <f t="array" ref="AI28">SUMPRODUCT((D28:AH28="x")*1+(D28:AH28="P")*1+(D28:AH28="1/2P")*1+(D28:AH28="1/2")*0.5+(D28:AH28="2x")*2+(D28:AH28="L")*1)</f>
        <v>0</v>
      </c>
      <c r="AJ28" s="51">
        <f>SUMIF(Data_Cong!A:A,$A28,Data_Cong!AE:AE)</f>
        <v>0</v>
      </c>
      <c r="AK28" s="52">
        <f>COUNTIFS(Data_Cong!AB:AB,"&gt;5",Data_Cong!A:A,A28)</f>
        <v>0</v>
      </c>
      <c r="AL28" s="53" t="str">
        <f>IF(MONTH(VLOOKUP(A28,Data_NV!$A:$J,10,0))=BANG_CHAM_CONG!$R$2,"T"&amp;BANG_CHAM_CONG!$R$2,"")</f>
        <v/>
      </c>
      <c r="AM28" s="94"/>
      <c r="AN28" s="91"/>
      <c r="AO28" s="50"/>
      <c r="AP28" s="54">
        <f>SUMIFS(Data_Cong!AF:AF,Data_Cong!A:A,$A28)+SUMIFS(Data_Cong!AG:AG,Data_Cong!A:A,$A28)</f>
        <v>0</v>
      </c>
    </row>
    <row r="29" spans="1:42" ht="15.75" x14ac:dyDescent="0.25">
      <c r="A29" s="28" t="s">
        <v>363</v>
      </c>
      <c r="B29" s="47">
        <v>2</v>
      </c>
      <c r="C29" s="60" t="s">
        <v>543</v>
      </c>
      <c r="D29" s="49" t="str">
        <f>IFERROR(IF(D$3="","",IF(TEXT(D$3,"ddd")="CN","CN",VLOOKUP($A29&amp;D$3,Data_Cong!$R:$AI,10,0))),"")</f>
        <v>L</v>
      </c>
      <c r="E29" s="49" t="str">
        <f>IFERROR(IF(E$3="","",IF(TEXT(E$3,"ddd")="CN","CN",VLOOKUP($A29&amp;E$3,Data_Cong!$R:$AI,10,0))),"")</f>
        <v>L</v>
      </c>
      <c r="F29" s="49" t="str">
        <f>IFERROR(IF(F$3="","",IF(TEXT(F$3,"ddd")="CN","CN",VLOOKUP($A29&amp;F$3,Data_Cong!$R:$AI,10,0))),"")</f>
        <v/>
      </c>
      <c r="G29" s="49" t="str">
        <f>IFERROR(IF(G$3="","",IF(TEXT(G$3,"ddd")="CN","CN",VLOOKUP($A29&amp;G$3,Data_Cong!$R:$AI,10,0))),"")</f>
        <v>x</v>
      </c>
      <c r="H29" s="49" t="str">
        <f>IFERROR(IF(H$3="","",IF(TEXT(H$3,"ddd")="CN","CN",VLOOKUP($A29&amp;H$3,Data_Cong!$R:$AI,10,0))),"")</f>
        <v>x</v>
      </c>
      <c r="I29" s="49" t="str">
        <f>IFERROR(IF(I$3="","",IF(TEXT(I$3,"ddd")="CN","CN",VLOOKUP($A29&amp;I$3,Data_Cong!$R:$AI,10,0))),"")</f>
        <v>x</v>
      </c>
      <c r="J29" s="49" t="str">
        <f>IFERROR(IF(J$3="","",IF(TEXT(J$3,"ddd")="CN","CN",VLOOKUP($A29&amp;J$3,Data_Cong!$R:$AI,10,0))),"")</f>
        <v>CN</v>
      </c>
      <c r="K29" s="49" t="str">
        <f>IFERROR(IF(K$3="","",IF(TEXT(K$3,"ddd")="CN","CN",VLOOKUP($A29&amp;K$3,Data_Cong!$R:$AI,10,0))),"")</f>
        <v>x</v>
      </c>
      <c r="L29" s="49" t="str">
        <f>IFERROR(IF(L$3="","",IF(TEXT(L$3,"ddd")="CN","CN",VLOOKUP($A29&amp;L$3,Data_Cong!$R:$AI,10,0))),"")</f>
        <v>x</v>
      </c>
      <c r="M29" s="49" t="str">
        <f>IFERROR(IF(M$3="","",IF(TEXT(M$3,"ddd")="CN","CN",VLOOKUP($A29&amp;M$3,Data_Cong!$R:$AI,10,0))),"")</f>
        <v>x</v>
      </c>
      <c r="N29" s="49" t="str">
        <f>IFERROR(IF(N$3="","",IF(TEXT(N$3,"ddd")="CN","CN",VLOOKUP($A29&amp;N$3,Data_Cong!$R:$AI,10,0))),"")</f>
        <v>x</v>
      </c>
      <c r="O29" s="49" t="str">
        <f>IFERROR(IF(O$3="","",IF(TEXT(O$3,"ddd")="CN","CN",VLOOKUP($A29&amp;O$3,Data_Cong!$R:$AI,10,0))),"")</f>
        <v>x</v>
      </c>
      <c r="P29" s="49" t="str">
        <f>IFERROR(IF(P$3="","",IF(TEXT(P$3,"ddd")="CN","CN",VLOOKUP($A29&amp;P$3,Data_Cong!$R:$AI,10,0))),"")</f>
        <v>x</v>
      </c>
      <c r="Q29" s="49" t="str">
        <f>IFERROR(IF(Q$3="","",IF(TEXT(Q$3,"ddd")="CN","CN",VLOOKUP($A29&amp;Q$3,Data_Cong!$R:$AI,10,0))),"")</f>
        <v>CN</v>
      </c>
      <c r="R29" s="49" t="str">
        <f>IFERROR(IF(R$3="","",IF(TEXT(R$3,"ddd")="CN","CN",VLOOKUP($A29&amp;R$3,Data_Cong!$R:$AI,10,0))),"")</f>
        <v>x</v>
      </c>
      <c r="S29" s="49" t="str">
        <f>IFERROR(IF(S$3="","",IF(TEXT(S$3,"ddd")="CN","CN",VLOOKUP($A29&amp;S$3,Data_Cong!$R:$AI,10,0))),"")</f>
        <v>x</v>
      </c>
      <c r="T29" s="49" t="str">
        <f>IFERROR(IF(T$3="","",IF(TEXT(T$3,"ddd")="CN","CN",VLOOKUP($A29&amp;T$3,Data_Cong!$R:$AI,10,0))),"")</f>
        <v>x</v>
      </c>
      <c r="U29" s="49" t="str">
        <f>IFERROR(IF(U$3="","",IF(TEXT(U$3,"ddd")="CN","CN",VLOOKUP($A29&amp;U$3,Data_Cong!$R:$AI,10,0))),"")</f>
        <v>x</v>
      </c>
      <c r="V29" s="49" t="str">
        <f>IFERROR(IF(V$3="","",IF(TEXT(V$3,"ddd")="CN","CN",VLOOKUP($A29&amp;V$3,Data_Cong!$R:$AI,10,0))),"")</f>
        <v>x</v>
      </c>
      <c r="W29" s="49" t="str">
        <f>IFERROR(IF(W$3="","",IF(TEXT(W$3,"ddd")="CN","CN",VLOOKUP($A29&amp;W$3,Data_Cong!$R:$AI,10,0))),"")</f>
        <v>x</v>
      </c>
      <c r="X29" s="49" t="str">
        <f>IFERROR(IF(X$3="","",IF(TEXT(X$3,"ddd")="CN","CN",VLOOKUP($A29&amp;X$3,Data_Cong!$R:$AI,10,0))),"")</f>
        <v>CN</v>
      </c>
      <c r="Y29" s="49" t="str">
        <f>IFERROR(IF(Y$3="","",IF(TEXT(Y$3,"ddd")="CN","CN",VLOOKUP($A29&amp;Y$3,Data_Cong!$R:$AI,10,0))),"")</f>
        <v>x</v>
      </c>
      <c r="Z29" s="49" t="str">
        <f>IFERROR(IF(Z$3="","",IF(TEXT(Z$3,"ddd")="CN","CN",VLOOKUP($A29&amp;Z$3,Data_Cong!$R:$AI,10,0))),"")</f>
        <v>x</v>
      </c>
      <c r="AA29" s="49" t="str">
        <f>IFERROR(IF(AA$3="","",IF(TEXT(AA$3,"ddd")="CN","CN",VLOOKUP($A29&amp;AA$3,Data_Cong!$R:$AI,10,0))),"")</f>
        <v>x</v>
      </c>
      <c r="AB29" s="49" t="str">
        <f>IFERROR(IF(AB$3="","",IF(TEXT(AB$3,"ddd")="CN","CN",VLOOKUP($A29&amp;AB$3,Data_Cong!$R:$AI,10,0))),"")</f>
        <v>x</v>
      </c>
      <c r="AC29" s="49" t="str">
        <f>IFERROR(IF(AC$3="","",IF(TEXT(AC$3,"ddd")="CN","CN",VLOOKUP($A29&amp;AC$3,Data_Cong!$R:$AI,10,0))),"")</f>
        <v>x</v>
      </c>
      <c r="AD29" s="49" t="str">
        <f>IFERROR(IF(AD$3="","",IF(TEXT(AD$3,"ddd")="CN","CN",VLOOKUP($A29&amp;AD$3,Data_Cong!$R:$AI,10,0))),"")</f>
        <v>x</v>
      </c>
      <c r="AE29" s="49" t="str">
        <f>IFERROR(IF(AE$3="","",IF(TEXT(AE$3,"ddd")="CN","CN",VLOOKUP($A29&amp;AE$3,Data_Cong!$R:$AI,10,0))),"")</f>
        <v>CN</v>
      </c>
      <c r="AF29" s="49" t="str">
        <f>IFERROR(IF(AF$3="","",IF(TEXT(AF$3,"ddd")="CN","CN",VLOOKUP($A29&amp;AF$3,Data_Cong!$R:$AI,10,0))),"")</f>
        <v>x</v>
      </c>
      <c r="AG29" s="49" t="str">
        <f>IFERROR(IF(AG$3="","",IF(TEXT(AG$3,"ddd")="CN","CN",VLOOKUP($A29&amp;AG$3,Data_Cong!$R:$AI,10,0))),"")</f>
        <v>x</v>
      </c>
      <c r="AH29" s="49" t="str">
        <f>IFERROR(IF(AH$3="","",IF(TEXT(AH$3,"ddd")="CN","CN",VLOOKUP($A29&amp;AH$3,Data_Cong!$R:$AI,10,0))),"")</f>
        <v/>
      </c>
      <c r="AI29" s="50" cm="1">
        <f t="array" ref="AI29">SUMPRODUCT((D29:AH29="x")*1+(D29:AH29="P")*1+(D29:AH29="1/2P")*1+(D29:AH29="1/2")*0.5+(D29:AH29="2x")*2+(D29:AH29="L")*1)</f>
        <v>25</v>
      </c>
      <c r="AJ29" s="51">
        <f>SUMIF(Data_Cong!A:A,$A29,Data_Cong!AE:AE)</f>
        <v>730</v>
      </c>
      <c r="AK29" s="52">
        <f>COUNTIFS(Data_Cong!AB:AB,"&gt;5",Data_Cong!A:A,A29)</f>
        <v>3</v>
      </c>
      <c r="AL29" s="53" t="str">
        <f>IF(MONTH(VLOOKUP(A29,Data_NV!$A:$J,10,0))=BANG_CHAM_CONG!$R$2,"T"&amp;BANG_CHAM_CONG!$R$2,"")</f>
        <v/>
      </c>
      <c r="AM29" s="94"/>
      <c r="AN29" s="91"/>
      <c r="AO29" s="50"/>
      <c r="AP29" s="54">
        <f>SUMIFS(Data_Cong!AF:AF,Data_Cong!A:A,$A29)+SUMIFS(Data_Cong!AG:AG,Data_Cong!A:A,$A29)</f>
        <v>150000</v>
      </c>
    </row>
    <row r="30" spans="1:42" ht="15.75" x14ac:dyDescent="0.25">
      <c r="A30" s="28" t="s">
        <v>417</v>
      </c>
      <c r="B30" s="47">
        <v>3</v>
      </c>
      <c r="C30" s="60" t="s">
        <v>544</v>
      </c>
      <c r="D30" s="49" t="str">
        <f>IFERROR(IF(D$3="","",IF(TEXT(D$3,"ddd")="CN","CN",VLOOKUP($A30&amp;D$3,Data_Cong!$R:$AI,10,0))),"")</f>
        <v>L</v>
      </c>
      <c r="E30" s="49" t="str">
        <f>IFERROR(IF(E$3="","",IF(TEXT(E$3,"ddd")="CN","CN",VLOOKUP($A30&amp;E$3,Data_Cong!$R:$AI,10,0))),"")</f>
        <v>L</v>
      </c>
      <c r="F30" s="49" t="str">
        <f>IFERROR(IF(F$3="","",IF(TEXT(F$3,"ddd")="CN","CN",VLOOKUP($A30&amp;F$3,Data_Cong!$R:$AI,10,0))),"")</f>
        <v>x</v>
      </c>
      <c r="G30" s="49" t="str">
        <f>IFERROR(IF(G$3="","",IF(TEXT(G$3,"ddd")="CN","CN",VLOOKUP($A30&amp;G$3,Data_Cong!$R:$AI,10,0))),"")</f>
        <v/>
      </c>
      <c r="H30" s="49" t="str">
        <f>IFERROR(IF(H$3="","",IF(TEXT(H$3,"ddd")="CN","CN",VLOOKUP($A30&amp;H$3,Data_Cong!$R:$AI,10,0))),"")</f>
        <v>x</v>
      </c>
      <c r="I30" s="49" t="str">
        <f>IFERROR(IF(I$3="","",IF(TEXT(I$3,"ddd")="CN","CN",VLOOKUP($A30&amp;I$3,Data_Cong!$R:$AI,10,0))),"")</f>
        <v>x</v>
      </c>
      <c r="J30" s="49" t="str">
        <f>IFERROR(IF(J$3="","",IF(TEXT(J$3,"ddd")="CN","CN",VLOOKUP($A30&amp;J$3,Data_Cong!$R:$AI,10,0))),"")</f>
        <v>CN</v>
      </c>
      <c r="K30" s="49" t="str">
        <f>IFERROR(IF(K$3="","",IF(TEXT(K$3,"ddd")="CN","CN",VLOOKUP($A30&amp;K$3,Data_Cong!$R:$AI,10,0))),"")</f>
        <v>x</v>
      </c>
      <c r="L30" s="49" t="str">
        <f>IFERROR(IF(L$3="","",IF(TEXT(L$3,"ddd")="CN","CN",VLOOKUP($A30&amp;L$3,Data_Cong!$R:$AI,10,0))),"")</f>
        <v>x</v>
      </c>
      <c r="M30" s="49" t="str">
        <f>IFERROR(IF(M$3="","",IF(TEXT(M$3,"ddd")="CN","CN",VLOOKUP($A30&amp;M$3,Data_Cong!$R:$AI,10,0))),"")</f>
        <v>x</v>
      </c>
      <c r="N30" s="49" t="str">
        <f>IFERROR(IF(N$3="","",IF(TEXT(N$3,"ddd")="CN","CN",VLOOKUP($A30&amp;N$3,Data_Cong!$R:$AI,10,0))),"")</f>
        <v>x</v>
      </c>
      <c r="O30" s="49" t="str">
        <f>IFERROR(IF(O$3="","",IF(TEXT(O$3,"ddd")="CN","CN",VLOOKUP($A30&amp;O$3,Data_Cong!$R:$AI,10,0))),"")</f>
        <v>x</v>
      </c>
      <c r="P30" s="49" t="str">
        <f>IFERROR(IF(P$3="","",IF(TEXT(P$3,"ddd")="CN","CN",VLOOKUP($A30&amp;P$3,Data_Cong!$R:$AI,10,0))),"")</f>
        <v>x</v>
      </c>
      <c r="Q30" s="49" t="str">
        <f>IFERROR(IF(Q$3="","",IF(TEXT(Q$3,"ddd")="CN","CN",VLOOKUP($A30&amp;Q$3,Data_Cong!$R:$AI,10,0))),"")</f>
        <v>CN</v>
      </c>
      <c r="R30" s="49" t="str">
        <f>IFERROR(IF(R$3="","",IF(TEXT(R$3,"ddd")="CN","CN",VLOOKUP($A30&amp;R$3,Data_Cong!$R:$AI,10,0))),"")</f>
        <v>x</v>
      </c>
      <c r="S30" s="49" t="str">
        <f>IFERROR(IF(S$3="","",IF(TEXT(S$3,"ddd")="CN","CN",VLOOKUP($A30&amp;S$3,Data_Cong!$R:$AI,10,0))),"")</f>
        <v>x</v>
      </c>
      <c r="T30" s="49" t="str">
        <f>IFERROR(IF(T$3="","",IF(TEXT(T$3,"ddd")="CN","CN",VLOOKUP($A30&amp;T$3,Data_Cong!$R:$AI,10,0))),"")</f>
        <v>1/2</v>
      </c>
      <c r="U30" s="49" t="str">
        <f>IFERROR(IF(U$3="","",IF(TEXT(U$3,"ddd")="CN","CN",VLOOKUP($A30&amp;U$3,Data_Cong!$R:$AI,10,0))),"")</f>
        <v>x</v>
      </c>
      <c r="V30" s="49" t="str">
        <f>IFERROR(IF(V$3="","",IF(TEXT(V$3,"ddd")="CN","CN",VLOOKUP($A30&amp;V$3,Data_Cong!$R:$AI,10,0))),"")</f>
        <v>x</v>
      </c>
      <c r="W30" s="49" t="str">
        <f>IFERROR(IF(W$3="","",IF(TEXT(W$3,"ddd")="CN","CN",VLOOKUP($A30&amp;W$3,Data_Cong!$R:$AI,10,0))),"")</f>
        <v>x</v>
      </c>
      <c r="X30" s="49" t="str">
        <f>IFERROR(IF(X$3="","",IF(TEXT(X$3,"ddd")="CN","CN",VLOOKUP($A30&amp;X$3,Data_Cong!$R:$AI,10,0))),"")</f>
        <v>CN</v>
      </c>
      <c r="Y30" s="49" t="str">
        <f>IFERROR(IF(Y$3="","",IF(TEXT(Y$3,"ddd")="CN","CN",VLOOKUP($A30&amp;Y$3,Data_Cong!$R:$AI,10,0))),"")</f>
        <v>x</v>
      </c>
      <c r="Z30" s="49" t="str">
        <f>IFERROR(IF(Z$3="","",IF(TEXT(Z$3,"ddd")="CN","CN",VLOOKUP($A30&amp;Z$3,Data_Cong!$R:$AI,10,0))),"")</f>
        <v>x</v>
      </c>
      <c r="AA30" s="49" t="str">
        <f>IFERROR(IF(AA$3="","",IF(TEXT(AA$3,"ddd")="CN","CN",VLOOKUP($A30&amp;AA$3,Data_Cong!$R:$AI,10,0))),"")</f>
        <v>x</v>
      </c>
      <c r="AB30" s="49" t="str">
        <f>IFERROR(IF(AB$3="","",IF(TEXT(AB$3,"ddd")="CN","CN",VLOOKUP($A30&amp;AB$3,Data_Cong!$R:$AI,10,0))),"")</f>
        <v/>
      </c>
      <c r="AC30" s="49" t="str">
        <f>IFERROR(IF(AC$3="","",IF(TEXT(AC$3,"ddd")="CN","CN",VLOOKUP($A30&amp;AC$3,Data_Cong!$R:$AI,10,0))),"")</f>
        <v>x</v>
      </c>
      <c r="AD30" s="49" t="str">
        <f>IFERROR(IF(AD$3="","",IF(TEXT(AD$3,"ddd")="CN","CN",VLOOKUP($A30&amp;AD$3,Data_Cong!$R:$AI,10,0))),"")</f>
        <v>x</v>
      </c>
      <c r="AE30" s="49" t="str">
        <f>IFERROR(IF(AE$3="","",IF(TEXT(AE$3,"ddd")="CN","CN",VLOOKUP($A30&amp;AE$3,Data_Cong!$R:$AI,10,0))),"")</f>
        <v>CN</v>
      </c>
      <c r="AF30" s="49" t="str">
        <f>IFERROR(IF(AF$3="","",IF(TEXT(AF$3,"ddd")="CN","CN",VLOOKUP($A30&amp;AF$3,Data_Cong!$R:$AI,10,0))),"")</f>
        <v>x</v>
      </c>
      <c r="AG30" s="49" t="str">
        <f>IFERROR(IF(AG$3="","",IF(TEXT(AG$3,"ddd")="CN","CN",VLOOKUP($A30&amp;AG$3,Data_Cong!$R:$AI,10,0))),"")</f>
        <v>x</v>
      </c>
      <c r="AH30" s="49" t="str">
        <f>IFERROR(IF(AH$3="","",IF(TEXT(AH$3,"ddd")="CN","CN",VLOOKUP($A30&amp;AH$3,Data_Cong!$R:$AI,10,0))),"")</f>
        <v/>
      </c>
      <c r="AI30" s="50" cm="1">
        <f t="array" ref="AI30">SUMPRODUCT((D30:AH30="x")*1+(D30:AH30="P")*1+(D30:AH30="1/2P")*1+(D30:AH30="1/2")*0.5+(D30:AH30="2x")*2+(D30:AH30="L")*1)</f>
        <v>23.5</v>
      </c>
      <c r="AJ30" s="51">
        <f>SUMIF(Data_Cong!A:A,$A30,Data_Cong!AE:AE)</f>
        <v>2370</v>
      </c>
      <c r="AK30" s="52">
        <f>COUNTIFS(Data_Cong!AB:AB,"&gt;5",Data_Cong!A:A,A30)</f>
        <v>15</v>
      </c>
      <c r="AL30" s="53" t="str">
        <f>IF(MONTH(VLOOKUP(A30,Data_NV!$A:$J,10,0))=BANG_CHAM_CONG!$R$2,"T"&amp;BANG_CHAM_CONG!$R$2,"")</f>
        <v/>
      </c>
      <c r="AM30" s="94"/>
      <c r="AN30" s="91"/>
      <c r="AO30" s="50"/>
      <c r="AP30" s="54">
        <f>SUMIFS(Data_Cong!AF:AF,Data_Cong!A:A,$A30)+SUMIFS(Data_Cong!AG:AG,Data_Cong!A:A,$A30)</f>
        <v>550000</v>
      </c>
    </row>
    <row r="31" spans="1:42" ht="15.75" x14ac:dyDescent="0.25">
      <c r="A31" s="28" t="s">
        <v>467</v>
      </c>
      <c r="B31" s="47">
        <v>4</v>
      </c>
      <c r="C31" s="60" t="s">
        <v>545</v>
      </c>
      <c r="D31" s="49" t="str">
        <f>IFERROR(IF(D$3="","",IF(TEXT(D$3,"ddd")="CN","CN",VLOOKUP($A31&amp;D$3,Data_Cong!$R:$AI,10,0))),"")</f>
        <v>L</v>
      </c>
      <c r="E31" s="49" t="str">
        <f>IFERROR(IF(E$3="","",IF(TEXT(E$3,"ddd")="CN","CN",VLOOKUP($A31&amp;E$3,Data_Cong!$R:$AI,10,0))),"")</f>
        <v>L</v>
      </c>
      <c r="F31" s="49" t="str">
        <f>IFERROR(IF(F$3="","",IF(TEXT(F$3,"ddd")="CN","CN",VLOOKUP($A31&amp;F$3,Data_Cong!$R:$AI,10,0))),"")</f>
        <v>x</v>
      </c>
      <c r="G31" s="49" t="str">
        <f>IFERROR(IF(G$3="","",IF(TEXT(G$3,"ddd")="CN","CN",VLOOKUP($A31&amp;G$3,Data_Cong!$R:$AI,10,0))),"")</f>
        <v>x</v>
      </c>
      <c r="H31" s="49" t="str">
        <f>IFERROR(IF(H$3="","",IF(TEXT(H$3,"ddd")="CN","CN",VLOOKUP($A31&amp;H$3,Data_Cong!$R:$AI,10,0))),"")</f>
        <v>x</v>
      </c>
      <c r="I31" s="49" t="str">
        <f>IFERROR(IF(I$3="","",IF(TEXT(I$3,"ddd")="CN","CN",VLOOKUP($A31&amp;I$3,Data_Cong!$R:$AI,10,0))),"")</f>
        <v>x</v>
      </c>
      <c r="J31" s="49" t="str">
        <f>IFERROR(IF(J$3="","",IF(TEXT(J$3,"ddd")="CN","CN",VLOOKUP($A31&amp;J$3,Data_Cong!$R:$AI,10,0))),"")</f>
        <v>CN</v>
      </c>
      <c r="K31" s="49" t="str">
        <f>IFERROR(IF(K$3="","",IF(TEXT(K$3,"ddd")="CN","CN",VLOOKUP($A31&amp;K$3,Data_Cong!$R:$AI,10,0))),"")</f>
        <v>x</v>
      </c>
      <c r="L31" s="49" t="str">
        <f>IFERROR(IF(L$3="","",IF(TEXT(L$3,"ddd")="CN","CN",VLOOKUP($A31&amp;L$3,Data_Cong!$R:$AI,10,0))),"")</f>
        <v>x</v>
      </c>
      <c r="M31" s="49" t="str">
        <f>IFERROR(IF(M$3="","",IF(TEXT(M$3,"ddd")="CN","CN",VLOOKUP($A31&amp;M$3,Data_Cong!$R:$AI,10,0))),"")</f>
        <v>x</v>
      </c>
      <c r="N31" s="49" t="str">
        <f>IFERROR(IF(N$3="","",IF(TEXT(N$3,"ddd")="CN","CN",VLOOKUP($A31&amp;N$3,Data_Cong!$R:$AI,10,0))),"")</f>
        <v>x</v>
      </c>
      <c r="O31" s="49" t="str">
        <f>IFERROR(IF(O$3="","",IF(TEXT(O$3,"ddd")="CN","CN",VLOOKUP($A31&amp;O$3,Data_Cong!$R:$AI,10,0))),"")</f>
        <v>x</v>
      </c>
      <c r="P31" s="49" t="str">
        <f>IFERROR(IF(P$3="","",IF(TEXT(P$3,"ddd")="CN","CN",VLOOKUP($A31&amp;P$3,Data_Cong!$R:$AI,10,0))),"")</f>
        <v>x</v>
      </c>
      <c r="Q31" s="49" t="str">
        <f>IFERROR(IF(Q$3="","",IF(TEXT(Q$3,"ddd")="CN","CN",VLOOKUP($A31&amp;Q$3,Data_Cong!$R:$AI,10,0))),"")</f>
        <v>CN</v>
      </c>
      <c r="R31" s="49" t="str">
        <f>IFERROR(IF(R$3="","",IF(TEXT(R$3,"ddd")="CN","CN",VLOOKUP($A31&amp;R$3,Data_Cong!$R:$AI,10,0))),"")</f>
        <v>x</v>
      </c>
      <c r="S31" s="49" t="str">
        <f>IFERROR(IF(S$3="","",IF(TEXT(S$3,"ddd")="CN","CN",VLOOKUP($A31&amp;S$3,Data_Cong!$R:$AI,10,0))),"")</f>
        <v>x</v>
      </c>
      <c r="T31" s="49" t="str">
        <f>IFERROR(IF(T$3="","",IF(TEXT(T$3,"ddd")="CN","CN",VLOOKUP($A31&amp;T$3,Data_Cong!$R:$AI,10,0))),"")</f>
        <v>x</v>
      </c>
      <c r="U31" s="49" t="str">
        <f>IFERROR(IF(U$3="","",IF(TEXT(U$3,"ddd")="CN","CN",VLOOKUP($A31&amp;U$3,Data_Cong!$R:$AI,10,0))),"")</f>
        <v>x</v>
      </c>
      <c r="V31" s="49" t="str">
        <f>IFERROR(IF(V$3="","",IF(TEXT(V$3,"ddd")="CN","CN",VLOOKUP($A31&amp;V$3,Data_Cong!$R:$AI,10,0))),"")</f>
        <v>x</v>
      </c>
      <c r="W31" s="49" t="str">
        <f>IFERROR(IF(W$3="","",IF(TEXT(W$3,"ddd")="CN","CN",VLOOKUP($A31&amp;W$3,Data_Cong!$R:$AI,10,0))),"")</f>
        <v>x</v>
      </c>
      <c r="X31" s="49" t="str">
        <f>IFERROR(IF(X$3="","",IF(TEXT(X$3,"ddd")="CN","CN",VLOOKUP($A31&amp;X$3,Data_Cong!$R:$AI,10,0))),"")</f>
        <v>CN</v>
      </c>
      <c r="Y31" s="49" t="str">
        <f>IFERROR(IF(Y$3="","",IF(TEXT(Y$3,"ddd")="CN","CN",VLOOKUP($A31&amp;Y$3,Data_Cong!$R:$AI,10,0))),"")</f>
        <v>x</v>
      </c>
      <c r="Z31" s="49" t="str">
        <f>IFERROR(IF(Z$3="","",IF(TEXT(Z$3,"ddd")="CN","CN",VLOOKUP($A31&amp;Z$3,Data_Cong!$R:$AI,10,0))),"")</f>
        <v>x</v>
      </c>
      <c r="AA31" s="49" t="str">
        <f>IFERROR(IF(AA$3="","",IF(TEXT(AA$3,"ddd")="CN","CN",VLOOKUP($A31&amp;AA$3,Data_Cong!$R:$AI,10,0))),"")</f>
        <v>x</v>
      </c>
      <c r="AB31" s="49" t="str">
        <f>IFERROR(IF(AB$3="","",IF(TEXT(AB$3,"ddd")="CN","CN",VLOOKUP($A31&amp;AB$3,Data_Cong!$R:$AI,10,0))),"")</f>
        <v>x</v>
      </c>
      <c r="AC31" s="49" t="str">
        <f>IFERROR(IF(AC$3="","",IF(TEXT(AC$3,"ddd")="CN","CN",VLOOKUP($A31&amp;AC$3,Data_Cong!$R:$AI,10,0))),"")</f>
        <v>x</v>
      </c>
      <c r="AD31" s="49" t="str">
        <f>IFERROR(IF(AD$3="","",IF(TEXT(AD$3,"ddd")="CN","CN",VLOOKUP($A31&amp;AD$3,Data_Cong!$R:$AI,10,0))),"")</f>
        <v>x</v>
      </c>
      <c r="AE31" s="49" t="str">
        <f>IFERROR(IF(AE$3="","",IF(TEXT(AE$3,"ddd")="CN","CN",VLOOKUP($A31&amp;AE$3,Data_Cong!$R:$AI,10,0))),"")</f>
        <v>CN</v>
      </c>
      <c r="AF31" s="49" t="str">
        <f>IFERROR(IF(AF$3="","",IF(TEXT(AF$3,"ddd")="CN","CN",VLOOKUP($A31&amp;AF$3,Data_Cong!$R:$AI,10,0))),"")</f>
        <v>x</v>
      </c>
      <c r="AG31" s="49" t="str">
        <f>IFERROR(IF(AG$3="","",IF(TEXT(AG$3,"ddd")="CN","CN",VLOOKUP($A31&amp;AG$3,Data_Cong!$R:$AI,10,0))),"")</f>
        <v>x</v>
      </c>
      <c r="AH31" s="49" t="str">
        <f>IFERROR(IF(AH$3="","",IF(TEXT(AH$3,"ddd")="CN","CN",VLOOKUP($A31&amp;AH$3,Data_Cong!$R:$AI,10,0))),"")</f>
        <v/>
      </c>
      <c r="AI31" s="50" cm="1">
        <f t="array" ref="AI31">SUMPRODUCT((D31:AH31="x")*1+(D31:AH31="P")*1+(D31:AH31="1/2P")*1+(D31:AH31="1/2")*0.5+(D31:AH31="2x")*2+(D31:AH31="L")*1)</f>
        <v>26</v>
      </c>
      <c r="AJ31" s="51">
        <f>SUMIF(Data_Cong!A:A,$A31,Data_Cong!AE:AE)</f>
        <v>2319</v>
      </c>
      <c r="AK31" s="52">
        <f>COUNTIFS(Data_Cong!AB:AB,"&gt;5",Data_Cong!A:A,A31)</f>
        <v>0</v>
      </c>
      <c r="AL31" s="53" t="str">
        <f>IF(MONTH(VLOOKUP(A31,Data_NV!$A:$J,10,0))=BANG_CHAM_CONG!$R$2,"T"&amp;BANG_CHAM_CONG!$R$2,"")</f>
        <v/>
      </c>
      <c r="AM31" s="94">
        <v>11.5</v>
      </c>
      <c r="AN31" s="91">
        <v>12</v>
      </c>
      <c r="AO31" s="50"/>
      <c r="AP31" s="54">
        <f>SUMIFS(Data_Cong!AF:AF,Data_Cong!A:A,$A31)+SUMIFS(Data_Cong!AG:AG,Data_Cong!A:A,$A31)</f>
        <v>50000</v>
      </c>
    </row>
    <row r="32" spans="1:42" ht="15.75" x14ac:dyDescent="0.25">
      <c r="A32" s="28" t="s">
        <v>113</v>
      </c>
      <c r="B32" s="47">
        <v>5</v>
      </c>
      <c r="C32" s="60" t="s">
        <v>546</v>
      </c>
      <c r="D32" s="49" t="str">
        <f>IFERROR(IF(D$3="","",IF(TEXT(D$3,"ddd")="CN","CN",VLOOKUP($A32&amp;D$3,Data_Cong!$R:$AI,10,0))),"")</f>
        <v>L</v>
      </c>
      <c r="E32" s="49" t="str">
        <f>IFERROR(IF(E$3="","",IF(TEXT(E$3,"ddd")="CN","CN",VLOOKUP($A32&amp;E$3,Data_Cong!$R:$AI,10,0))),"")</f>
        <v>L</v>
      </c>
      <c r="F32" s="49" t="str">
        <f>IFERROR(IF(F$3="","",IF(TEXT(F$3,"ddd")="CN","CN",VLOOKUP($A32&amp;F$3,Data_Cong!$R:$AI,10,0))),"")</f>
        <v/>
      </c>
      <c r="G32" s="49" t="str">
        <f>IFERROR(IF(G$3="","",IF(TEXT(G$3,"ddd")="CN","CN",VLOOKUP($A32&amp;G$3,Data_Cong!$R:$AI,10,0))),"")</f>
        <v>x</v>
      </c>
      <c r="H32" s="49" t="str">
        <f>IFERROR(IF(H$3="","",IF(TEXT(H$3,"ddd")="CN","CN",VLOOKUP($A32&amp;H$3,Data_Cong!$R:$AI,10,0))),"")</f>
        <v>x</v>
      </c>
      <c r="I32" s="49" t="str">
        <f>IFERROR(IF(I$3="","",IF(TEXT(I$3,"ddd")="CN","CN",VLOOKUP($A32&amp;I$3,Data_Cong!$R:$AI,10,0))),"")</f>
        <v>x</v>
      </c>
      <c r="J32" s="49" t="str">
        <f>IFERROR(IF(J$3="","",IF(TEXT(J$3,"ddd")="CN","CN",VLOOKUP($A32&amp;J$3,Data_Cong!$R:$AI,10,0))),"")</f>
        <v>CN</v>
      </c>
      <c r="K32" s="49" t="str">
        <f>IFERROR(IF(K$3="","",IF(TEXT(K$3,"ddd")="CN","CN",VLOOKUP($A32&amp;K$3,Data_Cong!$R:$AI,10,0))),"")</f>
        <v>x</v>
      </c>
      <c r="L32" s="49" t="str">
        <f>IFERROR(IF(L$3="","",IF(TEXT(L$3,"ddd")="CN","CN",VLOOKUP($A32&amp;L$3,Data_Cong!$R:$AI,10,0))),"")</f>
        <v>x</v>
      </c>
      <c r="M32" s="49" t="str">
        <f>IFERROR(IF(M$3="","",IF(TEXT(M$3,"ddd")="CN","CN",VLOOKUP($A32&amp;M$3,Data_Cong!$R:$AI,10,0))),"")</f>
        <v>x</v>
      </c>
      <c r="N32" s="49" t="str">
        <f>IFERROR(IF(N$3="","",IF(TEXT(N$3,"ddd")="CN","CN",VLOOKUP($A32&amp;N$3,Data_Cong!$R:$AI,10,0))),"")</f>
        <v>x</v>
      </c>
      <c r="O32" s="49" t="str">
        <f>IFERROR(IF(O$3="","",IF(TEXT(O$3,"ddd")="CN","CN",VLOOKUP($A32&amp;O$3,Data_Cong!$R:$AI,10,0))),"")</f>
        <v>x</v>
      </c>
      <c r="P32" s="49" t="str">
        <f>IFERROR(IF(P$3="","",IF(TEXT(P$3,"ddd")="CN","CN",VLOOKUP($A32&amp;P$3,Data_Cong!$R:$AI,10,0))),"")</f>
        <v>x</v>
      </c>
      <c r="Q32" s="49" t="str">
        <f>IFERROR(IF(Q$3="","",IF(TEXT(Q$3,"ddd")="CN","CN",VLOOKUP($A32&amp;Q$3,Data_Cong!$R:$AI,10,0))),"")</f>
        <v>CN</v>
      </c>
      <c r="R32" s="49" t="str">
        <f>IFERROR(IF(R$3="","",IF(TEXT(R$3,"ddd")="CN","CN",VLOOKUP($A32&amp;R$3,Data_Cong!$R:$AI,10,0))),"")</f>
        <v>x</v>
      </c>
      <c r="S32" s="49" t="str">
        <f>IFERROR(IF(S$3="","",IF(TEXT(S$3,"ddd")="CN","CN",VLOOKUP($A32&amp;S$3,Data_Cong!$R:$AI,10,0))),"")</f>
        <v>x</v>
      </c>
      <c r="T32" s="49" t="str">
        <f>IFERROR(IF(T$3="","",IF(TEXT(T$3,"ddd")="CN","CN",VLOOKUP($A32&amp;T$3,Data_Cong!$R:$AI,10,0))),"")</f>
        <v>x</v>
      </c>
      <c r="U32" s="49" t="str">
        <f>IFERROR(IF(U$3="","",IF(TEXT(U$3,"ddd")="CN","CN",VLOOKUP($A32&amp;U$3,Data_Cong!$R:$AI,10,0))),"")</f>
        <v>x</v>
      </c>
      <c r="V32" s="49" t="str">
        <f>IFERROR(IF(V$3="","",IF(TEXT(V$3,"ddd")="CN","CN",VLOOKUP($A32&amp;V$3,Data_Cong!$R:$AI,10,0))),"")</f>
        <v>x</v>
      </c>
      <c r="W32" s="49" t="str">
        <f>IFERROR(IF(W$3="","",IF(TEXT(W$3,"ddd")="CN","CN",VLOOKUP($A32&amp;W$3,Data_Cong!$R:$AI,10,0))),"")</f>
        <v>x</v>
      </c>
      <c r="X32" s="49" t="str">
        <f>IFERROR(IF(X$3="","",IF(TEXT(X$3,"ddd")="CN","CN",VLOOKUP($A32&amp;X$3,Data_Cong!$R:$AI,10,0))),"")</f>
        <v>CN</v>
      </c>
      <c r="Y32" s="49" t="str">
        <f>IFERROR(IF(Y$3="","",IF(TEXT(Y$3,"ddd")="CN","CN",VLOOKUP($A32&amp;Y$3,Data_Cong!$R:$AI,10,0))),"")</f>
        <v>x</v>
      </c>
      <c r="Z32" s="49" t="str">
        <f>IFERROR(IF(Z$3="","",IF(TEXT(Z$3,"ddd")="CN","CN",VLOOKUP($A32&amp;Z$3,Data_Cong!$R:$AI,10,0))),"")</f>
        <v>x</v>
      </c>
      <c r="AA32" s="49" t="str">
        <f>IFERROR(IF(AA$3="","",IF(TEXT(AA$3,"ddd")="CN","CN",VLOOKUP($A32&amp;AA$3,Data_Cong!$R:$AI,10,0))),"")</f>
        <v>x</v>
      </c>
      <c r="AB32" s="49" t="str">
        <f>IFERROR(IF(AB$3="","",IF(TEXT(AB$3,"ddd")="CN","CN",VLOOKUP($A32&amp;AB$3,Data_Cong!$R:$AI,10,0))),"")</f>
        <v>x</v>
      </c>
      <c r="AC32" s="49" t="str">
        <f>IFERROR(IF(AC$3="","",IF(TEXT(AC$3,"ddd")="CN","CN",VLOOKUP($A32&amp;AC$3,Data_Cong!$R:$AI,10,0))),"")</f>
        <v>x</v>
      </c>
      <c r="AD32" s="49" t="str">
        <f>IFERROR(IF(AD$3="","",IF(TEXT(AD$3,"ddd")="CN","CN",VLOOKUP($A32&amp;AD$3,Data_Cong!$R:$AI,10,0))),"")</f>
        <v>x</v>
      </c>
      <c r="AE32" s="49" t="str">
        <f>IFERROR(IF(AE$3="","",IF(TEXT(AE$3,"ddd")="CN","CN",VLOOKUP($A32&amp;AE$3,Data_Cong!$R:$AI,10,0))),"")</f>
        <v>CN</v>
      </c>
      <c r="AF32" s="49" t="str">
        <f>IFERROR(IF(AF$3="","",IF(TEXT(AF$3,"ddd")="CN","CN",VLOOKUP($A32&amp;AF$3,Data_Cong!$R:$AI,10,0))),"")</f>
        <v>x</v>
      </c>
      <c r="AG32" s="49" t="str">
        <f>IFERROR(IF(AG$3="","",IF(TEXT(AG$3,"ddd")="CN","CN",VLOOKUP($A32&amp;AG$3,Data_Cong!$R:$AI,10,0))),"")</f>
        <v>x</v>
      </c>
      <c r="AH32" s="49" t="str">
        <f>IFERROR(IF(AH$3="","",IF(TEXT(AH$3,"ddd")="CN","CN",VLOOKUP($A32&amp;AH$3,Data_Cong!$R:$AI,10,0))),"")</f>
        <v/>
      </c>
      <c r="AI32" s="50" cm="1">
        <f t="array" ref="AI32">SUMPRODUCT((D32:AH32="x")*1+(D32:AH32="P")*1+(D32:AH32="1/2P")*1+(D32:AH32="1/2")*0.5+(D32:AH32="2x")*2+(D32:AH32="L")*1)</f>
        <v>25</v>
      </c>
      <c r="AJ32" s="51">
        <f>SUMIF(Data_Cong!A:A,$A32,Data_Cong!AE:AE)</f>
        <v>2374</v>
      </c>
      <c r="AK32" s="52">
        <f>COUNTIFS(Data_Cong!AB:AB,"&gt;5",Data_Cong!A:A,A32)</f>
        <v>0</v>
      </c>
      <c r="AL32" s="53" t="str">
        <f>IF(MONTH(VLOOKUP(A32,Data_NV!$A:$J,10,0))=BANG_CHAM_CONG!$R$2,"T"&amp;BANG_CHAM_CONG!$R$2,"")</f>
        <v/>
      </c>
      <c r="AM32" s="94">
        <v>9</v>
      </c>
      <c r="AN32" s="91">
        <v>10</v>
      </c>
      <c r="AO32" s="50"/>
      <c r="AP32" s="54">
        <f>SUMIFS(Data_Cong!AF:AF,Data_Cong!A:A,$A32)+SUMIFS(Data_Cong!AG:AG,Data_Cong!A:A,$A32)</f>
        <v>0</v>
      </c>
    </row>
    <row r="33" spans="1:42" ht="15.75" x14ac:dyDescent="0.25">
      <c r="A33" s="28" t="s">
        <v>276</v>
      </c>
      <c r="B33" s="47">
        <v>6</v>
      </c>
      <c r="C33" s="48" t="s">
        <v>547</v>
      </c>
      <c r="D33" s="49" t="str">
        <f>IFERROR(IF(D$3="","",IF(TEXT(D$3,"ddd")="CN","CN",VLOOKUP($A33&amp;D$3,Data_Cong!$R:$AI,10,0))),"")</f>
        <v>L</v>
      </c>
      <c r="E33" s="49" t="str">
        <f>IFERROR(IF(E$3="","",IF(TEXT(E$3,"ddd")="CN","CN",VLOOKUP($A33&amp;E$3,Data_Cong!$R:$AI,10,0))),"")</f>
        <v>L</v>
      </c>
      <c r="F33" s="49" t="str">
        <f>IFERROR(IF(F$3="","",IF(TEXT(F$3,"ddd")="CN","CN",VLOOKUP($A33&amp;F$3,Data_Cong!$R:$AI,10,0))),"")</f>
        <v>x</v>
      </c>
      <c r="G33" s="49" t="str">
        <f>IFERROR(IF(G$3="","",IF(TEXT(G$3,"ddd")="CN","CN",VLOOKUP($A33&amp;G$3,Data_Cong!$R:$AI,10,0))),"")</f>
        <v>x</v>
      </c>
      <c r="H33" s="49" t="str">
        <f>IFERROR(IF(H$3="","",IF(TEXT(H$3,"ddd")="CN","CN",VLOOKUP($A33&amp;H$3,Data_Cong!$R:$AI,10,0))),"")</f>
        <v>x</v>
      </c>
      <c r="I33" s="49" t="str">
        <f>IFERROR(IF(I$3="","",IF(TEXT(I$3,"ddd")="CN","CN",VLOOKUP($A33&amp;I$3,Data_Cong!$R:$AI,10,0))),"")</f>
        <v>x</v>
      </c>
      <c r="J33" s="49" t="str">
        <f>IFERROR(IF(J$3="","",IF(TEXT(J$3,"ddd")="CN","CN",VLOOKUP($A33&amp;J$3,Data_Cong!$R:$AI,10,0))),"")</f>
        <v>CN</v>
      </c>
      <c r="K33" s="49" t="str">
        <f>IFERROR(IF(K$3="","",IF(TEXT(K$3,"ddd")="CN","CN",VLOOKUP($A33&amp;K$3,Data_Cong!$R:$AI,10,0))),"")</f>
        <v>x</v>
      </c>
      <c r="L33" s="49" t="str">
        <f>IFERROR(IF(L$3="","",IF(TEXT(L$3,"ddd")="CN","CN",VLOOKUP($A33&amp;L$3,Data_Cong!$R:$AI,10,0))),"")</f>
        <v>x</v>
      </c>
      <c r="M33" s="49" t="str">
        <f>IFERROR(IF(M$3="","",IF(TEXT(M$3,"ddd")="CN","CN",VLOOKUP($A33&amp;M$3,Data_Cong!$R:$AI,10,0))),"")</f>
        <v>x</v>
      </c>
      <c r="N33" s="49" t="str">
        <f>IFERROR(IF(N$3="","",IF(TEXT(N$3,"ddd")="CN","CN",VLOOKUP($A33&amp;N$3,Data_Cong!$R:$AI,10,0))),"")</f>
        <v>x</v>
      </c>
      <c r="O33" s="49" t="str">
        <f>IFERROR(IF(O$3="","",IF(TEXT(O$3,"ddd")="CN","CN",VLOOKUP($A33&amp;O$3,Data_Cong!$R:$AI,10,0))),"")</f>
        <v>x</v>
      </c>
      <c r="P33" s="49" t="str">
        <f>IFERROR(IF(P$3="","",IF(TEXT(P$3,"ddd")="CN","CN",VLOOKUP($A33&amp;P$3,Data_Cong!$R:$AI,10,0))),"")</f>
        <v>x</v>
      </c>
      <c r="Q33" s="49" t="str">
        <f>IFERROR(IF(Q$3="","",IF(TEXT(Q$3,"ddd")="CN","CN",VLOOKUP($A33&amp;Q$3,Data_Cong!$R:$AI,10,0))),"")</f>
        <v>CN</v>
      </c>
      <c r="R33" s="49" t="str">
        <f>IFERROR(IF(R$3="","",IF(TEXT(R$3,"ddd")="CN","CN",VLOOKUP($A33&amp;R$3,Data_Cong!$R:$AI,10,0))),"")</f>
        <v>x</v>
      </c>
      <c r="S33" s="49" t="str">
        <f>IFERROR(IF(S$3="","",IF(TEXT(S$3,"ddd")="CN","CN",VLOOKUP($A33&amp;S$3,Data_Cong!$R:$AI,10,0))),"")</f>
        <v>x</v>
      </c>
      <c r="T33" s="49" t="str">
        <f>IFERROR(IF(T$3="","",IF(TEXT(T$3,"ddd")="CN","CN",VLOOKUP($A33&amp;T$3,Data_Cong!$R:$AI,10,0))),"")</f>
        <v>x</v>
      </c>
      <c r="U33" s="49" t="str">
        <f>IFERROR(IF(U$3="","",IF(TEXT(U$3,"ddd")="CN","CN",VLOOKUP($A33&amp;U$3,Data_Cong!$R:$AI,10,0))),"")</f>
        <v>x</v>
      </c>
      <c r="V33" s="49" t="str">
        <f>IFERROR(IF(V$3="","",IF(TEXT(V$3,"ddd")="CN","CN",VLOOKUP($A33&amp;V$3,Data_Cong!$R:$AI,10,0))),"")</f>
        <v>x</v>
      </c>
      <c r="W33" s="49" t="str">
        <f>IFERROR(IF(W$3="","",IF(TEXT(W$3,"ddd")="CN","CN",VLOOKUP($A33&amp;W$3,Data_Cong!$R:$AI,10,0))),"")</f>
        <v>x</v>
      </c>
      <c r="X33" s="49" t="str">
        <f>IFERROR(IF(X$3="","",IF(TEXT(X$3,"ddd")="CN","CN",VLOOKUP($A33&amp;X$3,Data_Cong!$R:$AI,10,0))),"")</f>
        <v>CN</v>
      </c>
      <c r="Y33" s="49" t="str">
        <f>IFERROR(IF(Y$3="","",IF(TEXT(Y$3,"ddd")="CN","CN",VLOOKUP($A33&amp;Y$3,Data_Cong!$R:$AI,10,0))),"")</f>
        <v>x</v>
      </c>
      <c r="Z33" s="49" t="str">
        <f>IFERROR(IF(Z$3="","",IF(TEXT(Z$3,"ddd")="CN","CN",VLOOKUP($A33&amp;Z$3,Data_Cong!$R:$AI,10,0))),"")</f>
        <v/>
      </c>
      <c r="AA33" s="49" t="str">
        <f>IFERROR(IF(AA$3="","",IF(TEXT(AA$3,"ddd")="CN","CN",VLOOKUP($A33&amp;AA$3,Data_Cong!$R:$AI,10,0))),"")</f>
        <v/>
      </c>
      <c r="AB33" s="49" t="str">
        <f>IFERROR(IF(AB$3="","",IF(TEXT(AB$3,"ddd")="CN","CN",VLOOKUP($A33&amp;AB$3,Data_Cong!$R:$AI,10,0))),"")</f>
        <v>x</v>
      </c>
      <c r="AC33" s="49" t="str">
        <f>IFERROR(IF(AC$3="","",IF(TEXT(AC$3,"ddd")="CN","CN",VLOOKUP($A33&amp;AC$3,Data_Cong!$R:$AI,10,0))),"")</f>
        <v>x</v>
      </c>
      <c r="AD33" s="49" t="str">
        <f>IFERROR(IF(AD$3="","",IF(TEXT(AD$3,"ddd")="CN","CN",VLOOKUP($A33&amp;AD$3,Data_Cong!$R:$AI,10,0))),"")</f>
        <v>x</v>
      </c>
      <c r="AE33" s="49" t="str">
        <f>IFERROR(IF(AE$3="","",IF(TEXT(AE$3,"ddd")="CN","CN",VLOOKUP($A33&amp;AE$3,Data_Cong!$R:$AI,10,0))),"")</f>
        <v>CN</v>
      </c>
      <c r="AF33" s="49" t="str">
        <f>IFERROR(IF(AF$3="","",IF(TEXT(AF$3,"ddd")="CN","CN",VLOOKUP($A33&amp;AF$3,Data_Cong!$R:$AI,10,0))),"")</f>
        <v>x</v>
      </c>
      <c r="AG33" s="49" t="str">
        <f>IFERROR(IF(AG$3="","",IF(TEXT(AG$3,"ddd")="CN","CN",VLOOKUP($A33&amp;AG$3,Data_Cong!$R:$AI,10,0))),"")</f>
        <v>x</v>
      </c>
      <c r="AH33" s="49" t="str">
        <f>IFERROR(IF(AH$3="","",IF(TEXT(AH$3,"ddd")="CN","CN",VLOOKUP($A33&amp;AH$3,Data_Cong!$R:$AI,10,0))),"")</f>
        <v/>
      </c>
      <c r="AI33" s="50" cm="1">
        <f t="array" ref="AI33">SUMPRODUCT((D33:AH33="x")*1+(D33:AH33="P")*1+(D33:AH33="1/2P")*1+(D33:AH33="1/2")*0.5+(D33:AH33="2x")*2+(D33:AH33="L")*1)</f>
        <v>24</v>
      </c>
      <c r="AJ33" s="51">
        <f>SUMIF(Data_Cong!A:A,$A33,Data_Cong!AE:AE)</f>
        <v>2124</v>
      </c>
      <c r="AK33" s="52">
        <f>COUNTIFS(Data_Cong!AB:AB,"&gt;5",Data_Cong!A:A,A33)</f>
        <v>0</v>
      </c>
      <c r="AL33" s="53" t="str">
        <f>IF(MONTH(VLOOKUP(A33,Data_NV!$A:$J,10,0))=BANG_CHAM_CONG!$R$2,"T"&amp;BANG_CHAM_CONG!$R$2,"")</f>
        <v/>
      </c>
      <c r="AM33" s="94">
        <v>11</v>
      </c>
      <c r="AN33" s="91">
        <v>11</v>
      </c>
      <c r="AO33" s="50"/>
      <c r="AP33" s="54">
        <f>SUMIFS(Data_Cong!AF:AF,Data_Cong!A:A,$A33)+SUMIFS(Data_Cong!AG:AG,Data_Cong!A:A,$A33)</f>
        <v>0</v>
      </c>
    </row>
    <row r="34" spans="1:42" ht="15.75" x14ac:dyDescent="0.25">
      <c r="A34" s="28" t="s">
        <v>344</v>
      </c>
      <c r="B34" s="47">
        <v>7</v>
      </c>
      <c r="C34" s="48" t="s">
        <v>548</v>
      </c>
      <c r="D34" s="49" t="str">
        <f>IFERROR(IF(D$3="","",IF(TEXT(D$3,"ddd")="CN","CN",VLOOKUP($A34&amp;D$3,Data_Cong!$R:$AI,10,0))),"")</f>
        <v/>
      </c>
      <c r="E34" s="49" t="str">
        <f>IFERROR(IF(E$3="","",IF(TEXT(E$3,"ddd")="CN","CN",VLOOKUP($A34&amp;E$3,Data_Cong!$R:$AI,10,0))),"")</f>
        <v/>
      </c>
      <c r="F34" s="49" t="str">
        <f>IFERROR(IF(F$3="","",IF(TEXT(F$3,"ddd")="CN","CN",VLOOKUP($A34&amp;F$3,Data_Cong!$R:$AI,10,0))),"")</f>
        <v/>
      </c>
      <c r="G34" s="49" t="str">
        <f>IFERROR(IF(G$3="","",IF(TEXT(G$3,"ddd")="CN","CN",VLOOKUP($A34&amp;G$3,Data_Cong!$R:$AI,10,0))),"")</f>
        <v/>
      </c>
      <c r="H34" s="49" t="str">
        <f>IFERROR(IF(H$3="","",IF(TEXT(H$3,"ddd")="CN","CN",VLOOKUP($A34&amp;H$3,Data_Cong!$R:$AI,10,0))),"")</f>
        <v/>
      </c>
      <c r="I34" s="49" t="str">
        <f>IFERROR(IF(I$3="","",IF(TEXT(I$3,"ddd")="CN","CN",VLOOKUP($A34&amp;I$3,Data_Cong!$R:$AI,10,0))),"")</f>
        <v/>
      </c>
      <c r="J34" s="49" t="str">
        <f>IFERROR(IF(J$3="","",IF(TEXT(J$3,"ddd")="CN","CN",VLOOKUP($A34&amp;J$3,Data_Cong!$R:$AI,10,0))),"")</f>
        <v>CN</v>
      </c>
      <c r="K34" s="49" t="str">
        <f>IFERROR(IF(K$3="","",IF(TEXT(K$3,"ddd")="CN","CN",VLOOKUP($A34&amp;K$3,Data_Cong!$R:$AI,10,0))),"")</f>
        <v/>
      </c>
      <c r="L34" s="49" t="str">
        <f>IFERROR(IF(L$3="","",IF(TEXT(L$3,"ddd")="CN","CN",VLOOKUP($A34&amp;L$3,Data_Cong!$R:$AI,10,0))),"")</f>
        <v/>
      </c>
      <c r="M34" s="49" t="str">
        <f>IFERROR(IF(M$3="","",IF(TEXT(M$3,"ddd")="CN","CN",VLOOKUP($A34&amp;M$3,Data_Cong!$R:$AI,10,0))),"")</f>
        <v/>
      </c>
      <c r="N34" s="49" t="str">
        <f>IFERROR(IF(N$3="","",IF(TEXT(N$3,"ddd")="CN","CN",VLOOKUP($A34&amp;N$3,Data_Cong!$R:$AI,10,0))),"")</f>
        <v/>
      </c>
      <c r="O34" s="49" t="str">
        <f>IFERROR(IF(O$3="","",IF(TEXT(O$3,"ddd")="CN","CN",VLOOKUP($A34&amp;O$3,Data_Cong!$R:$AI,10,0))),"")</f>
        <v/>
      </c>
      <c r="P34" s="49" t="str">
        <f>IFERROR(IF(P$3="","",IF(TEXT(P$3,"ddd")="CN","CN",VLOOKUP($A34&amp;P$3,Data_Cong!$R:$AI,10,0))),"")</f>
        <v/>
      </c>
      <c r="Q34" s="49" t="str">
        <f>IFERROR(IF(Q$3="","",IF(TEXT(Q$3,"ddd")="CN","CN",VLOOKUP($A34&amp;Q$3,Data_Cong!$R:$AI,10,0))),"")</f>
        <v>CN</v>
      </c>
      <c r="R34" s="49" t="str">
        <f>IFERROR(IF(R$3="","",IF(TEXT(R$3,"ddd")="CN","CN",VLOOKUP($A34&amp;R$3,Data_Cong!$R:$AI,10,0))),"")</f>
        <v/>
      </c>
      <c r="S34" s="49" t="str">
        <f>IFERROR(IF(S$3="","",IF(TEXT(S$3,"ddd")="CN","CN",VLOOKUP($A34&amp;S$3,Data_Cong!$R:$AI,10,0))),"")</f>
        <v/>
      </c>
      <c r="T34" s="49" t="str">
        <f>IFERROR(IF(T$3="","",IF(TEXT(T$3,"ddd")="CN","CN",VLOOKUP($A34&amp;T$3,Data_Cong!$R:$AI,10,0))),"")</f>
        <v/>
      </c>
      <c r="U34" s="49" t="str">
        <f>IFERROR(IF(U$3="","",IF(TEXT(U$3,"ddd")="CN","CN",VLOOKUP($A34&amp;U$3,Data_Cong!$R:$AI,10,0))),"")</f>
        <v/>
      </c>
      <c r="V34" s="49" t="str">
        <f>IFERROR(IF(V$3="","",IF(TEXT(V$3,"ddd")="CN","CN",VLOOKUP($A34&amp;V$3,Data_Cong!$R:$AI,10,0))),"")</f>
        <v/>
      </c>
      <c r="W34" s="49" t="str">
        <f>IFERROR(IF(W$3="","",IF(TEXT(W$3,"ddd")="CN","CN",VLOOKUP($A34&amp;W$3,Data_Cong!$R:$AI,10,0))),"")</f>
        <v/>
      </c>
      <c r="X34" s="49" t="str">
        <f>IFERROR(IF(X$3="","",IF(TEXT(X$3,"ddd")="CN","CN",VLOOKUP($A34&amp;X$3,Data_Cong!$R:$AI,10,0))),"")</f>
        <v>CN</v>
      </c>
      <c r="Y34" s="49" t="str">
        <f>IFERROR(IF(Y$3="","",IF(TEXT(Y$3,"ddd")="CN","CN",VLOOKUP($A34&amp;Y$3,Data_Cong!$R:$AI,10,0))),"")</f>
        <v/>
      </c>
      <c r="Z34" s="49" t="str">
        <f>IFERROR(IF(Z$3="","",IF(TEXT(Z$3,"ddd")="CN","CN",VLOOKUP($A34&amp;Z$3,Data_Cong!$R:$AI,10,0))),"")</f>
        <v/>
      </c>
      <c r="AA34" s="49" t="str">
        <f>IFERROR(IF(AA$3="","",IF(TEXT(AA$3,"ddd")="CN","CN",VLOOKUP($A34&amp;AA$3,Data_Cong!$R:$AI,10,0))),"")</f>
        <v/>
      </c>
      <c r="AB34" s="49" t="str">
        <f>IFERROR(IF(AB$3="","",IF(TEXT(AB$3,"ddd")="CN","CN",VLOOKUP($A34&amp;AB$3,Data_Cong!$R:$AI,10,0))),"")</f>
        <v/>
      </c>
      <c r="AC34" s="49" t="str">
        <f>IFERROR(IF(AC$3="","",IF(TEXT(AC$3,"ddd")="CN","CN",VLOOKUP($A34&amp;AC$3,Data_Cong!$R:$AI,10,0))),"")</f>
        <v/>
      </c>
      <c r="AD34" s="49" t="str">
        <f>IFERROR(IF(AD$3="","",IF(TEXT(AD$3,"ddd")="CN","CN",VLOOKUP($A34&amp;AD$3,Data_Cong!$R:$AI,10,0))),"")</f>
        <v/>
      </c>
      <c r="AE34" s="49" t="str">
        <f>IFERROR(IF(AE$3="","",IF(TEXT(AE$3,"ddd")="CN","CN",VLOOKUP($A34&amp;AE$3,Data_Cong!$R:$AI,10,0))),"")</f>
        <v>CN</v>
      </c>
      <c r="AF34" s="49" t="str">
        <f>IFERROR(IF(AF$3="","",IF(TEXT(AF$3,"ddd")="CN","CN",VLOOKUP($A34&amp;AF$3,Data_Cong!$R:$AI,10,0))),"")</f>
        <v/>
      </c>
      <c r="AG34" s="49" t="str">
        <f>IFERROR(IF(AG$3="","",IF(TEXT(AG$3,"ddd")="CN","CN",VLOOKUP($A34&amp;AG$3,Data_Cong!$R:$AI,10,0))),"")</f>
        <v/>
      </c>
      <c r="AH34" s="49" t="str">
        <f>IFERROR(IF(AH$3="","",IF(TEXT(AH$3,"ddd")="CN","CN",VLOOKUP($A34&amp;AH$3,Data_Cong!$R:$AI,10,0))),"")</f>
        <v/>
      </c>
      <c r="AI34" s="50" cm="1">
        <f t="array" ref="AI34">SUMPRODUCT((D34:AH34="x")*1+(D34:AH34="P")*1+(D34:AH34="1/2P")*1+(D34:AH34="1/2")*0.5+(D34:AH34="2x")*2+(D34:AH34="L")*1)</f>
        <v>0</v>
      </c>
      <c r="AJ34" s="51">
        <f>SUMIF(Data_Cong!A:A,$A34,Data_Cong!AE:AE)</f>
        <v>0</v>
      </c>
      <c r="AK34" s="52">
        <f>COUNTIFS(Data_Cong!AB:AB,"&gt;5",Data_Cong!A:A,A34)</f>
        <v>0</v>
      </c>
      <c r="AL34" s="53" t="str">
        <f>IF(MONTH(VLOOKUP(A34,Data_NV!$A:$J,10,0))=BANG_CHAM_CONG!$R$2,"T"&amp;BANG_CHAM_CONG!$R$2,"")</f>
        <v/>
      </c>
      <c r="AM34" s="94">
        <v>0</v>
      </c>
      <c r="AN34" s="91">
        <v>1</v>
      </c>
      <c r="AO34" s="50"/>
      <c r="AP34" s="54">
        <f>SUMIFS(Data_Cong!AF:AF,Data_Cong!A:A,$A34)+SUMIFS(Data_Cong!AG:AG,Data_Cong!A:A,$A34)</f>
        <v>0</v>
      </c>
    </row>
    <row r="35" spans="1:42" ht="15.75" x14ac:dyDescent="0.25">
      <c r="A35" s="28" t="s">
        <v>463</v>
      </c>
      <c r="B35" s="47">
        <v>9</v>
      </c>
      <c r="C35" s="62" t="s">
        <v>552</v>
      </c>
      <c r="D35" s="49" t="str">
        <f>IFERROR(IF(D$3="","",IF(TEXT(D$3,"ddd")="CN","CN",VLOOKUP($A35&amp;D$3,Data_Cong!$R:$AI,10,0))),"")</f>
        <v/>
      </c>
      <c r="E35" s="49" t="str">
        <f>IFERROR(IF(E$3="","",IF(TEXT(E$3,"ddd")="CN","CN",VLOOKUP($A35&amp;E$3,Data_Cong!$R:$AI,10,0))),"")</f>
        <v/>
      </c>
      <c r="F35" s="49" t="str">
        <f>IFERROR(IF(F$3="","",IF(TEXT(F$3,"ddd")="CN","CN",VLOOKUP($A35&amp;F$3,Data_Cong!$R:$AI,10,0))),"")</f>
        <v/>
      </c>
      <c r="G35" s="49" t="str">
        <f>IFERROR(IF(G$3="","",IF(TEXT(G$3,"ddd")="CN","CN",VLOOKUP($A35&amp;G$3,Data_Cong!$R:$AI,10,0))),"")</f>
        <v/>
      </c>
      <c r="H35" s="49" t="str">
        <f>IFERROR(IF(H$3="","",IF(TEXT(H$3,"ddd")="CN","CN",VLOOKUP($A35&amp;H$3,Data_Cong!$R:$AI,10,0))),"")</f>
        <v/>
      </c>
      <c r="I35" s="49" t="str">
        <f>IFERROR(IF(I$3="","",IF(TEXT(I$3,"ddd")="CN","CN",VLOOKUP($A35&amp;I$3,Data_Cong!$R:$AI,10,0))),"")</f>
        <v/>
      </c>
      <c r="J35" s="49" t="str">
        <f>IFERROR(IF(J$3="","",IF(TEXT(J$3,"ddd")="CN","CN",VLOOKUP($A35&amp;J$3,Data_Cong!$R:$AI,10,0))),"")</f>
        <v>CN</v>
      </c>
      <c r="K35" s="49" t="str">
        <f>IFERROR(IF(K$3="","",IF(TEXT(K$3,"ddd")="CN","CN",VLOOKUP($A35&amp;K$3,Data_Cong!$R:$AI,10,0))),"")</f>
        <v/>
      </c>
      <c r="L35" s="49" t="str">
        <f>IFERROR(IF(L$3="","",IF(TEXT(L$3,"ddd")="CN","CN",VLOOKUP($A35&amp;L$3,Data_Cong!$R:$AI,10,0))),"")</f>
        <v/>
      </c>
      <c r="M35" s="49" t="str">
        <f>IFERROR(IF(M$3="","",IF(TEXT(M$3,"ddd")="CN","CN",VLOOKUP($A35&amp;M$3,Data_Cong!$R:$AI,10,0))),"")</f>
        <v/>
      </c>
      <c r="N35" s="49" t="str">
        <f>IFERROR(IF(N$3="","",IF(TEXT(N$3,"ddd")="CN","CN",VLOOKUP($A35&amp;N$3,Data_Cong!$R:$AI,10,0))),"")</f>
        <v/>
      </c>
      <c r="O35" s="49" t="str">
        <f>IFERROR(IF(O$3="","",IF(TEXT(O$3,"ddd")="CN","CN",VLOOKUP($A35&amp;O$3,Data_Cong!$R:$AI,10,0))),"")</f>
        <v/>
      </c>
      <c r="P35" s="49" t="str">
        <f>IFERROR(IF(P$3="","",IF(TEXT(P$3,"ddd")="CN","CN",VLOOKUP($A35&amp;P$3,Data_Cong!$R:$AI,10,0))),"")</f>
        <v/>
      </c>
      <c r="Q35" s="49" t="str">
        <f>IFERROR(IF(Q$3="","",IF(TEXT(Q$3,"ddd")="CN","CN",VLOOKUP($A35&amp;Q$3,Data_Cong!$R:$AI,10,0))),"")</f>
        <v>CN</v>
      </c>
      <c r="R35" s="49" t="str">
        <f>IFERROR(IF(R$3="","",IF(TEXT(R$3,"ddd")="CN","CN",VLOOKUP($A35&amp;R$3,Data_Cong!$R:$AI,10,0))),"")</f>
        <v/>
      </c>
      <c r="S35" s="49" t="str">
        <f>IFERROR(IF(S$3="","",IF(TEXT(S$3,"ddd")="CN","CN",VLOOKUP($A35&amp;S$3,Data_Cong!$R:$AI,10,0))),"")</f>
        <v/>
      </c>
      <c r="T35" s="49" t="str">
        <f>IFERROR(IF(T$3="","",IF(TEXT(T$3,"ddd")="CN","CN",VLOOKUP($A35&amp;T$3,Data_Cong!$R:$AI,10,0))),"")</f>
        <v/>
      </c>
      <c r="U35" s="49" t="str">
        <f>IFERROR(IF(U$3="","",IF(TEXT(U$3,"ddd")="CN","CN",VLOOKUP($A35&amp;U$3,Data_Cong!$R:$AI,10,0))),"")</f>
        <v/>
      </c>
      <c r="V35" s="49" t="str">
        <f>IFERROR(IF(V$3="","",IF(TEXT(V$3,"ddd")="CN","CN",VLOOKUP($A35&amp;V$3,Data_Cong!$R:$AI,10,0))),"")</f>
        <v/>
      </c>
      <c r="W35" s="49" t="str">
        <f>IFERROR(IF(W$3="","",IF(TEXT(W$3,"ddd")="CN","CN",VLOOKUP($A35&amp;W$3,Data_Cong!$R:$AI,10,0))),"")</f>
        <v/>
      </c>
      <c r="X35" s="49" t="str">
        <f>IFERROR(IF(X$3="","",IF(TEXT(X$3,"ddd")="CN","CN",VLOOKUP($A35&amp;X$3,Data_Cong!$R:$AI,10,0))),"")</f>
        <v>CN</v>
      </c>
      <c r="Y35" s="49" t="str">
        <f>IFERROR(IF(Y$3="","",IF(TEXT(Y$3,"ddd")="CN","CN",VLOOKUP($A35&amp;Y$3,Data_Cong!$R:$AI,10,0))),"")</f>
        <v/>
      </c>
      <c r="Z35" s="49" t="str">
        <f>IFERROR(IF(Z$3="","",IF(TEXT(Z$3,"ddd")="CN","CN",VLOOKUP($A35&amp;Z$3,Data_Cong!$R:$AI,10,0))),"")</f>
        <v/>
      </c>
      <c r="AA35" s="49" t="str">
        <f>IFERROR(IF(AA$3="","",IF(TEXT(AA$3,"ddd")="CN","CN",VLOOKUP($A35&amp;AA$3,Data_Cong!$R:$AI,10,0))),"")</f>
        <v/>
      </c>
      <c r="AB35" s="49" t="str">
        <f>IFERROR(IF(AB$3="","",IF(TEXT(AB$3,"ddd")="CN","CN",VLOOKUP($A35&amp;AB$3,Data_Cong!$R:$AI,10,0))),"")</f>
        <v/>
      </c>
      <c r="AC35" s="49" t="str">
        <f>IFERROR(IF(AC$3="","",IF(TEXT(AC$3,"ddd")="CN","CN",VLOOKUP($A35&amp;AC$3,Data_Cong!$R:$AI,10,0))),"")</f>
        <v/>
      </c>
      <c r="AD35" s="49" t="str">
        <f>IFERROR(IF(AD$3="","",IF(TEXT(AD$3,"ddd")="CN","CN",VLOOKUP($A35&amp;AD$3,Data_Cong!$R:$AI,10,0))),"")</f>
        <v/>
      </c>
      <c r="AE35" s="49" t="str">
        <f>IFERROR(IF(AE$3="","",IF(TEXT(AE$3,"ddd")="CN","CN",VLOOKUP($A35&amp;AE$3,Data_Cong!$R:$AI,10,0))),"")</f>
        <v>CN</v>
      </c>
      <c r="AF35" s="49" t="str">
        <f>IFERROR(IF(AF$3="","",IF(TEXT(AF$3,"ddd")="CN","CN",VLOOKUP($A35&amp;AF$3,Data_Cong!$R:$AI,10,0))),"")</f>
        <v/>
      </c>
      <c r="AG35" s="49" t="str">
        <f>IFERROR(IF(AG$3="","",IF(TEXT(AG$3,"ddd")="CN","CN",VLOOKUP($A35&amp;AG$3,Data_Cong!$R:$AI,10,0))),"")</f>
        <v/>
      </c>
      <c r="AH35" s="49" t="str">
        <f>IFERROR(IF(AH$3="","",IF(TEXT(AH$3,"ddd")="CN","CN",VLOOKUP($A35&amp;AH$3,Data_Cong!$R:$AI,10,0))),"")</f>
        <v/>
      </c>
      <c r="AI35" s="50">
        <f t="shared" ref="AI35" si="4">SUMPRODUCT((D35:AH35="x")*1+(D35:AH35="P")*1+(D35:AH35="1/2P")*1+(D35:AH35="1/2")*0.5+(D35:AH35="2x")*2)</f>
        <v>0</v>
      </c>
      <c r="AJ35" s="51">
        <f>SUMIF(Data_Cong!A:A,$A35,Data_Cong!AE:AE)</f>
        <v>0</v>
      </c>
      <c r="AK35" s="52">
        <f>COUNTIFS(Data_Cong!AB:AB,"&gt;5",Data_Cong!A:A,A35)</f>
        <v>0</v>
      </c>
      <c r="AL35" s="53" t="str">
        <f>IF(MONTH(VLOOKUP(A35,Data_NV!$A:$J,10,0))=BANG_CHAM_CONG!$R$2,"T"&amp;BANG_CHAM_CONG!$R$2,"")</f>
        <v/>
      </c>
      <c r="AM35" s="94">
        <v>0</v>
      </c>
      <c r="AN35" s="91"/>
      <c r="AO35" s="50">
        <v>6</v>
      </c>
      <c r="AP35" s="54">
        <f>SUMIFS(Data_Cong!AF:AF,Data_Cong!A:A,$A35)+SUMIFS(Data_Cong!AG:AG,Data_Cong!A:A,$A35)</f>
        <v>0</v>
      </c>
    </row>
    <row r="36" spans="1:42" ht="15.75" x14ac:dyDescent="0.25">
      <c r="A36" s="28"/>
      <c r="B36" s="41"/>
      <c r="C36" s="41" t="s">
        <v>612</v>
      </c>
      <c r="D36" s="63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9"/>
      <c r="AM36" s="59"/>
      <c r="AN36" s="59"/>
      <c r="AO36" s="59"/>
      <c r="AP36" s="64"/>
    </row>
    <row r="37" spans="1:42" x14ac:dyDescent="0.25">
      <c r="A37" s="28"/>
      <c r="B37" s="65">
        <v>1</v>
      </c>
      <c r="C37" s="66" t="s">
        <v>613</v>
      </c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8"/>
      <c r="AJ37" s="52"/>
      <c r="AK37" s="52"/>
      <c r="AL37" s="61"/>
      <c r="AM37" s="61"/>
      <c r="AN37" s="68"/>
      <c r="AO37" s="68"/>
      <c r="AP37" s="69"/>
    </row>
    <row r="38" spans="1:42" ht="15.75" x14ac:dyDescent="0.25">
      <c r="A38" s="28"/>
      <c r="B38" s="70"/>
      <c r="C38" s="70"/>
      <c r="D38" s="71"/>
      <c r="E38" s="72"/>
      <c r="F38" s="70"/>
      <c r="G38" s="70"/>
      <c r="H38" s="70"/>
      <c r="I38" s="70"/>
      <c r="J38" s="73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28"/>
      <c r="AK38" s="28"/>
      <c r="AL38" s="28"/>
      <c r="AM38" s="28"/>
      <c r="AN38" s="28"/>
      <c r="AO38" s="28"/>
      <c r="AP38" s="31"/>
    </row>
    <row r="39" spans="1:42" ht="15.75" x14ac:dyDescent="0.25">
      <c r="A39" s="28"/>
      <c r="B39" s="70"/>
      <c r="C39" s="70"/>
      <c r="D39" s="71" t="s">
        <v>614</v>
      </c>
      <c r="E39" s="72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28"/>
      <c r="AK39" s="28"/>
      <c r="AL39" s="28"/>
      <c r="AM39" s="28"/>
      <c r="AN39" s="28"/>
      <c r="AO39" s="28"/>
      <c r="AP39" s="31"/>
    </row>
    <row r="40" spans="1:42" ht="15.75" x14ac:dyDescent="0.25">
      <c r="A40" s="28"/>
      <c r="B40" s="70"/>
      <c r="C40" s="70"/>
      <c r="D40" s="71" t="s">
        <v>615</v>
      </c>
      <c r="E40" s="72" t="s">
        <v>616</v>
      </c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28"/>
      <c r="AK40" s="28"/>
      <c r="AL40" s="28"/>
      <c r="AM40" s="28"/>
      <c r="AN40" s="28"/>
      <c r="AO40" s="28"/>
      <c r="AP40" s="31"/>
    </row>
    <row r="41" spans="1:42" ht="15.75" x14ac:dyDescent="0.25">
      <c r="A41" s="28"/>
      <c r="B41" s="70"/>
      <c r="C41" s="70"/>
      <c r="D41" s="71" t="s">
        <v>617</v>
      </c>
      <c r="E41" s="72" t="s">
        <v>618</v>
      </c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28"/>
      <c r="AK41" s="28"/>
      <c r="AL41" s="28"/>
      <c r="AM41" s="28"/>
      <c r="AN41" s="28"/>
      <c r="AO41" s="28"/>
      <c r="AP41" s="31"/>
    </row>
    <row r="42" spans="1:42" ht="15.75" x14ac:dyDescent="0.25">
      <c r="A42" s="28"/>
      <c r="B42" s="70"/>
      <c r="C42" s="70"/>
      <c r="D42" s="74" t="s">
        <v>619</v>
      </c>
      <c r="E42" s="72" t="s">
        <v>620</v>
      </c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28"/>
      <c r="AK42" s="28"/>
      <c r="AL42" s="28"/>
      <c r="AM42" s="28"/>
      <c r="AN42" s="28"/>
      <c r="AO42" s="28"/>
      <c r="AP42" s="31"/>
    </row>
    <row r="43" spans="1:42" ht="15.75" x14ac:dyDescent="0.25">
      <c r="A43" s="28"/>
      <c r="B43" s="70"/>
      <c r="C43" s="70"/>
      <c r="D43" s="75" t="s">
        <v>621</v>
      </c>
      <c r="E43" s="72" t="s">
        <v>622</v>
      </c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28"/>
      <c r="Z43" s="76"/>
      <c r="AA43" s="76"/>
      <c r="AB43" s="76"/>
      <c r="AC43" s="76"/>
      <c r="AD43" s="76"/>
      <c r="AE43" s="76"/>
      <c r="AF43" s="76"/>
      <c r="AG43" s="76"/>
      <c r="AH43" s="76"/>
      <c r="AI43" s="70"/>
      <c r="AJ43" s="28"/>
      <c r="AK43" s="28"/>
      <c r="AL43" s="28"/>
      <c r="AM43" s="28"/>
      <c r="AN43" s="28"/>
      <c r="AO43" s="28"/>
      <c r="AP43" s="31"/>
    </row>
    <row r="44" spans="1:42" ht="15.75" x14ac:dyDescent="0.25">
      <c r="A44" s="28"/>
      <c r="B44" s="70"/>
      <c r="C44" s="70"/>
      <c r="D44" s="77" t="s">
        <v>623</v>
      </c>
      <c r="E44" s="72" t="s">
        <v>624</v>
      </c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28"/>
      <c r="Z44" s="76"/>
      <c r="AA44" s="76"/>
      <c r="AB44" s="76"/>
      <c r="AC44" s="76"/>
      <c r="AD44" s="76"/>
      <c r="AE44" s="76"/>
      <c r="AF44" s="76"/>
      <c r="AG44" s="76"/>
      <c r="AH44" s="76"/>
      <c r="AI44" s="70"/>
      <c r="AJ44" s="28"/>
      <c r="AK44" s="28"/>
      <c r="AL44" s="28"/>
      <c r="AM44" s="28"/>
      <c r="AN44" s="28"/>
      <c r="AO44" s="28"/>
      <c r="AP44" s="31"/>
    </row>
    <row r="45" spans="1:42" ht="15.75" x14ac:dyDescent="0.25">
      <c r="A45" s="28"/>
      <c r="B45" s="70"/>
      <c r="C45" s="70"/>
      <c r="D45" s="71" t="s">
        <v>625</v>
      </c>
      <c r="E45" s="72" t="s">
        <v>626</v>
      </c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0"/>
      <c r="AJ45" s="28"/>
      <c r="AK45" s="28"/>
      <c r="AL45" s="28"/>
      <c r="AM45" s="28"/>
      <c r="AN45" s="28"/>
      <c r="AO45" s="28"/>
      <c r="AP45" s="31"/>
    </row>
    <row r="46" spans="1:42" ht="15.75" x14ac:dyDescent="0.25">
      <c r="A46" s="28"/>
      <c r="B46" s="70"/>
      <c r="C46" s="70"/>
      <c r="D46" s="78" t="s">
        <v>627</v>
      </c>
      <c r="E46" s="72" t="s">
        <v>628</v>
      </c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79"/>
      <c r="AD46" s="79"/>
      <c r="AE46" s="79"/>
      <c r="AF46" s="79"/>
      <c r="AG46" s="79"/>
      <c r="AH46" s="79"/>
      <c r="AI46" s="70"/>
      <c r="AJ46" s="28"/>
      <c r="AK46" s="28"/>
      <c r="AL46" s="28"/>
      <c r="AM46" s="28"/>
      <c r="AN46" s="28"/>
      <c r="AO46" s="28"/>
      <c r="AP46" s="31"/>
    </row>
    <row r="47" spans="1:42" ht="15.75" x14ac:dyDescent="0.25">
      <c r="A47" s="28"/>
      <c r="B47" s="70"/>
      <c r="C47" s="70"/>
      <c r="D47" s="80" t="s">
        <v>629</v>
      </c>
      <c r="E47" s="72" t="s">
        <v>630</v>
      </c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70"/>
      <c r="AD47" s="70"/>
      <c r="AE47" s="70"/>
      <c r="AF47" s="70"/>
      <c r="AG47" s="70"/>
      <c r="AH47" s="70"/>
      <c r="AI47" s="70"/>
      <c r="AJ47" s="28"/>
      <c r="AK47" s="28"/>
      <c r="AL47" s="28"/>
      <c r="AM47" s="28"/>
      <c r="AN47" s="28"/>
      <c r="AO47" s="28"/>
      <c r="AP47" s="31"/>
    </row>
    <row r="48" spans="1:42" ht="15.75" x14ac:dyDescent="0.25">
      <c r="A48" s="28"/>
      <c r="B48" s="70"/>
      <c r="C48" s="70"/>
      <c r="D48" s="71"/>
      <c r="E48" s="72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70"/>
      <c r="AD48" s="70"/>
      <c r="AE48" s="70"/>
      <c r="AF48" s="70"/>
      <c r="AG48" s="70"/>
      <c r="AH48" s="70"/>
      <c r="AI48" s="70"/>
      <c r="AJ48" s="28"/>
      <c r="AK48" s="28"/>
      <c r="AL48" s="28"/>
      <c r="AM48" s="28"/>
      <c r="AN48" s="28"/>
      <c r="AO48" s="28"/>
      <c r="AP48" s="31"/>
    </row>
    <row r="49" spans="1:42" ht="15.75" x14ac:dyDescent="0.25">
      <c r="A49" s="28"/>
      <c r="B49" s="70"/>
      <c r="C49" s="70"/>
      <c r="D49" s="71"/>
      <c r="E49" s="72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76" t="str">
        <f>"Ngày "&amp;DAY(EOMONTH(AN1,0))&amp;" Tháng "&amp;MONTH(AN1)&amp;" Năm "&amp;YEAR(AN1)</f>
        <v>Ngày 30 Tháng 9 Năm 2025</v>
      </c>
      <c r="Z49" s="28"/>
      <c r="AA49" s="28"/>
      <c r="AB49" s="28"/>
      <c r="AC49" s="70"/>
      <c r="AD49" s="70"/>
      <c r="AE49" s="70"/>
      <c r="AF49" s="70"/>
      <c r="AG49" s="70"/>
      <c r="AH49" s="70"/>
      <c r="AI49" s="70"/>
      <c r="AJ49" s="28"/>
      <c r="AK49" s="28"/>
      <c r="AL49" s="28"/>
      <c r="AM49" s="28"/>
      <c r="AN49" s="28"/>
      <c r="AO49" s="28"/>
      <c r="AP49" s="31"/>
    </row>
    <row r="50" spans="1:42" ht="15.75" x14ac:dyDescent="0.25">
      <c r="A50" s="28"/>
      <c r="B50" s="70"/>
      <c r="C50" s="70"/>
      <c r="D50" s="70"/>
      <c r="E50" s="70"/>
      <c r="F50" s="101" t="s">
        <v>631</v>
      </c>
      <c r="G50" s="101"/>
      <c r="H50" s="101"/>
      <c r="I50" s="101"/>
      <c r="J50" s="101"/>
      <c r="K50" s="101"/>
      <c r="L50" s="79"/>
      <c r="M50" s="79"/>
      <c r="N50" s="79"/>
      <c r="O50" s="70"/>
      <c r="P50" s="70"/>
      <c r="Q50" s="70"/>
      <c r="R50" s="70"/>
      <c r="S50" s="70"/>
      <c r="T50" s="70"/>
      <c r="U50" s="70"/>
      <c r="V50" s="70"/>
      <c r="W50" s="101" t="s">
        <v>632</v>
      </c>
      <c r="X50" s="101"/>
      <c r="Y50" s="101"/>
      <c r="Z50" s="101"/>
      <c r="AA50" s="101"/>
      <c r="AB50" s="101"/>
      <c r="AC50" s="70"/>
      <c r="AD50" s="70"/>
      <c r="AE50" s="70"/>
      <c r="AF50" s="70"/>
      <c r="AG50" s="70"/>
      <c r="AH50" s="70"/>
      <c r="AI50" s="70"/>
      <c r="AJ50" s="28"/>
      <c r="AK50" s="28"/>
      <c r="AL50" s="28"/>
      <c r="AM50" s="28"/>
      <c r="AN50" s="28"/>
      <c r="AO50" s="28"/>
      <c r="AP50" s="31"/>
    </row>
    <row r="51" spans="1:42" x14ac:dyDescent="0.25">
      <c r="A51" s="28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28"/>
      <c r="AK51" s="28"/>
      <c r="AL51" s="28"/>
      <c r="AM51" s="28"/>
      <c r="AN51" s="28"/>
      <c r="AO51" s="28"/>
      <c r="AP51" s="31"/>
    </row>
    <row r="52" spans="1:42" x14ac:dyDescent="0.25">
      <c r="A52" s="28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28"/>
      <c r="AK52" s="28"/>
      <c r="AL52" s="28"/>
      <c r="AM52" s="28"/>
      <c r="AN52" s="28"/>
      <c r="AO52" s="28"/>
      <c r="AP52" s="31"/>
    </row>
    <row r="53" spans="1:42" x14ac:dyDescent="0.25">
      <c r="A53" s="28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28"/>
      <c r="AK53" s="28"/>
      <c r="AL53" s="28"/>
      <c r="AM53" s="28"/>
      <c r="AN53" s="28"/>
      <c r="AO53" s="28"/>
      <c r="AP53" s="31"/>
    </row>
    <row r="54" spans="1:42" x14ac:dyDescent="0.25">
      <c r="A54" s="28"/>
      <c r="B54" s="70"/>
      <c r="C54" s="70"/>
      <c r="D54" s="70"/>
      <c r="E54" s="70"/>
      <c r="F54" s="81"/>
      <c r="G54" s="81"/>
      <c r="H54" s="81"/>
      <c r="I54" s="81"/>
      <c r="J54" s="81"/>
      <c r="K54" s="81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81"/>
      <c r="X54" s="81"/>
      <c r="Y54" s="81"/>
      <c r="Z54" s="81"/>
      <c r="AA54" s="81"/>
      <c r="AB54" s="81"/>
      <c r="AC54" s="70"/>
      <c r="AD54" s="70"/>
      <c r="AE54" s="70"/>
      <c r="AF54" s="70"/>
      <c r="AG54" s="70"/>
      <c r="AH54" s="70"/>
      <c r="AI54" s="70"/>
      <c r="AJ54" s="28"/>
      <c r="AK54" s="28"/>
      <c r="AL54" s="28"/>
      <c r="AM54" s="28"/>
      <c r="AN54" s="28"/>
      <c r="AO54" s="28"/>
      <c r="AP54" s="31"/>
    </row>
    <row r="55" spans="1:42" x14ac:dyDescent="0.25">
      <c r="A55" s="28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28"/>
      <c r="AK55" s="28"/>
      <c r="AL55" s="28"/>
      <c r="AM55" s="28"/>
      <c r="AN55" s="28"/>
      <c r="AO55" s="28"/>
      <c r="AP55" s="31"/>
    </row>
    <row r="56" spans="1:42" ht="15.75" x14ac:dyDescent="0.25">
      <c r="A56" s="28"/>
      <c r="B56" s="70"/>
      <c r="C56" s="70"/>
      <c r="D56" s="70"/>
      <c r="E56" s="70"/>
      <c r="F56" s="101" t="s">
        <v>542</v>
      </c>
      <c r="G56" s="101"/>
      <c r="H56" s="101"/>
      <c r="I56" s="101"/>
      <c r="J56" s="101"/>
      <c r="K56" s="101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101" t="s">
        <v>633</v>
      </c>
      <c r="X56" s="101"/>
      <c r="Y56" s="101"/>
      <c r="Z56" s="101"/>
      <c r="AA56" s="101"/>
      <c r="AB56" s="101"/>
      <c r="AC56" s="70"/>
      <c r="AD56" s="70"/>
      <c r="AE56" s="70"/>
      <c r="AF56" s="70"/>
      <c r="AG56" s="70"/>
      <c r="AH56" s="70"/>
      <c r="AI56" s="70"/>
      <c r="AJ56" s="28"/>
      <c r="AK56" s="28"/>
      <c r="AL56" s="28"/>
      <c r="AM56" s="28"/>
      <c r="AN56" s="28"/>
      <c r="AO56" s="28"/>
      <c r="AP56" s="31"/>
    </row>
  </sheetData>
  <mergeCells count="18">
    <mergeCell ref="F56:K56"/>
    <mergeCell ref="W56:AB56"/>
    <mergeCell ref="AM3:AM4"/>
    <mergeCell ref="AN3:AN4"/>
    <mergeCell ref="AO3:AO4"/>
    <mergeCell ref="AP3:AP4"/>
    <mergeCell ref="F50:K50"/>
    <mergeCell ref="W50:AB50"/>
    <mergeCell ref="C1:AK1"/>
    <mergeCell ref="AN1:AO1"/>
    <mergeCell ref="R2:S2"/>
    <mergeCell ref="U2:W2"/>
    <mergeCell ref="AL3:AL4"/>
    <mergeCell ref="B3:B4"/>
    <mergeCell ref="C3:C4"/>
    <mergeCell ref="AI3:AI4"/>
    <mergeCell ref="AJ3:AJ4"/>
    <mergeCell ref="AK3:AK4"/>
  </mergeCells>
  <conditionalFormatting sqref="C8">
    <cfRule type="duplicateValues" dxfId="38" priority="41"/>
  </conditionalFormatting>
  <conditionalFormatting sqref="C9">
    <cfRule type="duplicateValues" dxfId="37" priority="43"/>
  </conditionalFormatting>
  <conditionalFormatting sqref="C10:C12">
    <cfRule type="duplicateValues" dxfId="36" priority="42"/>
  </conditionalFormatting>
  <conditionalFormatting sqref="C14">
    <cfRule type="duplicateValues" dxfId="35" priority="34"/>
  </conditionalFormatting>
  <conditionalFormatting sqref="C15">
    <cfRule type="duplicateValues" dxfId="34" priority="33"/>
  </conditionalFormatting>
  <conditionalFormatting sqref="C24">
    <cfRule type="duplicateValues" dxfId="33" priority="32"/>
  </conditionalFormatting>
  <conditionalFormatting sqref="D27:AF27">
    <cfRule type="containsText" dxfId="32" priority="49" operator="containsText" text="CN">
      <formula>NOT(ISERROR(SEARCH("CN",D27)))</formula>
    </cfRule>
  </conditionalFormatting>
  <conditionalFormatting sqref="D6:AH13 D28:AH35">
    <cfRule type="containsText" dxfId="31" priority="36" operator="containsText" text="CN">
      <formula>NOT(ISERROR(SEARCH("CN",D6)))</formula>
    </cfRule>
    <cfRule type="containsText" dxfId="30" priority="37" operator="containsText" text="1/2P">
      <formula>NOT(ISERROR(SEARCH("1/2P",D6)))</formula>
    </cfRule>
    <cfRule type="containsText" dxfId="29" priority="38" operator="containsText" text="1/2">
      <formula>NOT(ISERROR(SEARCH("1/2",D6)))</formula>
    </cfRule>
    <cfRule type="containsText" dxfId="28" priority="39" operator="containsText" text="P">
      <formula>NOT(ISERROR(SEARCH("P",D6)))</formula>
    </cfRule>
    <cfRule type="containsText" dxfId="27" priority="40" operator="containsText" text="v">
      <formula>NOT(ISERROR(SEARCH("v",D6)))</formula>
    </cfRule>
  </conditionalFormatting>
  <conditionalFormatting sqref="D6:AH13">
    <cfRule type="containsText" dxfId="26" priority="35" operator="containsText" text="1/2CP">
      <formula>NOT(ISERROR(SEARCH("1/2CP",D6)))</formula>
    </cfRule>
  </conditionalFormatting>
  <conditionalFormatting sqref="D15:AH26">
    <cfRule type="containsText" dxfId="25" priority="3" operator="containsText" text="CN">
      <formula>NOT(ISERROR(SEARCH("CN",D15)))</formula>
    </cfRule>
    <cfRule type="containsText" dxfId="24" priority="4" operator="containsText" text="1/2P">
      <formula>NOT(ISERROR(SEARCH("1/2P",D15)))</formula>
    </cfRule>
    <cfRule type="containsText" dxfId="23" priority="5" operator="containsText" text="1/2">
      <formula>NOT(ISERROR(SEARCH("1/2",D15)))</formula>
    </cfRule>
    <cfRule type="containsText" dxfId="22" priority="6" operator="containsText" text="P">
      <formula>NOT(ISERROR(SEARCH("P",D15)))</formula>
    </cfRule>
    <cfRule type="containsText" dxfId="21" priority="7" operator="containsText" text="v">
      <formula>NOT(ISERROR(SEARCH("v",D15)))</formula>
    </cfRule>
  </conditionalFormatting>
  <conditionalFormatting sqref="D15:AH35">
    <cfRule type="containsText" dxfId="20" priority="1" operator="containsText" text="1/2CP">
      <formula>NOT(ISERROR(SEARCH("1/2CP",D15)))</formula>
    </cfRule>
  </conditionalFormatting>
  <conditionalFormatting sqref="D27:AH27">
    <cfRule type="containsText" dxfId="19" priority="50" operator="containsText" text="1/2P">
      <formula>NOT(ISERROR(SEARCH("1/2P",D27)))</formula>
    </cfRule>
    <cfRule type="containsText" dxfId="18" priority="51" operator="containsText" text="1/2">
      <formula>NOT(ISERROR(SEARCH("1/2",D27)))</formula>
    </cfRule>
    <cfRule type="containsText" dxfId="17" priority="53" operator="containsText" text="v">
      <formula>NOT(ISERROR(SEARCH("v",D27)))</formula>
    </cfRule>
  </conditionalFormatting>
  <conditionalFormatting sqref="D14:AP14">
    <cfRule type="containsText" dxfId="16" priority="26" operator="containsText" text="1/2CP">
      <formula>NOT(ISERROR(SEARCH("1/2CP",D14)))</formula>
    </cfRule>
    <cfRule type="containsText" dxfId="15" priority="27" operator="containsText" text="CN">
      <formula>NOT(ISERROR(SEARCH("CN",D14)))</formula>
    </cfRule>
    <cfRule type="containsText" dxfId="14" priority="28" operator="containsText" text="1/2P">
      <formula>NOT(ISERROR(SEARCH("1/2P",D14)))</formula>
    </cfRule>
    <cfRule type="containsText" dxfId="13" priority="29" operator="containsText" text="1/2">
      <formula>NOT(ISERROR(SEARCH("1/2",D14)))</formula>
    </cfRule>
    <cfRule type="containsText" dxfId="12" priority="31" operator="containsText" text="v">
      <formula>NOT(ISERROR(SEARCH("v",D14)))</formula>
    </cfRule>
  </conditionalFormatting>
  <conditionalFormatting sqref="E27:AH27">
    <cfRule type="containsText" dxfId="11" priority="52" operator="containsText" text="P">
      <formula>NOT(ISERROR(SEARCH("P",E27)))</formula>
    </cfRule>
  </conditionalFormatting>
  <conditionalFormatting sqref="E14:AP14">
    <cfRule type="containsText" dxfId="10" priority="30" operator="containsText" text="P">
      <formula>NOT(ISERROR(SEARCH("P",E14)))</formula>
    </cfRule>
  </conditionalFormatting>
  <conditionalFormatting sqref="AI27:AK27">
    <cfRule type="containsText" dxfId="9" priority="44" operator="containsText" text="1/2CP">
      <formula>NOT(ISERROR(SEARCH("1/2CP",AI27)))</formula>
    </cfRule>
    <cfRule type="containsText" dxfId="8" priority="45" operator="containsText" text="1/2P">
      <formula>NOT(ISERROR(SEARCH("1/2P",AI27)))</formula>
    </cfRule>
    <cfRule type="containsText" dxfId="7" priority="46" operator="containsText" text="1/2">
      <formula>NOT(ISERROR(SEARCH("1/2",AI27)))</formula>
    </cfRule>
    <cfRule type="containsText" dxfId="6" priority="47" operator="containsText" text="P">
      <formula>NOT(ISERROR(SEARCH("P",AI27)))</formula>
    </cfRule>
    <cfRule type="containsText" dxfId="5" priority="48" operator="containsText" text="v">
      <formula>NOT(ISERROR(SEARCH("v",AI27)))</formula>
    </cfRule>
  </conditionalFormatting>
  <conditionalFormatting sqref="AI3:AP3">
    <cfRule type="expression" dxfId="4" priority="54" stopIfTrue="1">
      <formula>"weekdey(r2,u2,1)&gt;5"</formula>
    </cfRule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A4E23-A01B-4367-9EC2-FB41B0BE8399}">
  <dimension ref="A1:AI152"/>
  <sheetViews>
    <sheetView topLeftCell="A90" workbookViewId="0">
      <selection activeCell="M17" sqref="M17"/>
    </sheetView>
  </sheetViews>
  <sheetFormatPr defaultRowHeight="15" x14ac:dyDescent="0.25"/>
  <cols>
    <col min="1" max="1" width="12.140625" bestFit="1" customWidth="1"/>
    <col min="2" max="2" width="11" bestFit="1" customWidth="1"/>
    <col min="3" max="3" width="23" bestFit="1" customWidth="1"/>
    <col min="4" max="4" width="10.140625" bestFit="1" customWidth="1"/>
    <col min="5" max="5" width="11.7109375" customWidth="1"/>
    <col min="6" max="6" width="20.85546875" bestFit="1" customWidth="1"/>
    <col min="7" max="7" width="19.5703125" customWidth="1"/>
    <col min="8" max="8" width="11.42578125" style="90" bestFit="1" customWidth="1"/>
    <col min="9" max="10" width="7.85546875" bestFit="1" customWidth="1"/>
    <col min="11" max="11" width="11.7109375" customWidth="1"/>
    <col min="12" max="12" width="10" customWidth="1"/>
    <col min="13" max="13" width="11.7109375" customWidth="1"/>
    <col min="14" max="14" width="7.42578125" customWidth="1"/>
    <col min="15" max="17" width="10" customWidth="1"/>
    <col min="18" max="18" width="8" customWidth="1"/>
    <col min="19" max="19" width="19.7109375" bestFit="1" customWidth="1"/>
    <col min="20" max="20" width="12.140625" customWidth="1"/>
    <col min="21" max="21" width="12.140625" style="82" customWidth="1"/>
    <col min="22" max="22" width="13.42578125" bestFit="1" customWidth="1"/>
    <col min="23" max="23" width="13.7109375" style="10" bestFit="1" customWidth="1"/>
    <col min="24" max="24" width="13.42578125" style="10" customWidth="1"/>
    <col min="25" max="25" width="13.140625" style="10" bestFit="1" customWidth="1"/>
    <col min="26" max="26" width="11.85546875" style="10" bestFit="1" customWidth="1"/>
    <col min="28" max="28" width="9.140625" style="12"/>
    <col min="29" max="29" width="16" style="12" bestFit="1" customWidth="1"/>
    <col min="30" max="30" width="9.140625" style="12"/>
    <col min="32" max="32" width="18.140625" style="24" bestFit="1" customWidth="1"/>
    <col min="33" max="33" width="43.7109375" style="24" bestFit="1" customWidth="1"/>
    <col min="34" max="34" width="27.42578125" bestFit="1" customWidth="1"/>
    <col min="35" max="35" width="65.140625" bestFit="1" customWidth="1"/>
  </cols>
  <sheetData>
    <row r="1" spans="1:35" ht="13.5" customHeight="1" x14ac:dyDescent="0.25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8"/>
      <c r="R1" s="84" t="s">
        <v>18</v>
      </c>
      <c r="S1" s="84" t="s">
        <v>92</v>
      </c>
      <c r="T1" s="84" t="s">
        <v>219</v>
      </c>
      <c r="U1" s="84" t="s">
        <v>253</v>
      </c>
      <c r="V1" s="84" t="s">
        <v>276</v>
      </c>
      <c r="W1" s="84" t="s">
        <v>358</v>
      </c>
      <c r="X1" s="84" t="s">
        <v>464</v>
      </c>
      <c r="Y1" s="84" t="s">
        <v>466</v>
      </c>
      <c r="Z1" s="84" t="s">
        <v>467</v>
      </c>
      <c r="AA1" s="84" t="s">
        <v>74</v>
      </c>
      <c r="AB1" s="84" t="s">
        <v>75</v>
      </c>
      <c r="AC1" s="84" t="s">
        <v>76</v>
      </c>
      <c r="AD1" s="84" t="s">
        <v>77</v>
      </c>
      <c r="AE1" s="84" t="s">
        <v>78</v>
      </c>
      <c r="AF1" s="84" t="s">
        <v>80</v>
      </c>
      <c r="AG1" s="84" t="s">
        <v>82</v>
      </c>
      <c r="AH1" s="84" t="s">
        <v>84</v>
      </c>
      <c r="AI1" s="84" t="s">
        <v>86</v>
      </c>
    </row>
    <row r="2" spans="1:35" s="18" customFormat="1" ht="30" x14ac:dyDescent="0.25">
      <c r="A2" s="14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9</v>
      </c>
      <c r="J2" s="15" t="s">
        <v>10</v>
      </c>
      <c r="K2" s="15" t="s">
        <v>11</v>
      </c>
      <c r="L2" s="15" t="s">
        <v>12</v>
      </c>
      <c r="M2" s="15" t="s">
        <v>13</v>
      </c>
      <c r="N2" s="15" t="s">
        <v>14</v>
      </c>
      <c r="O2" s="15" t="s">
        <v>15</v>
      </c>
      <c r="P2" s="15" t="s">
        <v>16</v>
      </c>
      <c r="Q2" s="15" t="s">
        <v>17</v>
      </c>
      <c r="R2" s="16" t="s">
        <v>635</v>
      </c>
      <c r="S2" s="16" t="s">
        <v>551</v>
      </c>
      <c r="T2" s="16" t="s">
        <v>557</v>
      </c>
      <c r="U2" s="83" t="s">
        <v>634</v>
      </c>
      <c r="V2" s="16" t="s">
        <v>556</v>
      </c>
      <c r="W2" s="17" t="s">
        <v>564</v>
      </c>
      <c r="X2" s="17" t="s">
        <v>565</v>
      </c>
      <c r="Y2" s="17" t="s">
        <v>567</v>
      </c>
      <c r="Z2" s="17" t="s">
        <v>568</v>
      </c>
      <c r="AA2" s="18" t="s">
        <v>562</v>
      </c>
      <c r="AB2" s="13" t="s">
        <v>563</v>
      </c>
      <c r="AC2" s="13" t="s">
        <v>595</v>
      </c>
      <c r="AD2" s="13" t="s">
        <v>101</v>
      </c>
      <c r="AE2" s="13" t="s">
        <v>569</v>
      </c>
      <c r="AF2" s="25" t="s">
        <v>598</v>
      </c>
      <c r="AG2" s="25" t="s">
        <v>599</v>
      </c>
      <c r="AH2" s="13" t="s">
        <v>596</v>
      </c>
      <c r="AI2" s="13" t="s">
        <v>597</v>
      </c>
    </row>
    <row r="3" spans="1:35" x14ac:dyDescent="0.25">
      <c r="A3" s="4" t="s">
        <v>113</v>
      </c>
      <c r="B3" s="1" t="s">
        <v>114</v>
      </c>
      <c r="C3" s="1" t="s">
        <v>19</v>
      </c>
      <c r="D3" s="1" t="s">
        <v>20</v>
      </c>
      <c r="E3" s="1" t="s">
        <v>21</v>
      </c>
      <c r="F3" s="1" t="s">
        <v>22</v>
      </c>
      <c r="G3" s="1" t="s">
        <v>12</v>
      </c>
      <c r="H3" s="1" t="s">
        <v>23</v>
      </c>
      <c r="I3" s="1" t="s">
        <v>23</v>
      </c>
      <c r="J3" s="1" t="s">
        <v>24</v>
      </c>
      <c r="K3" s="1" t="s">
        <v>24</v>
      </c>
      <c r="L3" s="1" t="s">
        <v>25</v>
      </c>
      <c r="M3" s="1" t="s">
        <v>24</v>
      </c>
      <c r="N3" s="1" t="s">
        <v>24</v>
      </c>
      <c r="O3" s="1" t="s">
        <v>24</v>
      </c>
      <c r="P3" s="1" t="s">
        <v>24</v>
      </c>
      <c r="Q3" s="1" t="s">
        <v>24</v>
      </c>
      <c r="R3" s="85" t="str">
        <f t="shared" ref="R3:R18" si="0">A3&amp;U3</f>
        <v>2145901</v>
      </c>
      <c r="S3" t="str">
        <f>VLOOKUP(A3,Data_NV!$A:$C,3,0)</f>
        <v>Phạm Anh Vũ</v>
      </c>
      <c r="T3" t="str">
        <f>VLOOKUP(A3,Data_NV!$A:$E,4,0)</f>
        <v>Kế toán - Văn phòng</v>
      </c>
      <c r="U3" s="82">
        <f>DATEVALUE(Table2[[#This Row],[Ngày]])</f>
        <v>45901</v>
      </c>
      <c r="V3" t="str">
        <f>VLOOKUP(A3,Data_NV!$A:$E,5,0)</f>
        <v>Đang làm việc</v>
      </c>
      <c r="W3" s="10">
        <f>VLOOKUP(A3,Data_NV!$A:$I,8,0)</f>
        <v>0.33333333333333331</v>
      </c>
      <c r="X3" s="10">
        <f>VLOOKUP(A3,Data_NV!$A:$I,9,0)</f>
        <v>0.70833333333333337</v>
      </c>
      <c r="Y3" s="10">
        <f>IFERROR(TIMEVALUE(Table2[[#This Row],[Vào]]),0)</f>
        <v>0</v>
      </c>
      <c r="Z3" s="10">
        <f>IFERROR(TIMEVALUE(Table2[[#This Row],[Ra]]),0)</f>
        <v>0</v>
      </c>
      <c r="AA3" s="95" t="s">
        <v>623</v>
      </c>
      <c r="AB3" s="12">
        <f t="shared" ref="AB3:AB32" si="1">IF(Y3&lt;=W3,0,ROUNDDOWN((Y3-W3)*24*60,0))</f>
        <v>0</v>
      </c>
      <c r="AC3" s="12" t="str">
        <f>IF(VLOOKUP(A3,Data_NV!$A:$I,7,0)="Không","",IF(OR(AND(Y3=0,Z3=0),AND(Y3&lt;&gt;0,Z3&lt;&gt;0)),"","Quên chấm công"))</f>
        <v/>
      </c>
      <c r="AD3" s="12">
        <f>IF(VLOOKUP(A3,Data_NV!$A:$I,7,0)="Không",0,IF(AND(Y3=0,Z3=0),0,IF(X3&lt;=Z3,0,ROUNDDOWN((X3-Z3)*24*60,0))))</f>
        <v>0</v>
      </c>
      <c r="AE3" s="12">
        <f>IF(VLOOKUP(A3,Data_NV!$A:$I,6,0)="Không",0,IF(Z3&lt;=X3,0,ROUNDDOWN((Z3-X3)*24*60,0)))</f>
        <v>0</v>
      </c>
      <c r="AF3" s="26">
        <f t="shared" ref="AF3:AF18" si="2">IF(AB3&gt;60,"Trừ 1/2 ngày lương",IF(AB3&gt;15,50000,IF(AB3&gt;6,30000,0)))</f>
        <v>0</v>
      </c>
      <c r="AG3" s="27" t="str">
        <f>IF(AC3="","",IF(COUNTIFS($AC$3:AC3,"Quên chấm công",$S$3:S3,S3)&gt;3,"Không chấm công do vi phạm quá 3 lần",IF(COUNTIFS($AC$3:AC3,"Quên chấm công",$S$3:S3,S3)&gt;2,"Trừ toàn bộ chuyên cần tháng do vi phạm lần 3",IF(COUNTIFS($AC$3:AC3,"Quên chấm công",$S$3:S3,S3)&gt;1,"Trừ 1/2 ngày lương",50000))))</f>
        <v/>
      </c>
      <c r="AH3" s="12" t="str">
        <f>IF(AF3=0,"",IF(COUNTIFS($AF$3:AF3,"&gt;0",$S$3:S3,S3)&gt;3,"Trừ toàn bộ chuyên cần tháng",""))</f>
        <v/>
      </c>
      <c r="AI3" s="96" t="s">
        <v>637</v>
      </c>
    </row>
    <row r="4" spans="1:35" x14ac:dyDescent="0.25">
      <c r="A4" s="4" t="s">
        <v>113</v>
      </c>
      <c r="B4" s="1" t="s">
        <v>114</v>
      </c>
      <c r="C4" s="1" t="s">
        <v>19</v>
      </c>
      <c r="D4" s="1" t="s">
        <v>26</v>
      </c>
      <c r="E4" s="1" t="s">
        <v>21</v>
      </c>
      <c r="F4" s="1" t="s">
        <v>22</v>
      </c>
      <c r="G4" s="1" t="s">
        <v>12</v>
      </c>
      <c r="H4" s="1" t="s">
        <v>23</v>
      </c>
      <c r="I4" s="1" t="s">
        <v>23</v>
      </c>
      <c r="J4" s="1" t="s">
        <v>24</v>
      </c>
      <c r="K4" s="1" t="s">
        <v>24</v>
      </c>
      <c r="L4" s="1" t="s">
        <v>25</v>
      </c>
      <c r="M4" s="1" t="s">
        <v>24</v>
      </c>
      <c r="N4" s="1" t="s">
        <v>24</v>
      </c>
      <c r="O4" s="1" t="s">
        <v>24</v>
      </c>
      <c r="P4" s="1" t="s">
        <v>24</v>
      </c>
      <c r="Q4" s="1" t="s">
        <v>24</v>
      </c>
      <c r="R4" s="85" t="str">
        <f t="shared" si="0"/>
        <v>2145902</v>
      </c>
      <c r="S4" t="str">
        <f>VLOOKUP(A4,Data_NV!$A:$C,3,0)</f>
        <v>Phạm Anh Vũ</v>
      </c>
      <c r="T4" t="str">
        <f>VLOOKUP(A4,Data_NV!$A:$E,4,0)</f>
        <v>Kế toán - Văn phòng</v>
      </c>
      <c r="U4" s="82">
        <f>DATEVALUE(Table2[[#This Row],[Ngày]])</f>
        <v>45902</v>
      </c>
      <c r="V4" t="str">
        <f>VLOOKUP(A4,Data_NV!$A:$E,5,0)</f>
        <v>Đang làm việc</v>
      </c>
      <c r="W4" s="10">
        <f>VLOOKUP(A4,Data_NV!$A:$I,8,0)</f>
        <v>0.33333333333333331</v>
      </c>
      <c r="X4" s="10">
        <f>VLOOKUP(A4,Data_NV!$A:$I,9,0)</f>
        <v>0.70833333333333337</v>
      </c>
      <c r="Y4" s="10">
        <f>IFERROR(TIMEVALUE(Table2[[#This Row],[Vào]]),0)</f>
        <v>0</v>
      </c>
      <c r="Z4" s="10">
        <f>IFERROR(TIMEVALUE(Table2[[#This Row],[Ra]]),0)</f>
        <v>0</v>
      </c>
      <c r="AA4" s="95" t="s">
        <v>623</v>
      </c>
      <c r="AB4" s="12">
        <f t="shared" si="1"/>
        <v>0</v>
      </c>
      <c r="AC4" s="12" t="str">
        <f>IF(VLOOKUP(A4,Data_NV!$A:$I,7,0)="Không","",IF(OR(AND(Y4=0,Z4=0),AND(Y4&lt;&gt;0,Z4&lt;&gt;0)),"","Quên chấm công"))</f>
        <v/>
      </c>
      <c r="AD4" s="12">
        <f>IF(VLOOKUP(A4,Data_NV!$A:$I,7,0)="Không",0,IF(AND(Y4=0,Z4=0),0,IF(X4&lt;=Z4,0,ROUNDDOWN((X4-Z4)*24*60,0))))</f>
        <v>0</v>
      </c>
      <c r="AE4" s="12">
        <f>IF(VLOOKUP(A4,Data_NV!$A:$I,6,0)="Không",0,IF(Z4&lt;=X4,0,ROUNDDOWN((Z4-X4)*24*60,0)))</f>
        <v>0</v>
      </c>
      <c r="AF4" s="26">
        <f t="shared" si="2"/>
        <v>0</v>
      </c>
      <c r="AG4" s="27" t="str">
        <f>IF(AC4="","",IF(COUNTIFS($AC$3:AC4,"Quên chấm công",$S$3:S4,S4)&gt;3,"Không chấm công do vi phạm quá 3 lần",IF(COUNTIFS($AC$3:AC4,"Quên chấm công",$S$3:S4,S4)&gt;2,"Trừ toàn bộ chuyên cần tháng do vi phạm lần 3",IF(COUNTIFS($AC$3:AC4,"Quên chấm công",$S$3:S4,S4)&gt;1,"Trừ 1/2 ngày lương",50000))))</f>
        <v/>
      </c>
      <c r="AH4" s="12" t="str">
        <f>IF(AF4=0,"",IF(COUNTIFS($AF$3:AF4,"&gt;0",$S$3:S4,S4)&gt;3,"Trừ toàn bộ chuyên cần tháng",""))</f>
        <v/>
      </c>
      <c r="AI4" s="96" t="s">
        <v>637</v>
      </c>
    </row>
    <row r="5" spans="1:35" x14ac:dyDescent="0.25">
      <c r="A5" s="4" t="s">
        <v>113</v>
      </c>
      <c r="B5" s="1" t="s">
        <v>114</v>
      </c>
      <c r="C5" s="1" t="s">
        <v>19</v>
      </c>
      <c r="D5" s="1" t="s">
        <v>27</v>
      </c>
      <c r="E5" s="1" t="s">
        <v>21</v>
      </c>
      <c r="F5" s="1" t="s">
        <v>22</v>
      </c>
      <c r="G5" s="1" t="s">
        <v>12</v>
      </c>
      <c r="H5" s="1" t="s">
        <v>23</v>
      </c>
      <c r="I5" s="1" t="s">
        <v>23</v>
      </c>
      <c r="J5" s="1" t="s">
        <v>24</v>
      </c>
      <c r="K5" s="1" t="s">
        <v>24</v>
      </c>
      <c r="L5" s="1" t="s">
        <v>25</v>
      </c>
      <c r="M5" s="1" t="s">
        <v>24</v>
      </c>
      <c r="N5" s="1" t="s">
        <v>24</v>
      </c>
      <c r="O5" s="1" t="s">
        <v>24</v>
      </c>
      <c r="P5" s="1" t="s">
        <v>24</v>
      </c>
      <c r="Q5" s="1" t="s">
        <v>24</v>
      </c>
      <c r="R5" s="85" t="str">
        <f t="shared" si="0"/>
        <v>2145903</v>
      </c>
      <c r="S5" t="str">
        <f>VLOOKUP(A5,Data_NV!$A:$C,3,0)</f>
        <v>Phạm Anh Vũ</v>
      </c>
      <c r="T5" t="str">
        <f>VLOOKUP(A5,Data_NV!$A:$E,4,0)</f>
        <v>Kế toán - Văn phòng</v>
      </c>
      <c r="U5" s="82">
        <f>DATEVALUE(Table2[[#This Row],[Ngày]])</f>
        <v>45903</v>
      </c>
      <c r="V5" t="str">
        <f>VLOOKUP(A5,Data_NV!$A:$E,5,0)</f>
        <v>Đang làm việc</v>
      </c>
      <c r="W5" s="10">
        <f>VLOOKUP(A5,Data_NV!$A:$I,8,0)</f>
        <v>0.33333333333333331</v>
      </c>
      <c r="X5" s="10">
        <f>VLOOKUP(A5,Data_NV!$A:$I,9,0)</f>
        <v>0.70833333333333337</v>
      </c>
      <c r="Y5" s="10">
        <f>IFERROR(TIMEVALUE(Table2[[#This Row],[Vào]]),0)</f>
        <v>0</v>
      </c>
      <c r="Z5" s="10">
        <f>IFERROR(TIMEVALUE(Table2[[#This Row],[Ra]]),0)</f>
        <v>0</v>
      </c>
      <c r="AA5" t="str">
        <f t="shared" ref="AA5:AA18" si="3">IF(TEXT($U5,"ddd")="CN","Chủ nhật",IF(OR(AND(Y5=0,Z5=0),AG5="Không chấm công do vi phạm quá 3 lần"),"",IF(OR(AG5="Trừ 1/2 ngày lương",AF5="Trừ 1/2 ngày lương",AB5&gt;=60),"1/2","x")))</f>
        <v/>
      </c>
      <c r="AB5" s="12">
        <f t="shared" si="1"/>
        <v>0</v>
      </c>
      <c r="AC5" s="12" t="str">
        <f>IF(VLOOKUP(A5,Data_NV!$A:$I,7,0)="Không","",IF(OR(AND(Y5=0,Z5=0),AND(Y5&lt;&gt;0,Z5&lt;&gt;0)),"","Quên chấm công"))</f>
        <v/>
      </c>
      <c r="AD5" s="12">
        <f>IF(VLOOKUP(A5,Data_NV!$A:$I,7,0)="Không",0,IF(AND(Y5=0,Z5=0),0,IF(X5&lt;=Z5,0,ROUNDDOWN((X5-Z5)*24*60,0))))</f>
        <v>0</v>
      </c>
      <c r="AE5" s="12">
        <f>IF(VLOOKUP(A5,Data_NV!$A:$I,6,0)="Không",0,IF(Z5&lt;=X5,0,ROUNDDOWN((Z5-X5)*24*60,0)))</f>
        <v>0</v>
      </c>
      <c r="AF5" s="26">
        <f t="shared" si="2"/>
        <v>0</v>
      </c>
      <c r="AG5" s="27" t="str">
        <f>IF(AC5="","",IF(COUNTIFS($AC$3:AC5,"Quên chấm công",$S$3:S5,S5)&gt;3,"Không chấm công do vi phạm quá 3 lần",IF(COUNTIFS($AC$3:AC5,"Quên chấm công",$S$3:S5,S5)&gt;2,"Trừ toàn bộ chuyên cần tháng do vi phạm lần 3",IF(COUNTIFS($AC$3:AC5,"Quên chấm công",$S$3:S5,S5)&gt;1,"Trừ 1/2 ngày lương",50000))))</f>
        <v/>
      </c>
      <c r="AH5" s="12" t="str">
        <f>IF(AF5=0,"",IF(COUNTIFS($AF$3:AF5,"&gt;0",$S$3:S5,S5)&gt;3,"Trừ toàn bộ chuyên cần tháng",""))</f>
        <v/>
      </c>
      <c r="AI5" s="12"/>
    </row>
    <row r="6" spans="1:35" x14ac:dyDescent="0.25">
      <c r="A6" s="4" t="s">
        <v>113</v>
      </c>
      <c r="B6" s="1" t="s">
        <v>114</v>
      </c>
      <c r="C6" s="1" t="s">
        <v>19</v>
      </c>
      <c r="D6" s="1" t="s">
        <v>30</v>
      </c>
      <c r="E6" s="1" t="s">
        <v>21</v>
      </c>
      <c r="F6" s="1" t="s">
        <v>22</v>
      </c>
      <c r="G6" s="1" t="s">
        <v>28</v>
      </c>
      <c r="H6" s="1" t="s">
        <v>115</v>
      </c>
      <c r="I6" s="1" t="s">
        <v>116</v>
      </c>
      <c r="J6" s="1" t="s">
        <v>24</v>
      </c>
      <c r="K6" s="1" t="s">
        <v>107</v>
      </c>
      <c r="L6" s="1" t="s">
        <v>24</v>
      </c>
      <c r="M6" s="1" t="s">
        <v>25</v>
      </c>
      <c r="N6" s="1" t="s">
        <v>24</v>
      </c>
      <c r="O6" s="1" t="s">
        <v>108</v>
      </c>
      <c r="P6" s="1" t="s">
        <v>24</v>
      </c>
      <c r="Q6" s="1" t="s">
        <v>24</v>
      </c>
      <c r="R6" s="85" t="str">
        <f t="shared" si="0"/>
        <v>2145904</v>
      </c>
      <c r="S6" t="str">
        <f>VLOOKUP(A6,Data_NV!$A:$C,3,0)</f>
        <v>Phạm Anh Vũ</v>
      </c>
      <c r="T6" t="str">
        <f>VLOOKUP(A6,Data_NV!$A:$E,4,0)</f>
        <v>Kế toán - Văn phòng</v>
      </c>
      <c r="U6" s="82">
        <f>DATEVALUE(Table2[[#This Row],[Ngày]])</f>
        <v>45904</v>
      </c>
      <c r="V6" t="str">
        <f>VLOOKUP(A6,Data_NV!$A:$E,5,0)</f>
        <v>Đang làm việc</v>
      </c>
      <c r="W6" s="10">
        <f>VLOOKUP(A6,Data_NV!$A:$I,8,0)</f>
        <v>0.33333333333333331</v>
      </c>
      <c r="X6" s="10">
        <f>VLOOKUP(A6,Data_NV!$A:$I,9,0)</f>
        <v>0.70833333333333337</v>
      </c>
      <c r="Y6" s="10">
        <f>IFERROR(TIMEVALUE(Table2[[#This Row],[Vào]]),0)</f>
        <v>0.32069444444444445</v>
      </c>
      <c r="Z6" s="10">
        <f>IFERROR(TIMEVALUE(Table2[[#This Row],[Ra]]),0)</f>
        <v>0.76547453703703705</v>
      </c>
      <c r="AA6" t="str">
        <f t="shared" si="3"/>
        <v>x</v>
      </c>
      <c r="AB6" s="12">
        <f t="shared" si="1"/>
        <v>0</v>
      </c>
      <c r="AC6" s="12" t="str">
        <f>IF(VLOOKUP(A6,Data_NV!$A:$I,7,0)="Không","",IF(OR(AND(Y6=0,Z6=0),AND(Y6&lt;&gt;0,Z6&lt;&gt;0)),"","Quên chấm công"))</f>
        <v/>
      </c>
      <c r="AD6" s="12">
        <f>IF(VLOOKUP(A6,Data_NV!$A:$I,7,0)="Không",0,IF(AND(Y6=0,Z6=0),0,IF(X6&lt;=Z6,0,ROUNDDOWN((X6-Z6)*24*60,0))))</f>
        <v>0</v>
      </c>
      <c r="AE6" s="12">
        <f>IF(VLOOKUP(A6,Data_NV!$A:$I,6,0)="Không",0,IF(Z6&lt;=X6,0,ROUNDDOWN((Z6-X6)*24*60,0)))</f>
        <v>82</v>
      </c>
      <c r="AF6" s="26">
        <f t="shared" si="2"/>
        <v>0</v>
      </c>
      <c r="AG6" s="27" t="str">
        <f>IF(AC6="","",IF(COUNTIFS($AC$3:AC6,"Quên chấm công",$S$3:S6,S6)&gt;3,"Không chấm công do vi phạm quá 3 lần",IF(COUNTIFS($AC$3:AC6,"Quên chấm công",$S$3:S6,S6)&gt;2,"Trừ toàn bộ chuyên cần tháng do vi phạm lần 3",IF(COUNTIFS($AC$3:AC6,"Quên chấm công",$S$3:S6,S6)&gt;1,"Trừ 1/2 ngày lương",50000))))</f>
        <v/>
      </c>
      <c r="AH6" s="12" t="str">
        <f>IF(AF6=0,"",IF(COUNTIFS($AF$3:AF6,"&gt;0",$S$3:S6,S6)&gt;3,"Trừ toàn bộ chuyên cần tháng",""))</f>
        <v/>
      </c>
      <c r="AI6" s="12"/>
    </row>
    <row r="7" spans="1:35" x14ac:dyDescent="0.25">
      <c r="A7" s="4" t="s">
        <v>113</v>
      </c>
      <c r="B7" s="1" t="s">
        <v>114</v>
      </c>
      <c r="C7" s="1" t="s">
        <v>19</v>
      </c>
      <c r="D7" s="1" t="s">
        <v>31</v>
      </c>
      <c r="E7" s="1" t="s">
        <v>21</v>
      </c>
      <c r="F7" s="1" t="s">
        <v>22</v>
      </c>
      <c r="G7" s="1" t="s">
        <v>10</v>
      </c>
      <c r="H7" s="1" t="s">
        <v>117</v>
      </c>
      <c r="I7" s="1" t="s">
        <v>118</v>
      </c>
      <c r="J7" s="1" t="s">
        <v>119</v>
      </c>
      <c r="K7" s="1" t="s">
        <v>120</v>
      </c>
      <c r="L7" s="1" t="s">
        <v>24</v>
      </c>
      <c r="M7" s="1" t="s">
        <v>25</v>
      </c>
      <c r="N7" s="1" t="s">
        <v>24</v>
      </c>
      <c r="O7" s="1" t="s">
        <v>121</v>
      </c>
      <c r="P7" s="1" t="s">
        <v>24</v>
      </c>
      <c r="Q7" s="1" t="s">
        <v>24</v>
      </c>
      <c r="R7" s="85" t="str">
        <f t="shared" si="0"/>
        <v>2145905</v>
      </c>
      <c r="S7" t="str">
        <f>VLOOKUP(A7,Data_NV!$A:$C,3,0)</f>
        <v>Phạm Anh Vũ</v>
      </c>
      <c r="T7" t="str">
        <f>VLOOKUP(A7,Data_NV!$A:$E,4,0)</f>
        <v>Kế toán - Văn phòng</v>
      </c>
      <c r="U7" s="82">
        <f>DATEVALUE(Table2[[#This Row],[Ngày]])</f>
        <v>45905</v>
      </c>
      <c r="V7" t="str">
        <f>VLOOKUP(A7,Data_NV!$A:$E,5,0)</f>
        <v>Đang làm việc</v>
      </c>
      <c r="W7" s="10">
        <f>VLOOKUP(A7,Data_NV!$A:$I,8,0)</f>
        <v>0.33333333333333331</v>
      </c>
      <c r="X7" s="10">
        <f>VLOOKUP(A7,Data_NV!$A:$I,9,0)</f>
        <v>0.70833333333333337</v>
      </c>
      <c r="Y7" s="10">
        <f>IFERROR(TIMEVALUE(Table2[[#This Row],[Vào]]),0)</f>
        <v>0.33427083333333335</v>
      </c>
      <c r="Z7" s="10">
        <f>IFERROR(TIMEVALUE(Table2[[#This Row],[Ra]]),0)</f>
        <v>0.78131944444444446</v>
      </c>
      <c r="AA7" t="str">
        <f t="shared" si="3"/>
        <v>x</v>
      </c>
      <c r="AB7" s="12">
        <f t="shared" si="1"/>
        <v>1</v>
      </c>
      <c r="AC7" s="12" t="str">
        <f>IF(VLOOKUP(A7,Data_NV!$A:$I,7,0)="Không","",IF(OR(AND(Y7=0,Z7=0),AND(Y7&lt;&gt;0,Z7&lt;&gt;0)),"","Quên chấm công"))</f>
        <v/>
      </c>
      <c r="AD7" s="12">
        <f>IF(VLOOKUP(A7,Data_NV!$A:$I,7,0)="Không",0,IF(AND(Y7=0,Z7=0),0,IF(X7&lt;=Z7,0,ROUNDDOWN((X7-Z7)*24*60,0))))</f>
        <v>0</v>
      </c>
      <c r="AE7" s="12">
        <f>IF(VLOOKUP(A7,Data_NV!$A:$I,6,0)="Không",0,IF(Z7&lt;=X7,0,ROUNDDOWN((Z7-X7)*24*60,0)))</f>
        <v>105</v>
      </c>
      <c r="AF7" s="26">
        <f t="shared" si="2"/>
        <v>0</v>
      </c>
      <c r="AG7" s="27" t="str">
        <f>IF(AC7="","",IF(COUNTIFS($AC$3:AC7,"Quên chấm công",$S$3:S7,S7)&gt;3,"Không chấm công do vi phạm quá 3 lần",IF(COUNTIFS($AC$3:AC7,"Quên chấm công",$S$3:S7,S7)&gt;2,"Trừ toàn bộ chuyên cần tháng do vi phạm lần 3",IF(COUNTIFS($AC$3:AC7,"Quên chấm công",$S$3:S7,S7)&gt;1,"Trừ 1/2 ngày lương",50000))))</f>
        <v/>
      </c>
      <c r="AH7" s="12" t="str">
        <f>IF(AF7=0,"",IF(COUNTIFS($AF$3:AF7,"&gt;0",$S$3:S7,S7)&gt;3,"Trừ toàn bộ chuyên cần tháng",""))</f>
        <v/>
      </c>
      <c r="AI7" s="12"/>
    </row>
    <row r="8" spans="1:35" x14ac:dyDescent="0.25">
      <c r="A8" s="4" t="s">
        <v>113</v>
      </c>
      <c r="B8" s="1" t="s">
        <v>114</v>
      </c>
      <c r="C8" s="1" t="s">
        <v>19</v>
      </c>
      <c r="D8" s="1" t="s">
        <v>32</v>
      </c>
      <c r="E8" s="1" t="s">
        <v>21</v>
      </c>
      <c r="F8" s="1" t="s">
        <v>22</v>
      </c>
      <c r="G8" s="1" t="s">
        <v>28</v>
      </c>
      <c r="H8" s="1" t="s">
        <v>122</v>
      </c>
      <c r="I8" s="1" t="s">
        <v>123</v>
      </c>
      <c r="J8" s="1" t="s">
        <v>24</v>
      </c>
      <c r="K8" s="1" t="s">
        <v>124</v>
      </c>
      <c r="L8" s="1" t="s">
        <v>24</v>
      </c>
      <c r="M8" s="1" t="s">
        <v>25</v>
      </c>
      <c r="N8" s="1" t="s">
        <v>24</v>
      </c>
      <c r="O8" s="1" t="s">
        <v>125</v>
      </c>
      <c r="P8" s="1" t="s">
        <v>24</v>
      </c>
      <c r="Q8" s="1" t="s">
        <v>24</v>
      </c>
      <c r="R8" s="85" t="str">
        <f t="shared" si="0"/>
        <v>2145906</v>
      </c>
      <c r="S8" t="str">
        <f>VLOOKUP(A8,Data_NV!$A:$C,3,0)</f>
        <v>Phạm Anh Vũ</v>
      </c>
      <c r="T8" t="str">
        <f>VLOOKUP(A8,Data_NV!$A:$E,4,0)</f>
        <v>Kế toán - Văn phòng</v>
      </c>
      <c r="U8" s="82">
        <f>DATEVALUE(Table2[[#This Row],[Ngày]])</f>
        <v>45906</v>
      </c>
      <c r="V8" t="str">
        <f>VLOOKUP(A8,Data_NV!$A:$E,5,0)</f>
        <v>Đang làm việc</v>
      </c>
      <c r="W8" s="10">
        <f>VLOOKUP(A8,Data_NV!$A:$I,8,0)</f>
        <v>0.33333333333333331</v>
      </c>
      <c r="X8" s="10">
        <f>VLOOKUP(A8,Data_NV!$A:$I,9,0)</f>
        <v>0.70833333333333337</v>
      </c>
      <c r="Y8" s="10">
        <f>IFERROR(TIMEVALUE(Table2[[#This Row],[Vào]]),0)</f>
        <v>0.33243055555555556</v>
      </c>
      <c r="Z8" s="10">
        <f>IFERROR(TIMEVALUE(Table2[[#This Row],[Ra]]),0)</f>
        <v>0.77818287037037037</v>
      </c>
      <c r="AA8" t="str">
        <f t="shared" si="3"/>
        <v>x</v>
      </c>
      <c r="AB8" s="12">
        <f t="shared" si="1"/>
        <v>0</v>
      </c>
      <c r="AC8" s="12" t="str">
        <f>IF(VLOOKUP(A8,Data_NV!$A:$I,7,0)="Không","",IF(OR(AND(Y8=0,Z8=0),AND(Y8&lt;&gt;0,Z8&lt;&gt;0)),"","Quên chấm công"))</f>
        <v/>
      </c>
      <c r="AD8" s="12">
        <f>IF(VLOOKUP(A8,Data_NV!$A:$I,7,0)="Không",0,IF(AND(Y8=0,Z8=0),0,IF(X8&lt;=Z8,0,ROUNDDOWN((X8-Z8)*24*60,0))))</f>
        <v>0</v>
      </c>
      <c r="AE8" s="12">
        <f>IF(VLOOKUP(A8,Data_NV!$A:$I,6,0)="Không",0,IF(Z8&lt;=X8,0,ROUNDDOWN((Z8-X8)*24*60,0)))</f>
        <v>100</v>
      </c>
      <c r="AF8" s="26">
        <f t="shared" si="2"/>
        <v>0</v>
      </c>
      <c r="AG8" s="27" t="str">
        <f>IF(AC8="","",IF(COUNTIFS($AC$3:AC8,"Quên chấm công",$S$3:S8,S8)&gt;3,"Không chấm công do vi phạm quá 3 lần",IF(COUNTIFS($AC$3:AC8,"Quên chấm công",$S$3:S8,S8)&gt;2,"Trừ toàn bộ chuyên cần tháng do vi phạm lần 3",IF(COUNTIFS($AC$3:AC8,"Quên chấm công",$S$3:S8,S8)&gt;1,"Trừ 1/2 ngày lương",50000))))</f>
        <v/>
      </c>
      <c r="AH8" s="12" t="str">
        <f>IF(AF8=0,"",IF(COUNTIFS($AF$3:AF8,"&gt;0",$S$3:S8,S8)&gt;3,"Trừ toàn bộ chuyên cần tháng",""))</f>
        <v/>
      </c>
      <c r="AI8" s="12"/>
    </row>
    <row r="9" spans="1:35" x14ac:dyDescent="0.25">
      <c r="A9" s="4" t="s">
        <v>113</v>
      </c>
      <c r="B9" s="1" t="s">
        <v>114</v>
      </c>
      <c r="C9" s="1" t="s">
        <v>19</v>
      </c>
      <c r="D9" s="1" t="s">
        <v>33</v>
      </c>
      <c r="E9" s="1" t="s">
        <v>21</v>
      </c>
      <c r="F9" s="1" t="s">
        <v>22</v>
      </c>
      <c r="G9" s="1" t="s">
        <v>12</v>
      </c>
      <c r="H9" s="1" t="s">
        <v>23</v>
      </c>
      <c r="I9" s="1" t="s">
        <v>23</v>
      </c>
      <c r="J9" s="1" t="s">
        <v>24</v>
      </c>
      <c r="K9" s="1" t="s">
        <v>24</v>
      </c>
      <c r="L9" s="1" t="s">
        <v>25</v>
      </c>
      <c r="M9" s="1" t="s">
        <v>24</v>
      </c>
      <c r="N9" s="1" t="s">
        <v>24</v>
      </c>
      <c r="O9" s="1" t="s">
        <v>24</v>
      </c>
      <c r="P9" s="1" t="s">
        <v>24</v>
      </c>
      <c r="Q9" s="1" t="s">
        <v>24</v>
      </c>
      <c r="R9" s="85" t="str">
        <f t="shared" si="0"/>
        <v>2145907</v>
      </c>
      <c r="S9" t="str">
        <f>VLOOKUP(A9,Data_NV!$A:$C,3,0)</f>
        <v>Phạm Anh Vũ</v>
      </c>
      <c r="T9" t="str">
        <f>VLOOKUP(A9,Data_NV!$A:$E,4,0)</f>
        <v>Kế toán - Văn phòng</v>
      </c>
      <c r="U9" s="82">
        <f>DATEVALUE(Table2[[#This Row],[Ngày]])</f>
        <v>45907</v>
      </c>
      <c r="V9" t="str">
        <f>VLOOKUP(A9,Data_NV!$A:$E,5,0)</f>
        <v>Đang làm việc</v>
      </c>
      <c r="W9" s="10">
        <f>VLOOKUP(A9,Data_NV!$A:$I,8,0)</f>
        <v>0.33333333333333331</v>
      </c>
      <c r="X9" s="10">
        <f>VLOOKUP(A9,Data_NV!$A:$I,9,0)</f>
        <v>0.70833333333333337</v>
      </c>
      <c r="Y9" s="10">
        <f>IFERROR(TIMEVALUE(Table2[[#This Row],[Vào]]),0)</f>
        <v>0</v>
      </c>
      <c r="Z9" s="10">
        <f>IFERROR(TIMEVALUE(Table2[[#This Row],[Ra]]),0)</f>
        <v>0</v>
      </c>
      <c r="AA9" t="str">
        <f t="shared" si="3"/>
        <v>Chủ nhật</v>
      </c>
      <c r="AB9" s="12">
        <f t="shared" si="1"/>
        <v>0</v>
      </c>
      <c r="AC9" s="12" t="str">
        <f>IF(VLOOKUP(A9,Data_NV!$A:$I,7,0)="Không","",IF(OR(AND(Y9=0,Z9=0),AND(Y9&lt;&gt;0,Z9&lt;&gt;0)),"","Quên chấm công"))</f>
        <v/>
      </c>
      <c r="AD9" s="12">
        <f>IF(VLOOKUP(A9,Data_NV!$A:$I,7,0)="Không",0,IF(AND(Y9=0,Z9=0),0,IF(X9&lt;=Z9,0,ROUNDDOWN((X9-Z9)*24*60,0))))</f>
        <v>0</v>
      </c>
      <c r="AE9" s="12">
        <f>IF(VLOOKUP(A9,Data_NV!$A:$I,6,0)="Không",0,IF(Z9&lt;=X9,0,ROUNDDOWN((Z9-X9)*24*60,0)))</f>
        <v>0</v>
      </c>
      <c r="AF9" s="26">
        <f t="shared" si="2"/>
        <v>0</v>
      </c>
      <c r="AG9" s="27" t="str">
        <f>IF(AC9="","",IF(COUNTIFS($AC$3:AC9,"Quên chấm công",$S$3:S9,S9)&gt;3,"Không chấm công do vi phạm quá 3 lần",IF(COUNTIFS($AC$3:AC9,"Quên chấm công",$S$3:S9,S9)&gt;2,"Trừ toàn bộ chuyên cần tháng do vi phạm lần 3",IF(COUNTIFS($AC$3:AC9,"Quên chấm công",$S$3:S9,S9)&gt;1,"Trừ 1/2 ngày lương",50000))))</f>
        <v/>
      </c>
      <c r="AH9" s="12" t="str">
        <f>IF(AF9=0,"",IF(COUNTIFS($AF$3:AF9,"&gt;0",$S$3:S9,S9)&gt;3,"Trừ toàn bộ chuyên cần tháng",""))</f>
        <v/>
      </c>
      <c r="AI9" s="12"/>
    </row>
    <row r="10" spans="1:35" x14ac:dyDescent="0.25">
      <c r="A10" s="4" t="s">
        <v>113</v>
      </c>
      <c r="B10" s="1" t="s">
        <v>114</v>
      </c>
      <c r="C10" s="1" t="s">
        <v>19</v>
      </c>
      <c r="D10" s="1" t="s">
        <v>34</v>
      </c>
      <c r="E10" s="1" t="s">
        <v>21</v>
      </c>
      <c r="F10" s="1" t="s">
        <v>22</v>
      </c>
      <c r="G10" s="1" t="s">
        <v>28</v>
      </c>
      <c r="H10" s="1" t="s">
        <v>126</v>
      </c>
      <c r="I10" s="1" t="s">
        <v>127</v>
      </c>
      <c r="J10" s="1" t="s">
        <v>24</v>
      </c>
      <c r="K10" s="1" t="s">
        <v>35</v>
      </c>
      <c r="L10" s="1" t="s">
        <v>24</v>
      </c>
      <c r="M10" s="1" t="s">
        <v>25</v>
      </c>
      <c r="N10" s="1" t="s">
        <v>24</v>
      </c>
      <c r="O10" s="1" t="s">
        <v>36</v>
      </c>
      <c r="P10" s="1" t="s">
        <v>24</v>
      </c>
      <c r="Q10" s="1" t="s">
        <v>24</v>
      </c>
      <c r="R10" s="85" t="str">
        <f t="shared" si="0"/>
        <v>2145908</v>
      </c>
      <c r="S10" t="str">
        <f>VLOOKUP(A10,Data_NV!$A:$C,3,0)</f>
        <v>Phạm Anh Vũ</v>
      </c>
      <c r="T10" t="str">
        <f>VLOOKUP(A10,Data_NV!$A:$E,4,0)</f>
        <v>Kế toán - Văn phòng</v>
      </c>
      <c r="U10" s="82">
        <f>DATEVALUE(Table2[[#This Row],[Ngày]])</f>
        <v>45908</v>
      </c>
      <c r="V10" t="str">
        <f>VLOOKUP(A10,Data_NV!$A:$E,5,0)</f>
        <v>Đang làm việc</v>
      </c>
      <c r="W10" s="10">
        <f>VLOOKUP(A10,Data_NV!$A:$I,8,0)</f>
        <v>0.33333333333333331</v>
      </c>
      <c r="X10" s="10">
        <f>VLOOKUP(A10,Data_NV!$A:$I,9,0)</f>
        <v>0.70833333333333337</v>
      </c>
      <c r="Y10" s="10">
        <f>IFERROR(TIMEVALUE(Table2[[#This Row],[Vào]]),0)</f>
        <v>0.3322222222222222</v>
      </c>
      <c r="Z10" s="10">
        <f>IFERROR(TIMEVALUE(Table2[[#This Row],[Ra]]),0)</f>
        <v>0.77193287037037039</v>
      </c>
      <c r="AA10" t="str">
        <f t="shared" si="3"/>
        <v>x</v>
      </c>
      <c r="AB10" s="12">
        <f t="shared" si="1"/>
        <v>0</v>
      </c>
      <c r="AC10" s="12" t="str">
        <f>IF(VLOOKUP(A10,Data_NV!$A:$I,7,0)="Không","",IF(OR(AND(Y10=0,Z10=0),AND(Y10&lt;&gt;0,Z10&lt;&gt;0)),"","Quên chấm công"))</f>
        <v/>
      </c>
      <c r="AD10" s="12">
        <f>IF(VLOOKUP(A10,Data_NV!$A:$I,7,0)="Không",0,IF(AND(Y10=0,Z10=0),0,IF(X10&lt;=Z10,0,ROUNDDOWN((X10-Z10)*24*60,0))))</f>
        <v>0</v>
      </c>
      <c r="AE10" s="12">
        <f>IF(VLOOKUP(A10,Data_NV!$A:$I,6,0)="Không",0,IF(Z10&lt;=X10,0,ROUNDDOWN((Z10-X10)*24*60,0)))</f>
        <v>91</v>
      </c>
      <c r="AF10" s="26">
        <f t="shared" si="2"/>
        <v>0</v>
      </c>
      <c r="AG10" s="27" t="str">
        <f>IF(AC10="","",IF(COUNTIFS($AC$3:AC10,"Quên chấm công",$S$3:S10,S10)&gt;3,"Không chấm công do vi phạm quá 3 lần",IF(COUNTIFS($AC$3:AC10,"Quên chấm công",$S$3:S10,S10)&gt;2,"Trừ toàn bộ chuyên cần tháng do vi phạm lần 3",IF(COUNTIFS($AC$3:AC10,"Quên chấm công",$S$3:S10,S10)&gt;1,"Trừ 1/2 ngày lương",50000))))</f>
        <v/>
      </c>
      <c r="AH10" s="12" t="str">
        <f>IF(AF10=0,"",IF(COUNTIFS($AF$3:AF10,"&gt;0",$S$3:S10,S10)&gt;3,"Trừ toàn bộ chuyên cần tháng",""))</f>
        <v/>
      </c>
      <c r="AI10" s="12"/>
    </row>
    <row r="11" spans="1:35" x14ac:dyDescent="0.25">
      <c r="A11" s="4" t="s">
        <v>113</v>
      </c>
      <c r="B11" s="1" t="s">
        <v>114</v>
      </c>
      <c r="C11" s="1" t="s">
        <v>19</v>
      </c>
      <c r="D11" s="1" t="s">
        <v>37</v>
      </c>
      <c r="E11" s="1" t="s">
        <v>21</v>
      </c>
      <c r="F11" s="1" t="s">
        <v>22</v>
      </c>
      <c r="G11" s="1" t="s">
        <v>28</v>
      </c>
      <c r="H11" s="1" t="s">
        <v>128</v>
      </c>
      <c r="I11" s="1" t="s">
        <v>129</v>
      </c>
      <c r="J11" s="1" t="s">
        <v>24</v>
      </c>
      <c r="K11" s="1" t="s">
        <v>130</v>
      </c>
      <c r="L11" s="1" t="s">
        <v>24</v>
      </c>
      <c r="M11" s="1" t="s">
        <v>25</v>
      </c>
      <c r="N11" s="1" t="s">
        <v>24</v>
      </c>
      <c r="O11" s="1" t="s">
        <v>110</v>
      </c>
      <c r="P11" s="1" t="s">
        <v>24</v>
      </c>
      <c r="Q11" s="1" t="s">
        <v>24</v>
      </c>
      <c r="R11" s="85" t="str">
        <f t="shared" si="0"/>
        <v>2145909</v>
      </c>
      <c r="S11" t="str">
        <f>VLOOKUP(A11,Data_NV!$A:$C,3,0)</f>
        <v>Phạm Anh Vũ</v>
      </c>
      <c r="T11" t="str">
        <f>VLOOKUP(A11,Data_NV!$A:$E,4,0)</f>
        <v>Kế toán - Văn phòng</v>
      </c>
      <c r="U11" s="82">
        <f>DATEVALUE(Table2[[#This Row],[Ngày]])</f>
        <v>45909</v>
      </c>
      <c r="V11" t="str">
        <f>VLOOKUP(A11,Data_NV!$A:$E,5,0)</f>
        <v>Đang làm việc</v>
      </c>
      <c r="W11" s="10">
        <f>VLOOKUP(A11,Data_NV!$A:$I,8,0)</f>
        <v>0.33333333333333331</v>
      </c>
      <c r="X11" s="10">
        <f>VLOOKUP(A11,Data_NV!$A:$I,9,0)</f>
        <v>0.70833333333333337</v>
      </c>
      <c r="Y11" s="10">
        <f>IFERROR(TIMEVALUE(Table2[[#This Row],[Vào]]),0)</f>
        <v>0.33224537037037039</v>
      </c>
      <c r="Z11" s="10">
        <f>IFERROR(TIMEVALUE(Table2[[#This Row],[Ra]]),0)</f>
        <v>0.78703703703703709</v>
      </c>
      <c r="AA11" t="str">
        <f t="shared" si="3"/>
        <v>x</v>
      </c>
      <c r="AB11" s="12">
        <f t="shared" si="1"/>
        <v>0</v>
      </c>
      <c r="AC11" s="12" t="str">
        <f>IF(VLOOKUP(A11,Data_NV!$A:$I,7,0)="Không","",IF(OR(AND(Y11=0,Z11=0),AND(Y11&lt;&gt;0,Z11&lt;&gt;0)),"","Quên chấm công"))</f>
        <v/>
      </c>
      <c r="AD11" s="12">
        <f>IF(VLOOKUP(A11,Data_NV!$A:$I,7,0)="Không",0,IF(AND(Y11=0,Z11=0),0,IF(X11&lt;=Z11,0,ROUNDDOWN((X11-Z11)*24*60,0))))</f>
        <v>0</v>
      </c>
      <c r="AE11" s="12">
        <f>IF(VLOOKUP(A11,Data_NV!$A:$I,6,0)="Không",0,IF(Z11&lt;=X11,0,ROUNDDOWN((Z11-X11)*24*60,0)))</f>
        <v>113</v>
      </c>
      <c r="AF11" s="26">
        <f t="shared" si="2"/>
        <v>0</v>
      </c>
      <c r="AG11" s="27" t="str">
        <f>IF(AC11="","",IF(COUNTIFS($AC$3:AC11,"Quên chấm công",$S$3:S11,S11)&gt;3,"Không chấm công do vi phạm quá 3 lần",IF(COUNTIFS($AC$3:AC11,"Quên chấm công",$S$3:S11,S11)&gt;2,"Trừ toàn bộ chuyên cần tháng do vi phạm lần 3",IF(COUNTIFS($AC$3:AC11,"Quên chấm công",$S$3:S11,S11)&gt;1,"Trừ 1/2 ngày lương",50000))))</f>
        <v/>
      </c>
      <c r="AH11" s="12" t="str">
        <f>IF(AF11=0,"",IF(COUNTIFS($AF$3:AF11,"&gt;0",$S$3:S11,S11)&gt;3,"Trừ toàn bộ chuyên cần tháng",""))</f>
        <v/>
      </c>
      <c r="AI11" s="12"/>
    </row>
    <row r="12" spans="1:35" x14ac:dyDescent="0.25">
      <c r="A12" s="4" t="s">
        <v>113</v>
      </c>
      <c r="B12" s="1" t="s">
        <v>114</v>
      </c>
      <c r="C12" s="1" t="s">
        <v>19</v>
      </c>
      <c r="D12" s="1" t="s">
        <v>38</v>
      </c>
      <c r="E12" s="1" t="s">
        <v>21</v>
      </c>
      <c r="F12" s="1" t="s">
        <v>22</v>
      </c>
      <c r="G12" s="1" t="s">
        <v>10</v>
      </c>
      <c r="H12" s="1" t="s">
        <v>131</v>
      </c>
      <c r="I12" s="1" t="s">
        <v>132</v>
      </c>
      <c r="J12" s="1" t="s">
        <v>24</v>
      </c>
      <c r="K12" s="1" t="s">
        <v>133</v>
      </c>
      <c r="L12" s="1" t="s">
        <v>24</v>
      </c>
      <c r="M12" s="1" t="s">
        <v>25</v>
      </c>
      <c r="N12" s="1" t="s">
        <v>24</v>
      </c>
      <c r="O12" s="1" t="s">
        <v>134</v>
      </c>
      <c r="P12" s="1" t="s">
        <v>24</v>
      </c>
      <c r="Q12" s="1" t="s">
        <v>24</v>
      </c>
      <c r="R12" s="85" t="str">
        <f t="shared" si="0"/>
        <v>2145910</v>
      </c>
      <c r="S12" t="str">
        <f>VLOOKUP(A12,Data_NV!$A:$C,3,0)</f>
        <v>Phạm Anh Vũ</v>
      </c>
      <c r="T12" t="str">
        <f>VLOOKUP(A12,Data_NV!$A:$E,4,0)</f>
        <v>Kế toán - Văn phòng</v>
      </c>
      <c r="U12" s="82">
        <f>DATEVALUE(Table2[[#This Row],[Ngày]])</f>
        <v>45910</v>
      </c>
      <c r="V12" t="str">
        <f>VLOOKUP(A12,Data_NV!$A:$E,5,0)</f>
        <v>Đang làm việc</v>
      </c>
      <c r="W12" s="10">
        <f>VLOOKUP(A12,Data_NV!$A:$I,8,0)</f>
        <v>0.33333333333333331</v>
      </c>
      <c r="X12" s="10">
        <f>VLOOKUP(A12,Data_NV!$A:$I,9,0)</f>
        <v>0.70833333333333337</v>
      </c>
      <c r="Y12" s="10">
        <f>IFERROR(TIMEVALUE(Table2[[#This Row],[Vào]]),0)</f>
        <v>0.33336805555555554</v>
      </c>
      <c r="Z12" s="10">
        <f>IFERROR(TIMEVALUE(Table2[[#This Row],[Ra]]),0)</f>
        <v>0.7826967592592593</v>
      </c>
      <c r="AA12" t="str">
        <f t="shared" si="3"/>
        <v>x</v>
      </c>
      <c r="AB12" s="12">
        <f t="shared" si="1"/>
        <v>0</v>
      </c>
      <c r="AC12" s="12" t="str">
        <f>IF(VLOOKUP(A12,Data_NV!$A:$I,7,0)="Không","",IF(OR(AND(Y12=0,Z12=0),AND(Y12&lt;&gt;0,Z12&lt;&gt;0)),"","Quên chấm công"))</f>
        <v/>
      </c>
      <c r="AD12" s="12">
        <f>IF(VLOOKUP(A12,Data_NV!$A:$I,7,0)="Không",0,IF(AND(Y12=0,Z12=0),0,IF(X12&lt;=Z12,0,ROUNDDOWN((X12-Z12)*24*60,0))))</f>
        <v>0</v>
      </c>
      <c r="AE12" s="12">
        <f>IF(VLOOKUP(A12,Data_NV!$A:$I,6,0)="Không",0,IF(Z12&lt;=X12,0,ROUNDDOWN((Z12-X12)*24*60,0)))</f>
        <v>107</v>
      </c>
      <c r="AF12" s="26">
        <f t="shared" si="2"/>
        <v>0</v>
      </c>
      <c r="AG12" s="27" t="str">
        <f>IF(AC12="","",IF(COUNTIFS($AC$3:AC12,"Quên chấm công",$S$3:S12,S12)&gt;3,"Không chấm công do vi phạm quá 3 lần",IF(COUNTIFS($AC$3:AC12,"Quên chấm công",$S$3:S12,S12)&gt;2,"Trừ toàn bộ chuyên cần tháng do vi phạm lần 3",IF(COUNTIFS($AC$3:AC12,"Quên chấm công",$S$3:S12,S12)&gt;1,"Trừ 1/2 ngày lương",50000))))</f>
        <v/>
      </c>
      <c r="AH12" s="12" t="str">
        <f>IF(AF12=0,"",IF(COUNTIFS($AF$3:AF12,"&gt;0",$S$3:S12,S12)&gt;3,"Trừ toàn bộ chuyên cần tháng",""))</f>
        <v/>
      </c>
      <c r="AI12" s="12"/>
    </row>
    <row r="13" spans="1:35" x14ac:dyDescent="0.25">
      <c r="A13" s="4" t="s">
        <v>113</v>
      </c>
      <c r="B13" s="1" t="s">
        <v>114</v>
      </c>
      <c r="C13" s="1" t="s">
        <v>19</v>
      </c>
      <c r="D13" s="1" t="s">
        <v>39</v>
      </c>
      <c r="E13" s="1" t="s">
        <v>21</v>
      </c>
      <c r="F13" s="1" t="s">
        <v>22</v>
      </c>
      <c r="G13" s="1" t="s">
        <v>28</v>
      </c>
      <c r="H13" s="1" t="s">
        <v>135</v>
      </c>
      <c r="I13" s="1" t="s">
        <v>136</v>
      </c>
      <c r="J13" s="1" t="s">
        <v>24</v>
      </c>
      <c r="K13" s="1" t="s">
        <v>137</v>
      </c>
      <c r="L13" s="1" t="s">
        <v>24</v>
      </c>
      <c r="M13" s="1" t="s">
        <v>25</v>
      </c>
      <c r="N13" s="1" t="s">
        <v>24</v>
      </c>
      <c r="O13" s="1" t="s">
        <v>138</v>
      </c>
      <c r="P13" s="1" t="s">
        <v>24</v>
      </c>
      <c r="Q13" s="1" t="s">
        <v>24</v>
      </c>
      <c r="R13" s="85" t="str">
        <f t="shared" si="0"/>
        <v>2145911</v>
      </c>
      <c r="S13" t="str">
        <f>VLOOKUP(A13,Data_NV!$A:$C,3,0)</f>
        <v>Phạm Anh Vũ</v>
      </c>
      <c r="T13" t="str">
        <f>VLOOKUP(A13,Data_NV!$A:$E,4,0)</f>
        <v>Kế toán - Văn phòng</v>
      </c>
      <c r="U13" s="82">
        <f>DATEVALUE(Table2[[#This Row],[Ngày]])</f>
        <v>45911</v>
      </c>
      <c r="V13" t="str">
        <f>VLOOKUP(A13,Data_NV!$A:$E,5,0)</f>
        <v>Đang làm việc</v>
      </c>
      <c r="W13" s="10">
        <f>VLOOKUP(A13,Data_NV!$A:$I,8,0)</f>
        <v>0.33333333333333331</v>
      </c>
      <c r="X13" s="10">
        <f>VLOOKUP(A13,Data_NV!$A:$I,9,0)</f>
        <v>0.70833333333333337</v>
      </c>
      <c r="Y13" s="10">
        <f>IFERROR(TIMEVALUE(Table2[[#This Row],[Vào]]),0)</f>
        <v>0.3321412037037037</v>
      </c>
      <c r="Z13" s="10">
        <f>IFERROR(TIMEVALUE(Table2[[#This Row],[Ra]]),0)</f>
        <v>0.78760416666666666</v>
      </c>
      <c r="AA13" t="str">
        <f t="shared" si="3"/>
        <v>x</v>
      </c>
      <c r="AB13" s="12">
        <f t="shared" si="1"/>
        <v>0</v>
      </c>
      <c r="AC13" s="12" t="str">
        <f>IF(VLOOKUP(A13,Data_NV!$A:$I,7,0)="Không","",IF(OR(AND(Y13=0,Z13=0),AND(Y13&lt;&gt;0,Z13&lt;&gt;0)),"","Quên chấm công"))</f>
        <v/>
      </c>
      <c r="AD13" s="12">
        <f>IF(VLOOKUP(A13,Data_NV!$A:$I,7,0)="Không",0,IF(AND(Y13=0,Z13=0),0,IF(X13&lt;=Z13,0,ROUNDDOWN((X13-Z13)*24*60,0))))</f>
        <v>0</v>
      </c>
      <c r="AE13" s="12">
        <f>IF(VLOOKUP(A13,Data_NV!$A:$I,6,0)="Không",0,IF(Z13&lt;=X13,0,ROUNDDOWN((Z13-X13)*24*60,0)))</f>
        <v>114</v>
      </c>
      <c r="AF13" s="26">
        <f t="shared" si="2"/>
        <v>0</v>
      </c>
      <c r="AG13" s="27" t="str">
        <f>IF(AC13="","",IF(COUNTIFS($AC$3:AC13,"Quên chấm công",$S$3:S13,S13)&gt;3,"Không chấm công do vi phạm quá 3 lần",IF(COUNTIFS($AC$3:AC13,"Quên chấm công",$S$3:S13,S13)&gt;2,"Trừ toàn bộ chuyên cần tháng do vi phạm lần 3",IF(COUNTIFS($AC$3:AC13,"Quên chấm công",$S$3:S13,S13)&gt;1,"Trừ 1/2 ngày lương",50000))))</f>
        <v/>
      </c>
      <c r="AH13" s="12" t="str">
        <f>IF(AF13=0,"",IF(COUNTIFS($AF$3:AF13,"&gt;0",$S$3:S13,S13)&gt;3,"Trừ toàn bộ chuyên cần tháng",""))</f>
        <v/>
      </c>
      <c r="AI13" s="12"/>
    </row>
    <row r="14" spans="1:35" x14ac:dyDescent="0.25">
      <c r="A14" s="4" t="s">
        <v>113</v>
      </c>
      <c r="B14" s="1" t="s">
        <v>114</v>
      </c>
      <c r="C14" s="1" t="s">
        <v>19</v>
      </c>
      <c r="D14" s="1" t="s">
        <v>41</v>
      </c>
      <c r="E14" s="1" t="s">
        <v>21</v>
      </c>
      <c r="F14" s="1" t="s">
        <v>22</v>
      </c>
      <c r="G14" s="1" t="s">
        <v>10</v>
      </c>
      <c r="H14" s="1" t="s">
        <v>139</v>
      </c>
      <c r="I14" s="1" t="s">
        <v>140</v>
      </c>
      <c r="J14" s="1" t="s">
        <v>109</v>
      </c>
      <c r="K14" s="1" t="s">
        <v>141</v>
      </c>
      <c r="L14" s="1" t="s">
        <v>24</v>
      </c>
      <c r="M14" s="1" t="s">
        <v>25</v>
      </c>
      <c r="N14" s="1" t="s">
        <v>24</v>
      </c>
      <c r="O14" s="1" t="s">
        <v>53</v>
      </c>
      <c r="P14" s="1" t="s">
        <v>24</v>
      </c>
      <c r="Q14" s="1" t="s">
        <v>24</v>
      </c>
      <c r="R14" s="85" t="str">
        <f t="shared" si="0"/>
        <v>2145912</v>
      </c>
      <c r="S14" t="str">
        <f>VLOOKUP(A14,Data_NV!$A:$C,3,0)</f>
        <v>Phạm Anh Vũ</v>
      </c>
      <c r="T14" t="str">
        <f>VLOOKUP(A14,Data_NV!$A:$E,4,0)</f>
        <v>Kế toán - Văn phòng</v>
      </c>
      <c r="U14" s="82">
        <f>DATEVALUE(Table2[[#This Row],[Ngày]])</f>
        <v>45912</v>
      </c>
      <c r="V14" t="str">
        <f>VLOOKUP(A14,Data_NV!$A:$E,5,0)</f>
        <v>Đang làm việc</v>
      </c>
      <c r="W14" s="10">
        <f>VLOOKUP(A14,Data_NV!$A:$I,8,0)</f>
        <v>0.33333333333333331</v>
      </c>
      <c r="X14" s="10">
        <f>VLOOKUP(A14,Data_NV!$A:$I,9,0)</f>
        <v>0.70833333333333337</v>
      </c>
      <c r="Y14" s="10">
        <f>IFERROR(TIMEVALUE(Table2[[#This Row],[Vào]]),0)</f>
        <v>0.33501157407407406</v>
      </c>
      <c r="Z14" s="10">
        <f>IFERROR(TIMEVALUE(Table2[[#This Row],[Ra]]),0)</f>
        <v>0.76806712962962964</v>
      </c>
      <c r="AA14" t="str">
        <f t="shared" si="3"/>
        <v>x</v>
      </c>
      <c r="AB14" s="12">
        <f t="shared" si="1"/>
        <v>2</v>
      </c>
      <c r="AC14" s="12" t="str">
        <f>IF(VLOOKUP(A14,Data_NV!$A:$I,7,0)="Không","",IF(OR(AND(Y14=0,Z14=0),AND(Y14&lt;&gt;0,Z14&lt;&gt;0)),"","Quên chấm công"))</f>
        <v/>
      </c>
      <c r="AD14" s="12">
        <f>IF(VLOOKUP(A14,Data_NV!$A:$I,7,0)="Không",0,IF(AND(Y14=0,Z14=0),0,IF(X14&lt;=Z14,0,ROUNDDOWN((X14-Z14)*24*60,0))))</f>
        <v>0</v>
      </c>
      <c r="AE14" s="12">
        <f>IF(VLOOKUP(A14,Data_NV!$A:$I,6,0)="Không",0,IF(Z14&lt;=X14,0,ROUNDDOWN((Z14-X14)*24*60,0)))</f>
        <v>86</v>
      </c>
      <c r="AF14" s="26">
        <f t="shared" si="2"/>
        <v>0</v>
      </c>
      <c r="AG14" s="27" t="str">
        <f>IF(AC14="","",IF(COUNTIFS($AC$3:AC14,"Quên chấm công",$S$3:S14,S14)&gt;3,"Không chấm công do vi phạm quá 3 lần",IF(COUNTIFS($AC$3:AC14,"Quên chấm công",$S$3:S14,S14)&gt;2,"Trừ toàn bộ chuyên cần tháng do vi phạm lần 3",IF(COUNTIFS($AC$3:AC14,"Quên chấm công",$S$3:S14,S14)&gt;1,"Trừ 1/2 ngày lương",50000))))</f>
        <v/>
      </c>
      <c r="AH14" s="12" t="str">
        <f>IF(AF14=0,"",IF(COUNTIFS($AF$3:AF14,"&gt;0",$S$3:S14,S14)&gt;3,"Trừ toàn bộ chuyên cần tháng",""))</f>
        <v/>
      </c>
      <c r="AI14" s="12"/>
    </row>
    <row r="15" spans="1:35" x14ac:dyDescent="0.25">
      <c r="A15" s="4" t="s">
        <v>113</v>
      </c>
      <c r="B15" s="1" t="s">
        <v>114</v>
      </c>
      <c r="C15" s="1" t="s">
        <v>19</v>
      </c>
      <c r="D15" s="1" t="s">
        <v>42</v>
      </c>
      <c r="E15" s="1" t="s">
        <v>21</v>
      </c>
      <c r="F15" s="1" t="s">
        <v>22</v>
      </c>
      <c r="G15" s="1" t="s">
        <v>28</v>
      </c>
      <c r="H15" s="1" t="s">
        <v>142</v>
      </c>
      <c r="I15" s="1" t="s">
        <v>143</v>
      </c>
      <c r="J15" s="1" t="s">
        <v>24</v>
      </c>
      <c r="K15" s="1" t="s">
        <v>144</v>
      </c>
      <c r="L15" s="1" t="s">
        <v>24</v>
      </c>
      <c r="M15" s="1" t="s">
        <v>25</v>
      </c>
      <c r="N15" s="1" t="s">
        <v>24</v>
      </c>
      <c r="O15" s="1" t="s">
        <v>145</v>
      </c>
      <c r="P15" s="1" t="s">
        <v>24</v>
      </c>
      <c r="Q15" s="1" t="s">
        <v>24</v>
      </c>
      <c r="R15" s="85" t="str">
        <f t="shared" si="0"/>
        <v>2145913</v>
      </c>
      <c r="S15" t="str">
        <f>VLOOKUP(A15,Data_NV!$A:$C,3,0)</f>
        <v>Phạm Anh Vũ</v>
      </c>
      <c r="T15" t="str">
        <f>VLOOKUP(A15,Data_NV!$A:$E,4,0)</f>
        <v>Kế toán - Văn phòng</v>
      </c>
      <c r="U15" s="82">
        <f>DATEVALUE(Table2[[#This Row],[Ngày]])</f>
        <v>45913</v>
      </c>
      <c r="V15" t="str">
        <f>VLOOKUP(A15,Data_NV!$A:$E,5,0)</f>
        <v>Đang làm việc</v>
      </c>
      <c r="W15" s="10">
        <f>VLOOKUP(A15,Data_NV!$A:$I,8,0)</f>
        <v>0.33333333333333331</v>
      </c>
      <c r="X15" s="10">
        <f>VLOOKUP(A15,Data_NV!$A:$I,9,0)</f>
        <v>0.70833333333333337</v>
      </c>
      <c r="Y15" s="10">
        <f>IFERROR(TIMEVALUE(Table2[[#This Row],[Vào]]),0)</f>
        <v>0.33006944444444447</v>
      </c>
      <c r="Z15" s="10">
        <f>IFERROR(TIMEVALUE(Table2[[#This Row],[Ra]]),0)</f>
        <v>0.7557638888888889</v>
      </c>
      <c r="AA15" t="str">
        <f t="shared" si="3"/>
        <v>x</v>
      </c>
      <c r="AB15" s="12">
        <f t="shared" si="1"/>
        <v>0</v>
      </c>
      <c r="AC15" s="12" t="str">
        <f>IF(VLOOKUP(A15,Data_NV!$A:$I,7,0)="Không","",IF(OR(AND(Y15=0,Z15=0),AND(Y15&lt;&gt;0,Z15&lt;&gt;0)),"","Quên chấm công"))</f>
        <v/>
      </c>
      <c r="AD15" s="12">
        <f>IF(VLOOKUP(A15,Data_NV!$A:$I,7,0)="Không",0,IF(AND(Y15=0,Z15=0),0,IF(X15&lt;=Z15,0,ROUNDDOWN((X15-Z15)*24*60,0))))</f>
        <v>0</v>
      </c>
      <c r="AE15" s="12">
        <f>IF(VLOOKUP(A15,Data_NV!$A:$I,6,0)="Không",0,IF(Z15&lt;=X15,0,ROUNDDOWN((Z15-X15)*24*60,0)))</f>
        <v>68</v>
      </c>
      <c r="AF15" s="26">
        <f t="shared" si="2"/>
        <v>0</v>
      </c>
      <c r="AG15" s="27" t="str">
        <f>IF(AC15="","",IF(COUNTIFS($AC$3:AC15,"Quên chấm công",$S$3:S15,S15)&gt;3,"Không chấm công do vi phạm quá 3 lần",IF(COUNTIFS($AC$3:AC15,"Quên chấm công",$S$3:S15,S15)&gt;2,"Trừ toàn bộ chuyên cần tháng do vi phạm lần 3",IF(COUNTIFS($AC$3:AC15,"Quên chấm công",$S$3:S15,S15)&gt;1,"Trừ 1/2 ngày lương",50000))))</f>
        <v/>
      </c>
      <c r="AH15" s="12" t="str">
        <f>IF(AF15=0,"",IF(COUNTIFS($AF$3:AF15,"&gt;0",$S$3:S15,S15)&gt;3,"Trừ toàn bộ chuyên cần tháng",""))</f>
        <v/>
      </c>
      <c r="AI15" s="12"/>
    </row>
    <row r="16" spans="1:35" x14ac:dyDescent="0.25">
      <c r="A16" s="4" t="s">
        <v>113</v>
      </c>
      <c r="B16" s="1" t="s">
        <v>114</v>
      </c>
      <c r="C16" s="1" t="s">
        <v>19</v>
      </c>
      <c r="D16" s="1" t="s">
        <v>45</v>
      </c>
      <c r="E16" s="1" t="s">
        <v>21</v>
      </c>
      <c r="F16" s="1" t="s">
        <v>22</v>
      </c>
      <c r="G16" s="1" t="s">
        <v>12</v>
      </c>
      <c r="H16" s="1" t="s">
        <v>23</v>
      </c>
      <c r="I16" s="1" t="s">
        <v>23</v>
      </c>
      <c r="J16" s="1" t="s">
        <v>24</v>
      </c>
      <c r="K16" s="1" t="s">
        <v>24</v>
      </c>
      <c r="L16" s="1" t="s">
        <v>25</v>
      </c>
      <c r="M16" s="1" t="s">
        <v>24</v>
      </c>
      <c r="N16" s="1" t="s">
        <v>24</v>
      </c>
      <c r="O16" s="1" t="s">
        <v>24</v>
      </c>
      <c r="P16" s="1" t="s">
        <v>24</v>
      </c>
      <c r="Q16" s="1" t="s">
        <v>24</v>
      </c>
      <c r="R16" s="85" t="str">
        <f t="shared" si="0"/>
        <v>2145914</v>
      </c>
      <c r="S16" t="str">
        <f>VLOOKUP(A16,Data_NV!$A:$C,3,0)</f>
        <v>Phạm Anh Vũ</v>
      </c>
      <c r="T16" t="str">
        <f>VLOOKUP(A16,Data_NV!$A:$E,4,0)</f>
        <v>Kế toán - Văn phòng</v>
      </c>
      <c r="U16" s="82">
        <f>DATEVALUE(Table2[[#This Row],[Ngày]])</f>
        <v>45914</v>
      </c>
      <c r="V16" t="str">
        <f>VLOOKUP(A16,Data_NV!$A:$E,5,0)</f>
        <v>Đang làm việc</v>
      </c>
      <c r="W16" s="10">
        <f>VLOOKUP(A16,Data_NV!$A:$I,8,0)</f>
        <v>0.33333333333333331</v>
      </c>
      <c r="X16" s="10">
        <f>VLOOKUP(A16,Data_NV!$A:$I,9,0)</f>
        <v>0.70833333333333337</v>
      </c>
      <c r="Y16" s="10">
        <f>IFERROR(TIMEVALUE(Table2[[#This Row],[Vào]]),0)</f>
        <v>0</v>
      </c>
      <c r="Z16" s="10">
        <f>IFERROR(TIMEVALUE(Table2[[#This Row],[Ra]]),0)</f>
        <v>0</v>
      </c>
      <c r="AA16" t="str">
        <f t="shared" si="3"/>
        <v>Chủ nhật</v>
      </c>
      <c r="AB16" s="12">
        <f t="shared" si="1"/>
        <v>0</v>
      </c>
      <c r="AC16" s="12" t="str">
        <f>IF(VLOOKUP(A16,Data_NV!$A:$I,7,0)="Không","",IF(OR(AND(Y16=0,Z16=0),AND(Y16&lt;&gt;0,Z16&lt;&gt;0)),"","Quên chấm công"))</f>
        <v/>
      </c>
      <c r="AD16" s="12">
        <f>IF(VLOOKUP(A16,Data_NV!$A:$I,7,0)="Không",0,IF(AND(Y16=0,Z16=0),0,IF(X16&lt;=Z16,0,ROUNDDOWN((X16-Z16)*24*60,0))))</f>
        <v>0</v>
      </c>
      <c r="AE16" s="12">
        <f>IF(VLOOKUP(A16,Data_NV!$A:$I,6,0)="Không",0,IF(Z16&lt;=X16,0,ROUNDDOWN((Z16-X16)*24*60,0)))</f>
        <v>0</v>
      </c>
      <c r="AF16" s="26">
        <f t="shared" si="2"/>
        <v>0</v>
      </c>
      <c r="AG16" s="27" t="str">
        <f>IF(AC16="","",IF(COUNTIFS($AC$3:AC16,"Quên chấm công",$S$3:S16,S16)&gt;3,"Không chấm công do vi phạm quá 3 lần",IF(COUNTIFS($AC$3:AC16,"Quên chấm công",$S$3:S16,S16)&gt;2,"Trừ toàn bộ chuyên cần tháng do vi phạm lần 3",IF(COUNTIFS($AC$3:AC16,"Quên chấm công",$S$3:S16,S16)&gt;1,"Trừ 1/2 ngày lương",50000))))</f>
        <v/>
      </c>
      <c r="AH16" s="12" t="str">
        <f>IF(AF16=0,"",IF(COUNTIFS($AF$3:AF16,"&gt;0",$S$3:S16,S16)&gt;3,"Trừ toàn bộ chuyên cần tháng",""))</f>
        <v/>
      </c>
      <c r="AI16" s="12"/>
    </row>
    <row r="17" spans="1:35" x14ac:dyDescent="0.25">
      <c r="A17" s="4" t="s">
        <v>113</v>
      </c>
      <c r="B17" s="1" t="s">
        <v>114</v>
      </c>
      <c r="C17" s="1" t="s">
        <v>19</v>
      </c>
      <c r="D17" s="1" t="s">
        <v>46</v>
      </c>
      <c r="E17" s="1" t="s">
        <v>21</v>
      </c>
      <c r="F17" s="1" t="s">
        <v>22</v>
      </c>
      <c r="G17" s="1" t="s">
        <v>28</v>
      </c>
      <c r="H17" s="1" t="s">
        <v>135</v>
      </c>
      <c r="I17" s="1" t="s">
        <v>146</v>
      </c>
      <c r="J17" s="1" t="s">
        <v>24</v>
      </c>
      <c r="K17" s="1" t="s">
        <v>105</v>
      </c>
      <c r="L17" s="1" t="s">
        <v>24</v>
      </c>
      <c r="M17" s="1" t="s">
        <v>25</v>
      </c>
      <c r="N17" s="1" t="s">
        <v>24</v>
      </c>
      <c r="O17" s="1" t="s">
        <v>106</v>
      </c>
      <c r="P17" s="1" t="s">
        <v>24</v>
      </c>
      <c r="Q17" s="1" t="s">
        <v>24</v>
      </c>
      <c r="R17" s="85" t="str">
        <f t="shared" si="0"/>
        <v>2145915</v>
      </c>
      <c r="S17" t="str">
        <f>VLOOKUP(A17,Data_NV!$A:$C,3,0)</f>
        <v>Phạm Anh Vũ</v>
      </c>
      <c r="T17" t="str">
        <f>VLOOKUP(A17,Data_NV!$A:$E,4,0)</f>
        <v>Kế toán - Văn phòng</v>
      </c>
      <c r="U17" s="82">
        <f>DATEVALUE(Table2[[#This Row],[Ngày]])</f>
        <v>45915</v>
      </c>
      <c r="V17" t="str">
        <f>VLOOKUP(A17,Data_NV!$A:$E,5,0)</f>
        <v>Đang làm việc</v>
      </c>
      <c r="W17" s="10">
        <f>VLOOKUP(A17,Data_NV!$A:$I,8,0)</f>
        <v>0.33333333333333331</v>
      </c>
      <c r="X17" s="10">
        <f>VLOOKUP(A17,Data_NV!$A:$I,9,0)</f>
        <v>0.70833333333333337</v>
      </c>
      <c r="Y17" s="10">
        <f>IFERROR(TIMEVALUE(Table2[[#This Row],[Vào]]),0)</f>
        <v>0.3321412037037037</v>
      </c>
      <c r="Z17" s="10">
        <f>IFERROR(TIMEVALUE(Table2[[#This Row],[Ra]]),0)</f>
        <v>0.77152777777777781</v>
      </c>
      <c r="AA17" t="str">
        <f t="shared" si="3"/>
        <v>x</v>
      </c>
      <c r="AB17" s="12">
        <f t="shared" si="1"/>
        <v>0</v>
      </c>
      <c r="AC17" s="12" t="str">
        <f>IF(VLOOKUP(A17,Data_NV!$A:$I,7,0)="Không","",IF(OR(AND(Y17=0,Z17=0),AND(Y17&lt;&gt;0,Z17&lt;&gt;0)),"","Quên chấm công"))</f>
        <v/>
      </c>
      <c r="AD17" s="12">
        <f>IF(VLOOKUP(A17,Data_NV!$A:$I,7,0)="Không",0,IF(AND(Y17=0,Z17=0),0,IF(X17&lt;=Z17,0,ROUNDDOWN((X17-Z17)*24*60,0))))</f>
        <v>0</v>
      </c>
      <c r="AE17" s="12">
        <f>IF(VLOOKUP(A17,Data_NV!$A:$I,6,0)="Không",0,IF(Z17&lt;=X17,0,ROUNDDOWN((Z17-X17)*24*60,0)))</f>
        <v>91</v>
      </c>
      <c r="AF17" s="26">
        <f t="shared" si="2"/>
        <v>0</v>
      </c>
      <c r="AG17" s="27" t="str">
        <f>IF(AC17="","",IF(COUNTIFS($AC$3:AC17,"Quên chấm công",$S$3:S17,S17)&gt;3,"Không chấm công do vi phạm quá 3 lần",IF(COUNTIFS($AC$3:AC17,"Quên chấm công",$S$3:S17,S17)&gt;2,"Trừ toàn bộ chuyên cần tháng do vi phạm lần 3",IF(COUNTIFS($AC$3:AC17,"Quên chấm công",$S$3:S17,S17)&gt;1,"Trừ 1/2 ngày lương",50000))))</f>
        <v/>
      </c>
      <c r="AH17" s="12" t="str">
        <f>IF(AF17=0,"",IF(COUNTIFS($AF$3:AF17,"&gt;0",$S$3:S17,S17)&gt;3,"Trừ toàn bộ chuyên cần tháng",""))</f>
        <v/>
      </c>
      <c r="AI17" s="12"/>
    </row>
    <row r="18" spans="1:35" x14ac:dyDescent="0.25">
      <c r="A18" s="4" t="s">
        <v>113</v>
      </c>
      <c r="B18" s="1" t="s">
        <v>114</v>
      </c>
      <c r="C18" s="1" t="s">
        <v>19</v>
      </c>
      <c r="D18" s="1" t="s">
        <v>47</v>
      </c>
      <c r="E18" s="1" t="s">
        <v>21</v>
      </c>
      <c r="F18" s="1" t="s">
        <v>22</v>
      </c>
      <c r="G18" s="1" t="s">
        <v>28</v>
      </c>
      <c r="H18" s="1" t="s">
        <v>147</v>
      </c>
      <c r="I18" s="1" t="s">
        <v>148</v>
      </c>
      <c r="J18" s="1" t="s">
        <v>24</v>
      </c>
      <c r="K18" s="1" t="s">
        <v>149</v>
      </c>
      <c r="L18" s="1" t="s">
        <v>24</v>
      </c>
      <c r="M18" s="1" t="s">
        <v>25</v>
      </c>
      <c r="N18" s="1" t="s">
        <v>24</v>
      </c>
      <c r="O18" s="1" t="s">
        <v>150</v>
      </c>
      <c r="P18" s="1" t="s">
        <v>24</v>
      </c>
      <c r="Q18" s="1" t="s">
        <v>24</v>
      </c>
      <c r="R18" s="85" t="str">
        <f t="shared" si="0"/>
        <v>2145916</v>
      </c>
      <c r="S18" t="str">
        <f>VLOOKUP(A18,Data_NV!$A:$C,3,0)</f>
        <v>Phạm Anh Vũ</v>
      </c>
      <c r="T18" t="str">
        <f>VLOOKUP(A18,Data_NV!$A:$E,4,0)</f>
        <v>Kế toán - Văn phòng</v>
      </c>
      <c r="U18" s="82">
        <f>DATEVALUE(Table2[[#This Row],[Ngày]])</f>
        <v>45916</v>
      </c>
      <c r="V18" t="str">
        <f>VLOOKUP(A18,Data_NV!$A:$E,5,0)</f>
        <v>Đang làm việc</v>
      </c>
      <c r="W18" s="10">
        <f>VLOOKUP(A18,Data_NV!$A:$I,8,0)</f>
        <v>0.33333333333333331</v>
      </c>
      <c r="X18" s="10">
        <f>VLOOKUP(A18,Data_NV!$A:$I,9,0)</f>
        <v>0.70833333333333337</v>
      </c>
      <c r="Y18" s="10">
        <f>IFERROR(TIMEVALUE(Table2[[#This Row],[Vào]]),0)</f>
        <v>0.33053240740740741</v>
      </c>
      <c r="Z18" s="10">
        <f>IFERROR(TIMEVALUE(Table2[[#This Row],[Ra]]),0)</f>
        <v>0.78326388888888887</v>
      </c>
      <c r="AA18" t="str">
        <f t="shared" si="3"/>
        <v>x</v>
      </c>
      <c r="AB18" s="12">
        <f t="shared" si="1"/>
        <v>0</v>
      </c>
      <c r="AC18" s="12" t="str">
        <f>IF(VLOOKUP(A18,Data_NV!$A:$I,7,0)="Không","",IF(OR(AND(Y18=0,Z18=0),AND(Y18&lt;&gt;0,Z18&lt;&gt;0)),"","Quên chấm công"))</f>
        <v/>
      </c>
      <c r="AD18" s="12">
        <f>IF(VLOOKUP(A18,Data_NV!$A:$I,7,0)="Không",0,IF(AND(Y18=0,Z18=0),0,IF(X18&lt;=Z18,0,ROUNDDOWN((X18-Z18)*24*60,0))))</f>
        <v>0</v>
      </c>
      <c r="AE18" s="12">
        <f>IF(VLOOKUP(A18,Data_NV!$A:$I,6,0)="Không",0,IF(Z18&lt;=X18,0,ROUNDDOWN((Z18-X18)*24*60,0)))</f>
        <v>107</v>
      </c>
      <c r="AF18" s="26">
        <f t="shared" si="2"/>
        <v>0</v>
      </c>
      <c r="AG18" s="27" t="str">
        <f>IF(AC18="","",IF(COUNTIFS($AC$3:AC18,"Quên chấm công",$S$3:S18,S18)&gt;3,"Không chấm công do vi phạm quá 3 lần",IF(COUNTIFS($AC$3:AC18,"Quên chấm công",$S$3:S18,S18)&gt;2,"Trừ toàn bộ chuyên cần tháng do vi phạm lần 3",IF(COUNTIFS($AC$3:AC18,"Quên chấm công",$S$3:S18,S18)&gt;1,"Trừ 1/2 ngày lương",50000))))</f>
        <v/>
      </c>
      <c r="AH18" s="12" t="str">
        <f>IF(AF18=0,"",IF(COUNTIFS($AF$3:AF18,"&gt;0",$S$3:S18,S18)&gt;3,"Trừ toàn bộ chuyên cần tháng",""))</f>
        <v/>
      </c>
      <c r="AI18" s="12"/>
    </row>
    <row r="19" spans="1:35" x14ac:dyDescent="0.25">
      <c r="A19" s="4" t="s">
        <v>113</v>
      </c>
      <c r="B19" s="1" t="s">
        <v>114</v>
      </c>
      <c r="C19" s="1" t="s">
        <v>19</v>
      </c>
      <c r="D19" s="1" t="s">
        <v>48</v>
      </c>
      <c r="E19" s="1" t="s">
        <v>21</v>
      </c>
      <c r="F19" s="1" t="s">
        <v>22</v>
      </c>
      <c r="G19" s="1" t="s">
        <v>28</v>
      </c>
      <c r="H19" s="1" t="s">
        <v>151</v>
      </c>
      <c r="I19" s="1" t="s">
        <v>152</v>
      </c>
      <c r="J19" s="1" t="s">
        <v>24</v>
      </c>
      <c r="K19" s="1" t="s">
        <v>153</v>
      </c>
      <c r="L19" s="1" t="s">
        <v>24</v>
      </c>
      <c r="M19" s="1" t="s">
        <v>25</v>
      </c>
      <c r="N19" s="1" t="s">
        <v>24</v>
      </c>
      <c r="O19" s="1" t="s">
        <v>154</v>
      </c>
      <c r="P19" s="1" t="s">
        <v>24</v>
      </c>
      <c r="Q19" s="1" t="s">
        <v>24</v>
      </c>
      <c r="R19" s="85" t="str">
        <f t="shared" ref="R19:R32" si="4">A19&amp;U19</f>
        <v>2145917</v>
      </c>
      <c r="S19" t="str">
        <f>VLOOKUP(A19,Data_NV!$A:$C,3,0)</f>
        <v>Phạm Anh Vũ</v>
      </c>
      <c r="T19" t="str">
        <f>VLOOKUP(A19,Data_NV!$A:$E,4,0)</f>
        <v>Kế toán - Văn phòng</v>
      </c>
      <c r="U19" s="82">
        <f>DATEVALUE(Table2[[#This Row],[Ngày]])</f>
        <v>45917</v>
      </c>
      <c r="V19" t="str">
        <f>VLOOKUP(A19,Data_NV!$A:$E,5,0)</f>
        <v>Đang làm việc</v>
      </c>
      <c r="W19" s="10">
        <f>VLOOKUP(A19,Data_NV!$A:$I,8,0)</f>
        <v>0.33333333333333331</v>
      </c>
      <c r="X19" s="10">
        <f>VLOOKUP(A19,Data_NV!$A:$I,9,0)</f>
        <v>0.70833333333333337</v>
      </c>
      <c r="Y19" s="10">
        <f>IFERROR(TIMEVALUE(Table2[[#This Row],[Vào]]),0)</f>
        <v>0.32621527777777776</v>
      </c>
      <c r="Z19" s="10">
        <f>IFERROR(TIMEVALUE(Table2[[#This Row],[Ra]]),0)</f>
        <v>0.75320601851851854</v>
      </c>
      <c r="AA19" t="str">
        <f t="shared" ref="AA19:AA32" si="5">IF(TEXT($U19,"ddd")="CN","Chủ nhật",IF(OR(AND(Y19=0,Z19=0),AG19="Không chấm công do vi phạm quá 3 lần"),"",IF(OR(AG19="Trừ 1/2 ngày lương",AF19="Trừ 1/2 ngày lương",AB19&gt;=60),"1/2","x")))</f>
        <v>x</v>
      </c>
      <c r="AB19" s="12">
        <f t="shared" si="1"/>
        <v>0</v>
      </c>
      <c r="AC19" s="12" t="str">
        <f>IF(VLOOKUP(A19,Data_NV!$A:$I,7,0)="Không","",IF(OR(AND(Y19=0,Z19=0),AND(Y19&lt;&gt;0,Z19&lt;&gt;0)),"","Quên chấm công"))</f>
        <v/>
      </c>
      <c r="AD19" s="12">
        <f>IF(VLOOKUP(A19,Data_NV!$A:$I,7,0)="Không",0,IF(AND(Y19=0,Z19=0),0,IF(X19&lt;=Z19,0,ROUNDDOWN((X19-Z19)*24*60,0))))</f>
        <v>0</v>
      </c>
      <c r="AE19" s="12">
        <f>IF(VLOOKUP(A19,Data_NV!$A:$I,6,0)="Không",0,IF(Z19&lt;=X19,0,ROUNDDOWN((Z19-X19)*24*60,0)))</f>
        <v>64</v>
      </c>
      <c r="AF19" s="26">
        <f t="shared" ref="AF19:AF32" si="6">IF(AB19&gt;60,"Trừ 1/2 ngày lương",IF(AB19&gt;15,50000,IF(AB19&gt;6,30000,0)))</f>
        <v>0</v>
      </c>
      <c r="AG19" s="27" t="str">
        <f>IF(AC19="","",IF(COUNTIFS($AC$3:AC19,"Quên chấm công",$S$3:S19,S19)&gt;3,"Không chấm công do vi phạm quá 3 lần",IF(COUNTIFS($AC$3:AC19,"Quên chấm công",$S$3:S19,S19)&gt;2,"Trừ toàn bộ chuyên cần tháng do vi phạm lần 3",IF(COUNTIFS($AC$3:AC19,"Quên chấm công",$S$3:S19,S19)&gt;1,"Trừ 1/2 ngày lương",50000))))</f>
        <v/>
      </c>
      <c r="AH19" s="12" t="str">
        <f>IF(AF19=0,"",IF(COUNTIFS($AF$3:AF19,"&gt;0",$S$3:S19,S19)&gt;3,"Trừ toàn bộ chuyên cần tháng",""))</f>
        <v/>
      </c>
      <c r="AI19" s="12"/>
    </row>
    <row r="20" spans="1:35" x14ac:dyDescent="0.25">
      <c r="A20" s="4" t="s">
        <v>113</v>
      </c>
      <c r="B20" s="1" t="s">
        <v>114</v>
      </c>
      <c r="C20" s="1" t="s">
        <v>19</v>
      </c>
      <c r="D20" s="1" t="s">
        <v>50</v>
      </c>
      <c r="E20" s="1" t="s">
        <v>21</v>
      </c>
      <c r="F20" s="1" t="s">
        <v>22</v>
      </c>
      <c r="G20" s="1" t="s">
        <v>28</v>
      </c>
      <c r="H20" s="1" t="s">
        <v>155</v>
      </c>
      <c r="I20" s="1" t="s">
        <v>156</v>
      </c>
      <c r="J20" s="1" t="s">
        <v>24</v>
      </c>
      <c r="K20" s="1" t="s">
        <v>157</v>
      </c>
      <c r="L20" s="1" t="s">
        <v>24</v>
      </c>
      <c r="M20" s="1" t="s">
        <v>25</v>
      </c>
      <c r="N20" s="1" t="s">
        <v>24</v>
      </c>
      <c r="O20" s="1" t="s">
        <v>29</v>
      </c>
      <c r="P20" s="1" t="s">
        <v>158</v>
      </c>
      <c r="Q20" s="1" t="s">
        <v>24</v>
      </c>
      <c r="R20" s="85" t="str">
        <f t="shared" si="4"/>
        <v>2145918</v>
      </c>
      <c r="S20" t="str">
        <f>VLOOKUP(A20,Data_NV!$A:$C,3,0)</f>
        <v>Phạm Anh Vũ</v>
      </c>
      <c r="T20" t="str">
        <f>VLOOKUP(A20,Data_NV!$A:$E,4,0)</f>
        <v>Kế toán - Văn phòng</v>
      </c>
      <c r="U20" s="82">
        <f>DATEVALUE(Table2[[#This Row],[Ngày]])</f>
        <v>45918</v>
      </c>
      <c r="V20" t="str">
        <f>VLOOKUP(A20,Data_NV!$A:$E,5,0)</f>
        <v>Đang làm việc</v>
      </c>
      <c r="W20" s="10">
        <f>VLOOKUP(A20,Data_NV!$A:$I,8,0)</f>
        <v>0.33333333333333331</v>
      </c>
      <c r="X20" s="10">
        <f>VLOOKUP(A20,Data_NV!$A:$I,9,0)</f>
        <v>0.70833333333333337</v>
      </c>
      <c r="Y20" s="10">
        <f>IFERROR(TIMEVALUE(Table2[[#This Row],[Vào]]),0)</f>
        <v>0.32861111111111113</v>
      </c>
      <c r="Z20" s="10">
        <f>IFERROR(TIMEVALUE(Table2[[#This Row],[Ra]]),0)</f>
        <v>0.80300925925925926</v>
      </c>
      <c r="AA20" t="str">
        <f t="shared" si="5"/>
        <v>x</v>
      </c>
      <c r="AB20" s="12">
        <f t="shared" si="1"/>
        <v>0</v>
      </c>
      <c r="AC20" s="12" t="str">
        <f>IF(VLOOKUP(A20,Data_NV!$A:$I,7,0)="Không","",IF(OR(AND(Y20=0,Z20=0),AND(Y20&lt;&gt;0,Z20&lt;&gt;0)),"","Quên chấm công"))</f>
        <v/>
      </c>
      <c r="AD20" s="12">
        <f>IF(VLOOKUP(A20,Data_NV!$A:$I,7,0)="Không",0,IF(AND(Y20=0,Z20=0),0,IF(X20&lt;=Z20,0,ROUNDDOWN((X20-Z20)*24*60,0))))</f>
        <v>0</v>
      </c>
      <c r="AE20" s="12">
        <f>IF(VLOOKUP(A20,Data_NV!$A:$I,6,0)="Không",0,IF(Z20&lt;=X20,0,ROUNDDOWN((Z20-X20)*24*60,0)))</f>
        <v>136</v>
      </c>
      <c r="AF20" s="26">
        <f t="shared" si="6"/>
        <v>0</v>
      </c>
      <c r="AG20" s="27" t="str">
        <f>IF(AC20="","",IF(COUNTIFS($AC$3:AC20,"Quên chấm công",$S$3:S20,S20)&gt;3,"Không chấm công do vi phạm quá 3 lần",IF(COUNTIFS($AC$3:AC20,"Quên chấm công",$S$3:S20,S20)&gt;2,"Trừ toàn bộ chuyên cần tháng do vi phạm lần 3",IF(COUNTIFS($AC$3:AC20,"Quên chấm công",$S$3:S20,S20)&gt;1,"Trừ 1/2 ngày lương",50000))))</f>
        <v/>
      </c>
      <c r="AH20" s="12" t="str">
        <f>IF(AF20=0,"",IF(COUNTIFS($AF$3:AF20,"&gt;0",$S$3:S20,S20)&gt;3,"Trừ toàn bộ chuyên cần tháng",""))</f>
        <v/>
      </c>
      <c r="AI20" s="12"/>
    </row>
    <row r="21" spans="1:35" x14ac:dyDescent="0.25">
      <c r="A21" s="4" t="s">
        <v>113</v>
      </c>
      <c r="B21" s="1" t="s">
        <v>114</v>
      </c>
      <c r="C21" s="1" t="s">
        <v>19</v>
      </c>
      <c r="D21" s="1" t="s">
        <v>51</v>
      </c>
      <c r="E21" s="1" t="s">
        <v>21</v>
      </c>
      <c r="F21" s="1" t="s">
        <v>22</v>
      </c>
      <c r="G21" s="1" t="s">
        <v>28</v>
      </c>
      <c r="H21" s="1" t="s">
        <v>159</v>
      </c>
      <c r="I21" s="1" t="s">
        <v>160</v>
      </c>
      <c r="J21" s="1" t="s">
        <v>24</v>
      </c>
      <c r="K21" s="1" t="s">
        <v>99</v>
      </c>
      <c r="L21" s="1" t="s">
        <v>24</v>
      </c>
      <c r="M21" s="1" t="s">
        <v>25</v>
      </c>
      <c r="N21" s="1" t="s">
        <v>24</v>
      </c>
      <c r="O21" s="1" t="s">
        <v>100</v>
      </c>
      <c r="P21" s="1" t="s">
        <v>24</v>
      </c>
      <c r="Q21" s="1" t="s">
        <v>24</v>
      </c>
      <c r="R21" s="85" t="str">
        <f t="shared" si="4"/>
        <v>2145919</v>
      </c>
      <c r="S21" t="str">
        <f>VLOOKUP(A21,Data_NV!$A:$C,3,0)</f>
        <v>Phạm Anh Vũ</v>
      </c>
      <c r="T21" t="str">
        <f>VLOOKUP(A21,Data_NV!$A:$E,4,0)</f>
        <v>Kế toán - Văn phòng</v>
      </c>
      <c r="U21" s="82">
        <f>DATEVALUE(Table2[[#This Row],[Ngày]])</f>
        <v>45919</v>
      </c>
      <c r="V21" t="str">
        <f>VLOOKUP(A21,Data_NV!$A:$E,5,0)</f>
        <v>Đang làm việc</v>
      </c>
      <c r="W21" s="10">
        <f>VLOOKUP(A21,Data_NV!$A:$I,8,0)</f>
        <v>0.33333333333333331</v>
      </c>
      <c r="X21" s="10">
        <f>VLOOKUP(A21,Data_NV!$A:$I,9,0)</f>
        <v>0.70833333333333337</v>
      </c>
      <c r="Y21" s="10">
        <f>IFERROR(TIMEVALUE(Table2[[#This Row],[Vào]]),0)</f>
        <v>0.32652777777777775</v>
      </c>
      <c r="Z21" s="10">
        <f>IFERROR(TIMEVALUE(Table2[[#This Row],[Ra]]),0)</f>
        <v>0.76048611111111108</v>
      </c>
      <c r="AA21" t="str">
        <f t="shared" si="5"/>
        <v>x</v>
      </c>
      <c r="AB21" s="12">
        <f t="shared" si="1"/>
        <v>0</v>
      </c>
      <c r="AC21" s="12" t="str">
        <f>IF(VLOOKUP(A21,Data_NV!$A:$I,7,0)="Không","",IF(OR(AND(Y21=0,Z21=0),AND(Y21&lt;&gt;0,Z21&lt;&gt;0)),"","Quên chấm công"))</f>
        <v/>
      </c>
      <c r="AD21" s="12">
        <f>IF(VLOOKUP(A21,Data_NV!$A:$I,7,0)="Không",0,IF(AND(Y21=0,Z21=0),0,IF(X21&lt;=Z21,0,ROUNDDOWN((X21-Z21)*24*60,0))))</f>
        <v>0</v>
      </c>
      <c r="AE21" s="12">
        <f>IF(VLOOKUP(A21,Data_NV!$A:$I,6,0)="Không",0,IF(Z21&lt;=X21,0,ROUNDDOWN((Z21-X21)*24*60,0)))</f>
        <v>75</v>
      </c>
      <c r="AF21" s="26">
        <f t="shared" si="6"/>
        <v>0</v>
      </c>
      <c r="AG21" s="27" t="str">
        <f>IF(AC21="","",IF(COUNTIFS($AC$3:AC21,"Quên chấm công",$S$3:S21,S21)&gt;3,"Không chấm công do vi phạm quá 3 lần",IF(COUNTIFS($AC$3:AC21,"Quên chấm công",$S$3:S21,S21)&gt;2,"Trừ toàn bộ chuyên cần tháng do vi phạm lần 3",IF(COUNTIFS($AC$3:AC21,"Quên chấm công",$S$3:S21,S21)&gt;1,"Trừ 1/2 ngày lương",50000))))</f>
        <v/>
      </c>
      <c r="AH21" s="12" t="str">
        <f>IF(AF21=0,"",IF(COUNTIFS($AF$3:AF21,"&gt;0",$S$3:S21,S21)&gt;3,"Trừ toàn bộ chuyên cần tháng",""))</f>
        <v/>
      </c>
      <c r="AI21" s="12"/>
    </row>
    <row r="22" spans="1:35" x14ac:dyDescent="0.25">
      <c r="A22" s="4" t="s">
        <v>113</v>
      </c>
      <c r="B22" s="1" t="s">
        <v>114</v>
      </c>
      <c r="C22" s="1" t="s">
        <v>19</v>
      </c>
      <c r="D22" s="1" t="s">
        <v>54</v>
      </c>
      <c r="E22" s="1" t="s">
        <v>21</v>
      </c>
      <c r="F22" s="1" t="s">
        <v>22</v>
      </c>
      <c r="G22" s="1" t="s">
        <v>28</v>
      </c>
      <c r="H22" s="1" t="s">
        <v>161</v>
      </c>
      <c r="I22" s="1" t="s">
        <v>162</v>
      </c>
      <c r="J22" s="1" t="s">
        <v>24</v>
      </c>
      <c r="K22" s="1" t="s">
        <v>163</v>
      </c>
      <c r="L22" s="1" t="s">
        <v>24</v>
      </c>
      <c r="M22" s="1" t="s">
        <v>25</v>
      </c>
      <c r="N22" s="1" t="s">
        <v>24</v>
      </c>
      <c r="O22" s="1" t="s">
        <v>164</v>
      </c>
      <c r="P22" s="1" t="s">
        <v>24</v>
      </c>
      <c r="Q22" s="1" t="s">
        <v>24</v>
      </c>
      <c r="R22" s="85" t="str">
        <f t="shared" si="4"/>
        <v>2145920</v>
      </c>
      <c r="S22" t="str">
        <f>VLOOKUP(A22,Data_NV!$A:$C,3,0)</f>
        <v>Phạm Anh Vũ</v>
      </c>
      <c r="T22" t="str">
        <f>VLOOKUP(A22,Data_NV!$A:$E,4,0)</f>
        <v>Kế toán - Văn phòng</v>
      </c>
      <c r="U22" s="82">
        <f>DATEVALUE(Table2[[#This Row],[Ngày]])</f>
        <v>45920</v>
      </c>
      <c r="V22" t="str">
        <f>VLOOKUP(A22,Data_NV!$A:$E,5,0)</f>
        <v>Đang làm việc</v>
      </c>
      <c r="W22" s="10">
        <f>VLOOKUP(A22,Data_NV!$A:$I,8,0)</f>
        <v>0.33333333333333331</v>
      </c>
      <c r="X22" s="10">
        <f>VLOOKUP(A22,Data_NV!$A:$I,9,0)</f>
        <v>0.70833333333333337</v>
      </c>
      <c r="Y22" s="10">
        <f>IFERROR(TIMEVALUE(Table2[[#This Row],[Vào]]),0)</f>
        <v>0.33031250000000001</v>
      </c>
      <c r="Z22" s="10">
        <f>IFERROR(TIMEVALUE(Table2[[#This Row],[Ra]]),0)</f>
        <v>0.77418981481481486</v>
      </c>
      <c r="AA22" t="str">
        <f t="shared" si="5"/>
        <v>x</v>
      </c>
      <c r="AB22" s="12">
        <f t="shared" si="1"/>
        <v>0</v>
      </c>
      <c r="AC22" s="12" t="str">
        <f>IF(VLOOKUP(A22,Data_NV!$A:$I,7,0)="Không","",IF(OR(AND(Y22=0,Z22=0),AND(Y22&lt;&gt;0,Z22&lt;&gt;0)),"","Quên chấm công"))</f>
        <v/>
      </c>
      <c r="AD22" s="12">
        <f>IF(VLOOKUP(A22,Data_NV!$A:$I,7,0)="Không",0,IF(AND(Y22=0,Z22=0),0,IF(X22&lt;=Z22,0,ROUNDDOWN((X22-Z22)*24*60,0))))</f>
        <v>0</v>
      </c>
      <c r="AE22" s="12">
        <f>IF(VLOOKUP(A22,Data_NV!$A:$I,6,0)="Không",0,IF(Z22&lt;=X22,0,ROUNDDOWN((Z22-X22)*24*60,0)))</f>
        <v>94</v>
      </c>
      <c r="AF22" s="26">
        <f t="shared" si="6"/>
        <v>0</v>
      </c>
      <c r="AG22" s="27" t="str">
        <f>IF(AC22="","",IF(COUNTIFS($AC$3:AC22,"Quên chấm công",$S$3:S22,S22)&gt;3,"Không chấm công do vi phạm quá 3 lần",IF(COUNTIFS($AC$3:AC22,"Quên chấm công",$S$3:S22,S22)&gt;2,"Trừ toàn bộ chuyên cần tháng do vi phạm lần 3",IF(COUNTIFS($AC$3:AC22,"Quên chấm công",$S$3:S22,S22)&gt;1,"Trừ 1/2 ngày lương",50000))))</f>
        <v/>
      </c>
      <c r="AH22" s="12" t="str">
        <f>IF(AF22=0,"",IF(COUNTIFS($AF$3:AF22,"&gt;0",$S$3:S22,S22)&gt;3,"Trừ toàn bộ chuyên cần tháng",""))</f>
        <v/>
      </c>
      <c r="AI22" s="12"/>
    </row>
    <row r="23" spans="1:35" x14ac:dyDescent="0.25">
      <c r="A23" s="4" t="s">
        <v>113</v>
      </c>
      <c r="B23" s="1" t="s">
        <v>114</v>
      </c>
      <c r="C23" s="1" t="s">
        <v>19</v>
      </c>
      <c r="D23" s="1" t="s">
        <v>57</v>
      </c>
      <c r="E23" s="1" t="s">
        <v>21</v>
      </c>
      <c r="F23" s="1" t="s">
        <v>22</v>
      </c>
      <c r="G23" s="1" t="s">
        <v>12</v>
      </c>
      <c r="H23" s="1" t="s">
        <v>23</v>
      </c>
      <c r="I23" s="1" t="s">
        <v>23</v>
      </c>
      <c r="J23" s="1" t="s">
        <v>24</v>
      </c>
      <c r="K23" s="1" t="s">
        <v>24</v>
      </c>
      <c r="L23" s="1" t="s">
        <v>25</v>
      </c>
      <c r="M23" s="1" t="s">
        <v>24</v>
      </c>
      <c r="N23" s="1" t="s">
        <v>24</v>
      </c>
      <c r="O23" s="1" t="s">
        <v>24</v>
      </c>
      <c r="P23" s="1" t="s">
        <v>24</v>
      </c>
      <c r="Q23" s="1" t="s">
        <v>24</v>
      </c>
      <c r="R23" s="85" t="str">
        <f t="shared" si="4"/>
        <v>2145921</v>
      </c>
      <c r="S23" t="str">
        <f>VLOOKUP(A23,Data_NV!$A:$C,3,0)</f>
        <v>Phạm Anh Vũ</v>
      </c>
      <c r="T23" t="str">
        <f>VLOOKUP(A23,Data_NV!$A:$E,4,0)</f>
        <v>Kế toán - Văn phòng</v>
      </c>
      <c r="U23" s="82">
        <f>DATEVALUE(Table2[[#This Row],[Ngày]])</f>
        <v>45921</v>
      </c>
      <c r="V23" t="str">
        <f>VLOOKUP(A23,Data_NV!$A:$E,5,0)</f>
        <v>Đang làm việc</v>
      </c>
      <c r="W23" s="10">
        <f>VLOOKUP(A23,Data_NV!$A:$I,8,0)</f>
        <v>0.33333333333333331</v>
      </c>
      <c r="X23" s="10">
        <f>VLOOKUP(A23,Data_NV!$A:$I,9,0)</f>
        <v>0.70833333333333337</v>
      </c>
      <c r="Y23" s="10">
        <f>IFERROR(TIMEVALUE(Table2[[#This Row],[Vào]]),0)</f>
        <v>0</v>
      </c>
      <c r="Z23" s="10">
        <f>IFERROR(TIMEVALUE(Table2[[#This Row],[Ra]]),0)</f>
        <v>0</v>
      </c>
      <c r="AA23" t="str">
        <f t="shared" si="5"/>
        <v>Chủ nhật</v>
      </c>
      <c r="AB23" s="12">
        <f t="shared" si="1"/>
        <v>0</v>
      </c>
      <c r="AC23" s="12" t="str">
        <f>IF(VLOOKUP(A23,Data_NV!$A:$I,7,0)="Không","",IF(OR(AND(Y23=0,Z23=0),AND(Y23&lt;&gt;0,Z23&lt;&gt;0)),"","Quên chấm công"))</f>
        <v/>
      </c>
      <c r="AD23" s="12">
        <f>IF(VLOOKUP(A23,Data_NV!$A:$I,7,0)="Không",0,IF(AND(Y23=0,Z23=0),0,IF(X23&lt;=Z23,0,ROUNDDOWN((X23-Z23)*24*60,0))))</f>
        <v>0</v>
      </c>
      <c r="AE23" s="12">
        <f>IF(VLOOKUP(A23,Data_NV!$A:$I,6,0)="Không",0,IF(Z23&lt;=X23,0,ROUNDDOWN((Z23-X23)*24*60,0)))</f>
        <v>0</v>
      </c>
      <c r="AF23" s="26">
        <f t="shared" si="6"/>
        <v>0</v>
      </c>
      <c r="AG23" s="27" t="str">
        <f>IF(AC23="","",IF(COUNTIFS($AC$3:AC23,"Quên chấm công",$S$3:S23,S23)&gt;3,"Không chấm công do vi phạm quá 3 lần",IF(COUNTIFS($AC$3:AC23,"Quên chấm công",$S$3:S23,S23)&gt;2,"Trừ toàn bộ chuyên cần tháng do vi phạm lần 3",IF(COUNTIFS($AC$3:AC23,"Quên chấm công",$S$3:S23,S23)&gt;1,"Trừ 1/2 ngày lương",50000))))</f>
        <v/>
      </c>
      <c r="AH23" s="12" t="str">
        <f>IF(AF23=0,"",IF(COUNTIFS($AF$3:AF23,"&gt;0",$S$3:S23,S23)&gt;3,"Trừ toàn bộ chuyên cần tháng",""))</f>
        <v/>
      </c>
      <c r="AI23" s="12"/>
    </row>
    <row r="24" spans="1:35" x14ac:dyDescent="0.25">
      <c r="A24" s="4" t="s">
        <v>113</v>
      </c>
      <c r="B24" s="1" t="s">
        <v>114</v>
      </c>
      <c r="C24" s="1" t="s">
        <v>19</v>
      </c>
      <c r="D24" s="1" t="s">
        <v>58</v>
      </c>
      <c r="E24" s="1" t="s">
        <v>21</v>
      </c>
      <c r="F24" s="1" t="s">
        <v>22</v>
      </c>
      <c r="G24" s="1" t="s">
        <v>28</v>
      </c>
      <c r="H24" s="1" t="s">
        <v>165</v>
      </c>
      <c r="I24" s="1" t="s">
        <v>166</v>
      </c>
      <c r="J24" s="1" t="s">
        <v>24</v>
      </c>
      <c r="K24" s="1" t="s">
        <v>167</v>
      </c>
      <c r="L24" s="1" t="s">
        <v>24</v>
      </c>
      <c r="M24" s="1" t="s">
        <v>25</v>
      </c>
      <c r="N24" s="1" t="s">
        <v>24</v>
      </c>
      <c r="O24" s="1" t="s">
        <v>29</v>
      </c>
      <c r="P24" s="1" t="s">
        <v>168</v>
      </c>
      <c r="Q24" s="1" t="s">
        <v>24</v>
      </c>
      <c r="R24" s="85" t="str">
        <f t="shared" si="4"/>
        <v>2145922</v>
      </c>
      <c r="S24" t="str">
        <f>VLOOKUP(A24,Data_NV!$A:$C,3,0)</f>
        <v>Phạm Anh Vũ</v>
      </c>
      <c r="T24" t="str">
        <f>VLOOKUP(A24,Data_NV!$A:$E,4,0)</f>
        <v>Kế toán - Văn phòng</v>
      </c>
      <c r="U24" s="82">
        <f>DATEVALUE(Table2[[#This Row],[Ngày]])</f>
        <v>45922</v>
      </c>
      <c r="V24" t="str">
        <f>VLOOKUP(A24,Data_NV!$A:$E,5,0)</f>
        <v>Đang làm việc</v>
      </c>
      <c r="W24" s="10">
        <f>VLOOKUP(A24,Data_NV!$A:$I,8,0)</f>
        <v>0.33333333333333331</v>
      </c>
      <c r="X24" s="10">
        <f>VLOOKUP(A24,Data_NV!$A:$I,9,0)</f>
        <v>0.70833333333333337</v>
      </c>
      <c r="Y24" s="10">
        <f>IFERROR(TIMEVALUE(Table2[[#This Row],[Vào]]),0)</f>
        <v>0.31802083333333331</v>
      </c>
      <c r="Z24" s="10">
        <f>IFERROR(TIMEVALUE(Table2[[#This Row],[Ra]]),0)</f>
        <v>0.80453703703703705</v>
      </c>
      <c r="AA24" t="str">
        <f t="shared" si="5"/>
        <v>x</v>
      </c>
      <c r="AB24" s="12">
        <f t="shared" si="1"/>
        <v>0</v>
      </c>
      <c r="AC24" s="12" t="str">
        <f>IF(VLOOKUP(A24,Data_NV!$A:$I,7,0)="Không","",IF(OR(AND(Y24=0,Z24=0),AND(Y24&lt;&gt;0,Z24&lt;&gt;0)),"","Quên chấm công"))</f>
        <v/>
      </c>
      <c r="AD24" s="12">
        <f>IF(VLOOKUP(A24,Data_NV!$A:$I,7,0)="Không",0,IF(AND(Y24=0,Z24=0),0,IF(X24&lt;=Z24,0,ROUNDDOWN((X24-Z24)*24*60,0))))</f>
        <v>0</v>
      </c>
      <c r="AE24" s="12">
        <f>IF(VLOOKUP(A24,Data_NV!$A:$I,6,0)="Không",0,IF(Z24&lt;=X24,0,ROUNDDOWN((Z24-X24)*24*60,0)))</f>
        <v>138</v>
      </c>
      <c r="AF24" s="26">
        <f t="shared" si="6"/>
        <v>0</v>
      </c>
      <c r="AG24" s="27" t="str">
        <f>IF(AC24="","",IF(COUNTIFS($AC$3:AC24,"Quên chấm công",$S$3:S24,S24)&gt;3,"Không chấm công do vi phạm quá 3 lần",IF(COUNTIFS($AC$3:AC24,"Quên chấm công",$S$3:S24,S24)&gt;2,"Trừ toàn bộ chuyên cần tháng do vi phạm lần 3",IF(COUNTIFS($AC$3:AC24,"Quên chấm công",$S$3:S24,S24)&gt;1,"Trừ 1/2 ngày lương",50000))))</f>
        <v/>
      </c>
      <c r="AH24" s="12" t="str">
        <f>IF(AF24=0,"",IF(COUNTIFS($AF$3:AF24,"&gt;0",$S$3:S24,S24)&gt;3,"Trừ toàn bộ chuyên cần tháng",""))</f>
        <v/>
      </c>
      <c r="AI24" s="12"/>
    </row>
    <row r="25" spans="1:35" x14ac:dyDescent="0.25">
      <c r="A25" s="4" t="s">
        <v>113</v>
      </c>
      <c r="B25" s="1" t="s">
        <v>114</v>
      </c>
      <c r="C25" s="1" t="s">
        <v>19</v>
      </c>
      <c r="D25" s="1" t="s">
        <v>59</v>
      </c>
      <c r="E25" s="1" t="s">
        <v>21</v>
      </c>
      <c r="F25" s="1" t="s">
        <v>22</v>
      </c>
      <c r="G25" s="1" t="s">
        <v>28</v>
      </c>
      <c r="H25" s="1" t="s">
        <v>169</v>
      </c>
      <c r="I25" s="1" t="s">
        <v>170</v>
      </c>
      <c r="J25" s="1" t="s">
        <v>24</v>
      </c>
      <c r="K25" s="1" t="s">
        <v>144</v>
      </c>
      <c r="L25" s="1" t="s">
        <v>24</v>
      </c>
      <c r="M25" s="1" t="s">
        <v>25</v>
      </c>
      <c r="N25" s="1" t="s">
        <v>24</v>
      </c>
      <c r="O25" s="1" t="s">
        <v>145</v>
      </c>
      <c r="P25" s="1" t="s">
        <v>24</v>
      </c>
      <c r="Q25" s="1" t="s">
        <v>24</v>
      </c>
      <c r="R25" s="85" t="str">
        <f t="shared" si="4"/>
        <v>2145923</v>
      </c>
      <c r="S25" t="str">
        <f>VLOOKUP(A25,Data_NV!$A:$C,3,0)</f>
        <v>Phạm Anh Vũ</v>
      </c>
      <c r="T25" t="str">
        <f>VLOOKUP(A25,Data_NV!$A:$E,4,0)</f>
        <v>Kế toán - Văn phòng</v>
      </c>
      <c r="U25" s="82">
        <f>DATEVALUE(Table2[[#This Row],[Ngày]])</f>
        <v>45923</v>
      </c>
      <c r="V25" t="str">
        <f>VLOOKUP(A25,Data_NV!$A:$E,5,0)</f>
        <v>Đang làm việc</v>
      </c>
      <c r="W25" s="10">
        <f>VLOOKUP(A25,Data_NV!$A:$I,8,0)</f>
        <v>0.33333333333333331</v>
      </c>
      <c r="X25" s="10">
        <f>VLOOKUP(A25,Data_NV!$A:$I,9,0)</f>
        <v>0.70833333333333337</v>
      </c>
      <c r="Y25" s="10">
        <f>IFERROR(TIMEVALUE(Table2[[#This Row],[Vào]]),0)</f>
        <v>0.3207638888888889</v>
      </c>
      <c r="Z25" s="10">
        <f>IFERROR(TIMEVALUE(Table2[[#This Row],[Ra]]),0)</f>
        <v>0.75559027777777776</v>
      </c>
      <c r="AA25" t="str">
        <f t="shared" si="5"/>
        <v>x</v>
      </c>
      <c r="AB25" s="12">
        <f t="shared" si="1"/>
        <v>0</v>
      </c>
      <c r="AC25" s="12" t="str">
        <f>IF(VLOOKUP(A25,Data_NV!$A:$I,7,0)="Không","",IF(OR(AND(Y25=0,Z25=0),AND(Y25&lt;&gt;0,Z25&lt;&gt;0)),"","Quên chấm công"))</f>
        <v/>
      </c>
      <c r="AD25" s="12">
        <f>IF(VLOOKUP(A25,Data_NV!$A:$I,7,0)="Không",0,IF(AND(Y25=0,Z25=0),0,IF(X25&lt;=Z25,0,ROUNDDOWN((X25-Z25)*24*60,0))))</f>
        <v>0</v>
      </c>
      <c r="AE25" s="12">
        <f>IF(VLOOKUP(A25,Data_NV!$A:$I,6,0)="Không",0,IF(Z25&lt;=X25,0,ROUNDDOWN((Z25-X25)*24*60,0)))</f>
        <v>68</v>
      </c>
      <c r="AF25" s="26">
        <f t="shared" si="6"/>
        <v>0</v>
      </c>
      <c r="AG25" s="27" t="str">
        <f>IF(AC25="","",IF(COUNTIFS($AC$3:AC25,"Quên chấm công",$S$3:S25,S25)&gt;3,"Không chấm công do vi phạm quá 3 lần",IF(COUNTIFS($AC$3:AC25,"Quên chấm công",$S$3:S25,S25)&gt;2,"Trừ toàn bộ chuyên cần tháng do vi phạm lần 3",IF(COUNTIFS($AC$3:AC25,"Quên chấm công",$S$3:S25,S25)&gt;1,"Trừ 1/2 ngày lương",50000))))</f>
        <v/>
      </c>
      <c r="AH25" s="12" t="str">
        <f>IF(AF25=0,"",IF(COUNTIFS($AF$3:AF25,"&gt;0",$S$3:S25,S25)&gt;3,"Trừ toàn bộ chuyên cần tháng",""))</f>
        <v/>
      </c>
      <c r="AI25" s="12"/>
    </row>
    <row r="26" spans="1:35" x14ac:dyDescent="0.25">
      <c r="A26" s="4" t="s">
        <v>113</v>
      </c>
      <c r="B26" s="1" t="s">
        <v>114</v>
      </c>
      <c r="C26" s="1" t="s">
        <v>19</v>
      </c>
      <c r="D26" s="1" t="s">
        <v>62</v>
      </c>
      <c r="E26" s="1" t="s">
        <v>21</v>
      </c>
      <c r="F26" s="1" t="s">
        <v>22</v>
      </c>
      <c r="G26" s="1" t="s">
        <v>28</v>
      </c>
      <c r="H26" s="1" t="s">
        <v>171</v>
      </c>
      <c r="I26" s="1" t="s">
        <v>172</v>
      </c>
      <c r="J26" s="1" t="s">
        <v>24</v>
      </c>
      <c r="K26" s="1" t="s">
        <v>173</v>
      </c>
      <c r="L26" s="1" t="s">
        <v>24</v>
      </c>
      <c r="M26" s="1" t="s">
        <v>25</v>
      </c>
      <c r="N26" s="1" t="s">
        <v>24</v>
      </c>
      <c r="O26" s="1" t="s">
        <v>174</v>
      </c>
      <c r="P26" s="1" t="s">
        <v>24</v>
      </c>
      <c r="Q26" s="1" t="s">
        <v>24</v>
      </c>
      <c r="R26" s="85" t="str">
        <f t="shared" si="4"/>
        <v>2145924</v>
      </c>
      <c r="S26" t="str">
        <f>VLOOKUP(A26,Data_NV!$A:$C,3,0)</f>
        <v>Phạm Anh Vũ</v>
      </c>
      <c r="T26" t="str">
        <f>VLOOKUP(A26,Data_NV!$A:$E,4,0)</f>
        <v>Kế toán - Văn phòng</v>
      </c>
      <c r="U26" s="82">
        <f>DATEVALUE(Table2[[#This Row],[Ngày]])</f>
        <v>45924</v>
      </c>
      <c r="V26" t="str">
        <f>VLOOKUP(A26,Data_NV!$A:$E,5,0)</f>
        <v>Đang làm việc</v>
      </c>
      <c r="W26" s="10">
        <f>VLOOKUP(A26,Data_NV!$A:$I,8,0)</f>
        <v>0.33333333333333331</v>
      </c>
      <c r="X26" s="10">
        <f>VLOOKUP(A26,Data_NV!$A:$I,9,0)</f>
        <v>0.70833333333333337</v>
      </c>
      <c r="Y26" s="10">
        <f>IFERROR(TIMEVALUE(Table2[[#This Row],[Vào]]),0)</f>
        <v>0.31436342592592592</v>
      </c>
      <c r="Z26" s="10">
        <f>IFERROR(TIMEVALUE(Table2[[#This Row],[Ra]]),0)</f>
        <v>0.78988425925925931</v>
      </c>
      <c r="AA26" t="str">
        <f t="shared" si="5"/>
        <v>x</v>
      </c>
      <c r="AB26" s="12">
        <f t="shared" si="1"/>
        <v>0</v>
      </c>
      <c r="AC26" s="12" t="str">
        <f>IF(VLOOKUP(A26,Data_NV!$A:$I,7,0)="Không","",IF(OR(AND(Y26=0,Z26=0),AND(Y26&lt;&gt;0,Z26&lt;&gt;0)),"","Quên chấm công"))</f>
        <v/>
      </c>
      <c r="AD26" s="12">
        <f>IF(VLOOKUP(A26,Data_NV!$A:$I,7,0)="Không",0,IF(AND(Y26=0,Z26=0),0,IF(X26&lt;=Z26,0,ROUNDDOWN((X26-Z26)*24*60,0))))</f>
        <v>0</v>
      </c>
      <c r="AE26" s="12">
        <f>IF(VLOOKUP(A26,Data_NV!$A:$I,6,0)="Không",0,IF(Z26&lt;=X26,0,ROUNDDOWN((Z26-X26)*24*60,0)))</f>
        <v>117</v>
      </c>
      <c r="AF26" s="26">
        <f t="shared" si="6"/>
        <v>0</v>
      </c>
      <c r="AG26" s="27" t="str">
        <f>IF(AC26="","",IF(COUNTIFS($AC$3:AC26,"Quên chấm công",$S$3:S26,S26)&gt;3,"Không chấm công do vi phạm quá 3 lần",IF(COUNTIFS($AC$3:AC26,"Quên chấm công",$S$3:S26,S26)&gt;2,"Trừ toàn bộ chuyên cần tháng do vi phạm lần 3",IF(COUNTIFS($AC$3:AC26,"Quên chấm công",$S$3:S26,S26)&gt;1,"Trừ 1/2 ngày lương",50000))))</f>
        <v/>
      </c>
      <c r="AH26" s="12" t="str">
        <f>IF(AF26=0,"",IF(COUNTIFS($AF$3:AF26,"&gt;0",$S$3:S26,S26)&gt;3,"Trừ toàn bộ chuyên cần tháng",""))</f>
        <v/>
      </c>
      <c r="AI26" s="12"/>
    </row>
    <row r="27" spans="1:35" x14ac:dyDescent="0.25">
      <c r="A27" s="4" t="s">
        <v>113</v>
      </c>
      <c r="B27" s="1" t="s">
        <v>114</v>
      </c>
      <c r="C27" s="1" t="s">
        <v>19</v>
      </c>
      <c r="D27" s="1" t="s">
        <v>65</v>
      </c>
      <c r="E27" s="1" t="s">
        <v>21</v>
      </c>
      <c r="F27" s="1" t="s">
        <v>22</v>
      </c>
      <c r="G27" s="1" t="s">
        <v>28</v>
      </c>
      <c r="H27" s="1" t="s">
        <v>175</v>
      </c>
      <c r="I27" s="1" t="s">
        <v>176</v>
      </c>
      <c r="J27" s="1" t="s">
        <v>24</v>
      </c>
      <c r="K27" s="1" t="s">
        <v>177</v>
      </c>
      <c r="L27" s="1" t="s">
        <v>24</v>
      </c>
      <c r="M27" s="1" t="s">
        <v>25</v>
      </c>
      <c r="N27" s="1" t="s">
        <v>24</v>
      </c>
      <c r="O27" s="1" t="s">
        <v>29</v>
      </c>
      <c r="P27" s="1" t="s">
        <v>73</v>
      </c>
      <c r="Q27" s="1" t="s">
        <v>24</v>
      </c>
      <c r="R27" s="85" t="str">
        <f t="shared" si="4"/>
        <v>2145925</v>
      </c>
      <c r="S27" t="str">
        <f>VLOOKUP(A27,Data_NV!$A:$C,3,0)</f>
        <v>Phạm Anh Vũ</v>
      </c>
      <c r="T27" t="str">
        <f>VLOOKUP(A27,Data_NV!$A:$E,4,0)</f>
        <v>Kế toán - Văn phòng</v>
      </c>
      <c r="U27" s="82">
        <f>DATEVALUE(Table2[[#This Row],[Ngày]])</f>
        <v>45925</v>
      </c>
      <c r="V27" t="str">
        <f>VLOOKUP(A27,Data_NV!$A:$E,5,0)</f>
        <v>Đang làm việc</v>
      </c>
      <c r="W27" s="10">
        <f>VLOOKUP(A27,Data_NV!$A:$I,8,0)</f>
        <v>0.33333333333333331</v>
      </c>
      <c r="X27" s="10">
        <f>VLOOKUP(A27,Data_NV!$A:$I,9,0)</f>
        <v>0.70833333333333337</v>
      </c>
      <c r="Y27" s="10">
        <f>IFERROR(TIMEVALUE(Table2[[#This Row],[Vào]]),0)</f>
        <v>0.3195486111111111</v>
      </c>
      <c r="Z27" s="10">
        <f>IFERROR(TIMEVALUE(Table2[[#This Row],[Ra]]),0)</f>
        <v>0.80415509259259255</v>
      </c>
      <c r="AA27" t="str">
        <f t="shared" si="5"/>
        <v>x</v>
      </c>
      <c r="AB27" s="12">
        <f t="shared" si="1"/>
        <v>0</v>
      </c>
      <c r="AC27" s="12" t="str">
        <f>IF(VLOOKUP(A27,Data_NV!$A:$I,7,0)="Không","",IF(OR(AND(Y27=0,Z27=0),AND(Y27&lt;&gt;0,Z27&lt;&gt;0)),"","Quên chấm công"))</f>
        <v/>
      </c>
      <c r="AD27" s="12">
        <f>IF(VLOOKUP(A27,Data_NV!$A:$I,7,0)="Không",0,IF(AND(Y27=0,Z27=0),0,IF(X27&lt;=Z27,0,ROUNDDOWN((X27-Z27)*24*60,0))))</f>
        <v>0</v>
      </c>
      <c r="AE27" s="12">
        <f>IF(VLOOKUP(A27,Data_NV!$A:$I,6,0)="Không",0,IF(Z27&lt;=X27,0,ROUNDDOWN((Z27-X27)*24*60,0)))</f>
        <v>137</v>
      </c>
      <c r="AF27" s="26">
        <f t="shared" si="6"/>
        <v>0</v>
      </c>
      <c r="AG27" s="27" t="str">
        <f>IF(AC27="","",IF(COUNTIFS($AC$3:AC27,"Quên chấm công",$S$3:S27,S27)&gt;3,"Không chấm công do vi phạm quá 3 lần",IF(COUNTIFS($AC$3:AC27,"Quên chấm công",$S$3:S27,S27)&gt;2,"Trừ toàn bộ chuyên cần tháng do vi phạm lần 3",IF(COUNTIFS($AC$3:AC27,"Quên chấm công",$S$3:S27,S27)&gt;1,"Trừ 1/2 ngày lương",50000))))</f>
        <v/>
      </c>
      <c r="AH27" s="12" t="str">
        <f>IF(AF27=0,"",IF(COUNTIFS($AF$3:AF27,"&gt;0",$S$3:S27,S27)&gt;3,"Trừ toàn bộ chuyên cần tháng",""))</f>
        <v/>
      </c>
      <c r="AI27" s="12"/>
    </row>
    <row r="28" spans="1:35" x14ac:dyDescent="0.25">
      <c r="A28" s="4" t="s">
        <v>113</v>
      </c>
      <c r="B28" s="1" t="s">
        <v>114</v>
      </c>
      <c r="C28" s="1" t="s">
        <v>19</v>
      </c>
      <c r="D28" s="1" t="s">
        <v>66</v>
      </c>
      <c r="E28" s="1" t="s">
        <v>21</v>
      </c>
      <c r="F28" s="1" t="s">
        <v>22</v>
      </c>
      <c r="G28" s="1" t="s">
        <v>28</v>
      </c>
      <c r="H28" s="1" t="s">
        <v>178</v>
      </c>
      <c r="I28" s="1" t="s">
        <v>179</v>
      </c>
      <c r="J28" s="1" t="s">
        <v>24</v>
      </c>
      <c r="K28" s="1" t="s">
        <v>180</v>
      </c>
      <c r="L28" s="1" t="s">
        <v>24</v>
      </c>
      <c r="M28" s="1" t="s">
        <v>25</v>
      </c>
      <c r="N28" s="1" t="s">
        <v>24</v>
      </c>
      <c r="O28" s="1" t="s">
        <v>29</v>
      </c>
      <c r="P28" s="1" t="s">
        <v>181</v>
      </c>
      <c r="Q28" s="1" t="s">
        <v>24</v>
      </c>
      <c r="R28" s="85" t="str">
        <f t="shared" si="4"/>
        <v>2145926</v>
      </c>
      <c r="S28" t="str">
        <f>VLOOKUP(A28,Data_NV!$A:$C,3,0)</f>
        <v>Phạm Anh Vũ</v>
      </c>
      <c r="T28" t="str">
        <f>VLOOKUP(A28,Data_NV!$A:$E,4,0)</f>
        <v>Kế toán - Văn phòng</v>
      </c>
      <c r="U28" s="82">
        <f>DATEVALUE(Table2[[#This Row],[Ngày]])</f>
        <v>45926</v>
      </c>
      <c r="V28" t="str">
        <f>VLOOKUP(A28,Data_NV!$A:$E,5,0)</f>
        <v>Đang làm việc</v>
      </c>
      <c r="W28" s="10">
        <f>VLOOKUP(A28,Data_NV!$A:$I,8,0)</f>
        <v>0.33333333333333331</v>
      </c>
      <c r="X28" s="10">
        <f>VLOOKUP(A28,Data_NV!$A:$I,9,0)</f>
        <v>0.70833333333333337</v>
      </c>
      <c r="Y28" s="10">
        <f>IFERROR(TIMEVALUE(Table2[[#This Row],[Vào]]),0)</f>
        <v>0.31971064814814815</v>
      </c>
      <c r="Z28" s="10">
        <f>IFERROR(TIMEVALUE(Table2[[#This Row],[Ra]]),0)</f>
        <v>0.80085648148148147</v>
      </c>
      <c r="AA28" t="str">
        <f t="shared" si="5"/>
        <v>x</v>
      </c>
      <c r="AB28" s="12">
        <f t="shared" si="1"/>
        <v>0</v>
      </c>
      <c r="AC28" s="12" t="str">
        <f>IF(VLOOKUP(A28,Data_NV!$A:$I,7,0)="Không","",IF(OR(AND(Y28=0,Z28=0),AND(Y28&lt;&gt;0,Z28&lt;&gt;0)),"","Quên chấm công"))</f>
        <v/>
      </c>
      <c r="AD28" s="12">
        <f>IF(VLOOKUP(A28,Data_NV!$A:$I,7,0)="Không",0,IF(AND(Y28=0,Z28=0),0,IF(X28&lt;=Z28,0,ROUNDDOWN((X28-Z28)*24*60,0))))</f>
        <v>0</v>
      </c>
      <c r="AE28" s="12">
        <f>IF(VLOOKUP(A28,Data_NV!$A:$I,6,0)="Không",0,IF(Z28&lt;=X28,0,ROUNDDOWN((Z28-X28)*24*60,0)))</f>
        <v>133</v>
      </c>
      <c r="AF28" s="26">
        <f t="shared" si="6"/>
        <v>0</v>
      </c>
      <c r="AG28" s="27" t="str">
        <f>IF(AC28="","",IF(COUNTIFS($AC$3:AC28,"Quên chấm công",$S$3:S28,S28)&gt;3,"Không chấm công do vi phạm quá 3 lần",IF(COUNTIFS($AC$3:AC28,"Quên chấm công",$S$3:S28,S28)&gt;2,"Trừ toàn bộ chuyên cần tháng do vi phạm lần 3",IF(COUNTIFS($AC$3:AC28,"Quên chấm công",$S$3:S28,S28)&gt;1,"Trừ 1/2 ngày lương",50000))))</f>
        <v/>
      </c>
      <c r="AH28" s="12" t="str">
        <f>IF(AF28=0,"",IF(COUNTIFS($AF$3:AF28,"&gt;0",$S$3:S28,S28)&gt;3,"Trừ toàn bộ chuyên cần tháng",""))</f>
        <v/>
      </c>
      <c r="AI28" s="12"/>
    </row>
    <row r="29" spans="1:35" x14ac:dyDescent="0.25">
      <c r="A29" s="4" t="s">
        <v>113</v>
      </c>
      <c r="B29" s="1" t="s">
        <v>114</v>
      </c>
      <c r="C29" s="1" t="s">
        <v>19</v>
      </c>
      <c r="D29" s="1" t="s">
        <v>67</v>
      </c>
      <c r="E29" s="1" t="s">
        <v>21</v>
      </c>
      <c r="F29" s="1" t="s">
        <v>22</v>
      </c>
      <c r="G29" s="1" t="s">
        <v>28</v>
      </c>
      <c r="H29" s="1" t="s">
        <v>182</v>
      </c>
      <c r="I29" s="1" t="s">
        <v>183</v>
      </c>
      <c r="J29" s="1" t="s">
        <v>24</v>
      </c>
      <c r="K29" s="1" t="s">
        <v>184</v>
      </c>
      <c r="L29" s="1" t="s">
        <v>24</v>
      </c>
      <c r="M29" s="1" t="s">
        <v>25</v>
      </c>
      <c r="N29" s="1" t="s">
        <v>24</v>
      </c>
      <c r="O29" s="1" t="s">
        <v>185</v>
      </c>
      <c r="P29" s="1" t="s">
        <v>24</v>
      </c>
      <c r="Q29" s="1" t="s">
        <v>24</v>
      </c>
      <c r="R29" s="85" t="str">
        <f t="shared" si="4"/>
        <v>2145927</v>
      </c>
      <c r="S29" t="str">
        <f>VLOOKUP(A29,Data_NV!$A:$C,3,0)</f>
        <v>Phạm Anh Vũ</v>
      </c>
      <c r="T29" t="str">
        <f>VLOOKUP(A29,Data_NV!$A:$E,4,0)</f>
        <v>Kế toán - Văn phòng</v>
      </c>
      <c r="U29" s="82">
        <f>DATEVALUE(Table2[[#This Row],[Ngày]])</f>
        <v>45927</v>
      </c>
      <c r="V29" t="str">
        <f>VLOOKUP(A29,Data_NV!$A:$E,5,0)</f>
        <v>Đang làm việc</v>
      </c>
      <c r="W29" s="10">
        <f>VLOOKUP(A29,Data_NV!$A:$I,8,0)</f>
        <v>0.33333333333333331</v>
      </c>
      <c r="X29" s="10">
        <f>VLOOKUP(A29,Data_NV!$A:$I,9,0)</f>
        <v>0.70833333333333337</v>
      </c>
      <c r="Y29" s="10">
        <f>IFERROR(TIMEVALUE(Table2[[#This Row],[Vào]]),0)</f>
        <v>0.30864583333333334</v>
      </c>
      <c r="Z29" s="10">
        <f>IFERROR(TIMEVALUE(Table2[[#This Row],[Ra]]),0)</f>
        <v>0.78878472222222218</v>
      </c>
      <c r="AA29" t="str">
        <f t="shared" si="5"/>
        <v>x</v>
      </c>
      <c r="AB29" s="12">
        <f t="shared" si="1"/>
        <v>0</v>
      </c>
      <c r="AC29" s="12" t="str">
        <f>IF(VLOOKUP(A29,Data_NV!$A:$I,7,0)="Không","",IF(OR(AND(Y29=0,Z29=0),AND(Y29&lt;&gt;0,Z29&lt;&gt;0)),"","Quên chấm công"))</f>
        <v/>
      </c>
      <c r="AD29" s="12">
        <f>IF(VLOOKUP(A29,Data_NV!$A:$I,7,0)="Không",0,IF(AND(Y29=0,Z29=0),0,IF(X29&lt;=Z29,0,ROUNDDOWN((X29-Z29)*24*60,0))))</f>
        <v>0</v>
      </c>
      <c r="AE29" s="12">
        <f>IF(VLOOKUP(A29,Data_NV!$A:$I,6,0)="Không",0,IF(Z29&lt;=X29,0,ROUNDDOWN((Z29-X29)*24*60,0)))</f>
        <v>115</v>
      </c>
      <c r="AF29" s="26">
        <f t="shared" si="6"/>
        <v>0</v>
      </c>
      <c r="AG29" s="27" t="str">
        <f>IF(AC29="","",IF(COUNTIFS($AC$3:AC29,"Quên chấm công",$S$3:S29,S29)&gt;3,"Không chấm công do vi phạm quá 3 lần",IF(COUNTIFS($AC$3:AC29,"Quên chấm công",$S$3:S29,S29)&gt;2,"Trừ toàn bộ chuyên cần tháng do vi phạm lần 3",IF(COUNTIFS($AC$3:AC29,"Quên chấm công",$S$3:S29,S29)&gt;1,"Trừ 1/2 ngày lương",50000))))</f>
        <v/>
      </c>
      <c r="AH29" s="12" t="str">
        <f>IF(AF29=0,"",IF(COUNTIFS($AF$3:AF29,"&gt;0",$S$3:S29,S29)&gt;3,"Trừ toàn bộ chuyên cần tháng",""))</f>
        <v/>
      </c>
      <c r="AI29" s="12"/>
    </row>
    <row r="30" spans="1:35" x14ac:dyDescent="0.25">
      <c r="A30" s="4" t="s">
        <v>113</v>
      </c>
      <c r="B30" s="1" t="s">
        <v>114</v>
      </c>
      <c r="C30" s="1" t="s">
        <v>19</v>
      </c>
      <c r="D30" s="1" t="s">
        <v>69</v>
      </c>
      <c r="E30" s="1" t="s">
        <v>21</v>
      </c>
      <c r="F30" s="1" t="s">
        <v>22</v>
      </c>
      <c r="G30" s="1" t="s">
        <v>12</v>
      </c>
      <c r="H30" s="1" t="s">
        <v>23</v>
      </c>
      <c r="I30" s="1" t="s">
        <v>23</v>
      </c>
      <c r="J30" s="1" t="s">
        <v>24</v>
      </c>
      <c r="K30" s="1" t="s">
        <v>24</v>
      </c>
      <c r="L30" s="1" t="s">
        <v>25</v>
      </c>
      <c r="M30" s="1" t="s">
        <v>24</v>
      </c>
      <c r="N30" s="1" t="s">
        <v>24</v>
      </c>
      <c r="O30" s="1" t="s">
        <v>24</v>
      </c>
      <c r="P30" s="1" t="s">
        <v>24</v>
      </c>
      <c r="Q30" s="1" t="s">
        <v>24</v>
      </c>
      <c r="R30" s="85" t="str">
        <f t="shared" si="4"/>
        <v>2145928</v>
      </c>
      <c r="S30" t="str">
        <f>VLOOKUP(A30,Data_NV!$A:$C,3,0)</f>
        <v>Phạm Anh Vũ</v>
      </c>
      <c r="T30" t="str">
        <f>VLOOKUP(A30,Data_NV!$A:$E,4,0)</f>
        <v>Kế toán - Văn phòng</v>
      </c>
      <c r="U30" s="82">
        <f>DATEVALUE(Table2[[#This Row],[Ngày]])</f>
        <v>45928</v>
      </c>
      <c r="V30" t="str">
        <f>VLOOKUP(A30,Data_NV!$A:$E,5,0)</f>
        <v>Đang làm việc</v>
      </c>
      <c r="W30" s="10">
        <f>VLOOKUP(A30,Data_NV!$A:$I,8,0)</f>
        <v>0.33333333333333331</v>
      </c>
      <c r="X30" s="10">
        <f>VLOOKUP(A30,Data_NV!$A:$I,9,0)</f>
        <v>0.70833333333333337</v>
      </c>
      <c r="Y30" s="10">
        <f>IFERROR(TIMEVALUE(Table2[[#This Row],[Vào]]),0)</f>
        <v>0</v>
      </c>
      <c r="Z30" s="10">
        <f>IFERROR(TIMEVALUE(Table2[[#This Row],[Ra]]),0)</f>
        <v>0</v>
      </c>
      <c r="AA30" t="str">
        <f t="shared" si="5"/>
        <v>Chủ nhật</v>
      </c>
      <c r="AB30" s="12">
        <f t="shared" si="1"/>
        <v>0</v>
      </c>
      <c r="AC30" s="12" t="str">
        <f>IF(VLOOKUP(A30,Data_NV!$A:$I,7,0)="Không","",IF(OR(AND(Y30=0,Z30=0),AND(Y30&lt;&gt;0,Z30&lt;&gt;0)),"","Quên chấm công"))</f>
        <v/>
      </c>
      <c r="AD30" s="12">
        <f>IF(VLOOKUP(A30,Data_NV!$A:$I,7,0)="Không",0,IF(AND(Y30=0,Z30=0),0,IF(X30&lt;=Z30,0,ROUNDDOWN((X30-Z30)*24*60,0))))</f>
        <v>0</v>
      </c>
      <c r="AE30" s="12">
        <f>IF(VLOOKUP(A30,Data_NV!$A:$I,6,0)="Không",0,IF(Z30&lt;=X30,0,ROUNDDOWN((Z30-X30)*24*60,0)))</f>
        <v>0</v>
      </c>
      <c r="AF30" s="26">
        <f t="shared" si="6"/>
        <v>0</v>
      </c>
      <c r="AG30" s="27" t="str">
        <f>IF(AC30="","",IF(COUNTIFS($AC$3:AC30,"Quên chấm công",$S$3:S30,S30)&gt;3,"Không chấm công do vi phạm quá 3 lần",IF(COUNTIFS($AC$3:AC30,"Quên chấm công",$S$3:S30,S30)&gt;2,"Trừ toàn bộ chuyên cần tháng do vi phạm lần 3",IF(COUNTIFS($AC$3:AC30,"Quên chấm công",$S$3:S30,S30)&gt;1,"Trừ 1/2 ngày lương",50000))))</f>
        <v/>
      </c>
      <c r="AH30" s="12" t="str">
        <f>IF(AF30=0,"",IF(COUNTIFS($AF$3:AF30,"&gt;0",$S$3:S30,S30)&gt;3,"Trừ toàn bộ chuyên cần tháng",""))</f>
        <v/>
      </c>
      <c r="AI30" s="12"/>
    </row>
    <row r="31" spans="1:35" x14ac:dyDescent="0.25">
      <c r="A31" s="4" t="s">
        <v>113</v>
      </c>
      <c r="B31" s="1" t="s">
        <v>114</v>
      </c>
      <c r="C31" s="1" t="s">
        <v>19</v>
      </c>
      <c r="D31" s="1" t="s">
        <v>70</v>
      </c>
      <c r="E31" s="1" t="s">
        <v>21</v>
      </c>
      <c r="F31" s="1" t="s">
        <v>22</v>
      </c>
      <c r="G31" s="1" t="s">
        <v>28</v>
      </c>
      <c r="H31" s="1" t="s">
        <v>186</v>
      </c>
      <c r="I31" s="1" t="s">
        <v>187</v>
      </c>
      <c r="J31" s="1" t="s">
        <v>24</v>
      </c>
      <c r="K31" s="1" t="s">
        <v>188</v>
      </c>
      <c r="L31" s="1" t="s">
        <v>24</v>
      </c>
      <c r="M31" s="1" t="s">
        <v>25</v>
      </c>
      <c r="N31" s="1" t="s">
        <v>24</v>
      </c>
      <c r="O31" s="1" t="s">
        <v>29</v>
      </c>
      <c r="P31" s="1" t="s">
        <v>189</v>
      </c>
      <c r="Q31" s="1" t="s">
        <v>24</v>
      </c>
      <c r="R31" s="85" t="str">
        <f t="shared" si="4"/>
        <v>2145929</v>
      </c>
      <c r="S31" t="str">
        <f>VLOOKUP(A31,Data_NV!$A:$C,3,0)</f>
        <v>Phạm Anh Vũ</v>
      </c>
      <c r="T31" t="str">
        <f>VLOOKUP(A31,Data_NV!$A:$E,4,0)</f>
        <v>Kế toán - Văn phòng</v>
      </c>
      <c r="U31" s="82">
        <f>DATEVALUE(Table2[[#This Row],[Ngày]])</f>
        <v>45929</v>
      </c>
      <c r="V31" t="str">
        <f>VLOOKUP(A31,Data_NV!$A:$E,5,0)</f>
        <v>Đang làm việc</v>
      </c>
      <c r="W31" s="10">
        <f>VLOOKUP(A31,Data_NV!$A:$I,8,0)</f>
        <v>0.33333333333333331</v>
      </c>
      <c r="X31" s="10">
        <f>VLOOKUP(A31,Data_NV!$A:$I,9,0)</f>
        <v>0.70833333333333337</v>
      </c>
      <c r="Y31" s="10">
        <f>IFERROR(TIMEVALUE(Table2[[#This Row],[Vào]]),0)</f>
        <v>0.30657407407407405</v>
      </c>
      <c r="Z31" s="10">
        <f>IFERROR(TIMEVALUE(Table2[[#This Row],[Ra]]),0)</f>
        <v>0.79616898148148152</v>
      </c>
      <c r="AA31" t="str">
        <f t="shared" si="5"/>
        <v>x</v>
      </c>
      <c r="AB31" s="12">
        <f t="shared" si="1"/>
        <v>0</v>
      </c>
      <c r="AC31" s="12" t="str">
        <f>IF(VLOOKUP(A31,Data_NV!$A:$I,7,0)="Không","",IF(OR(AND(Y31=0,Z31=0),AND(Y31&lt;&gt;0,Z31&lt;&gt;0)),"","Quên chấm công"))</f>
        <v/>
      </c>
      <c r="AD31" s="12">
        <f>IF(VLOOKUP(A31,Data_NV!$A:$I,7,0)="Không",0,IF(AND(Y31=0,Z31=0),0,IF(X31&lt;=Z31,0,ROUNDDOWN((X31-Z31)*24*60,0))))</f>
        <v>0</v>
      </c>
      <c r="AE31" s="12">
        <f>IF(VLOOKUP(A31,Data_NV!$A:$I,6,0)="Không",0,IF(Z31&lt;=X31,0,ROUNDDOWN((Z31-X31)*24*60,0)))</f>
        <v>126</v>
      </c>
      <c r="AF31" s="26">
        <f t="shared" si="6"/>
        <v>0</v>
      </c>
      <c r="AG31" s="27" t="str">
        <f>IF(AC31="","",IF(COUNTIFS($AC$3:AC31,"Quên chấm công",$S$3:S31,S31)&gt;3,"Không chấm công do vi phạm quá 3 lần",IF(COUNTIFS($AC$3:AC31,"Quên chấm công",$S$3:S31,S31)&gt;2,"Trừ toàn bộ chuyên cần tháng do vi phạm lần 3",IF(COUNTIFS($AC$3:AC31,"Quên chấm công",$S$3:S31,S31)&gt;1,"Trừ 1/2 ngày lương",50000))))</f>
        <v/>
      </c>
      <c r="AH31" s="12" t="str">
        <f>IF(AF31=0,"",IF(COUNTIFS($AF$3:AF31,"&gt;0",$S$3:S31,S31)&gt;3,"Trừ toàn bộ chuyên cần tháng",""))</f>
        <v/>
      </c>
      <c r="AI31" s="12"/>
    </row>
    <row r="32" spans="1:35" x14ac:dyDescent="0.25">
      <c r="A32" s="4" t="s">
        <v>113</v>
      </c>
      <c r="B32" s="1" t="s">
        <v>114</v>
      </c>
      <c r="C32" s="1" t="s">
        <v>19</v>
      </c>
      <c r="D32" s="1" t="s">
        <v>71</v>
      </c>
      <c r="E32" s="1" t="s">
        <v>21</v>
      </c>
      <c r="F32" s="1" t="s">
        <v>22</v>
      </c>
      <c r="G32" s="1" t="s">
        <v>28</v>
      </c>
      <c r="H32" s="1" t="s">
        <v>190</v>
      </c>
      <c r="I32" s="1" t="s">
        <v>191</v>
      </c>
      <c r="J32" s="1" t="s">
        <v>24</v>
      </c>
      <c r="K32" s="1" t="s">
        <v>149</v>
      </c>
      <c r="L32" s="1" t="s">
        <v>24</v>
      </c>
      <c r="M32" s="1" t="s">
        <v>25</v>
      </c>
      <c r="N32" s="1" t="s">
        <v>24</v>
      </c>
      <c r="O32" s="1" t="s">
        <v>150</v>
      </c>
      <c r="P32" s="1" t="s">
        <v>24</v>
      </c>
      <c r="Q32" s="1" t="s">
        <v>24</v>
      </c>
      <c r="R32" s="85" t="str">
        <f t="shared" si="4"/>
        <v>2145930</v>
      </c>
      <c r="S32" t="str">
        <f>VLOOKUP(A32,Data_NV!$A:$C,3,0)</f>
        <v>Phạm Anh Vũ</v>
      </c>
      <c r="T32" t="str">
        <f>VLOOKUP(A32,Data_NV!$A:$E,4,0)</f>
        <v>Kế toán - Văn phòng</v>
      </c>
      <c r="U32" s="82">
        <f>DATEVALUE(Table2[[#This Row],[Ngày]])</f>
        <v>45930</v>
      </c>
      <c r="V32" t="str">
        <f>VLOOKUP(A32,Data_NV!$A:$E,5,0)</f>
        <v>Đang làm việc</v>
      </c>
      <c r="W32" s="10">
        <f>VLOOKUP(A32,Data_NV!$A:$I,8,0)</f>
        <v>0.33333333333333331</v>
      </c>
      <c r="X32" s="10">
        <f>VLOOKUP(A32,Data_NV!$A:$I,9,0)</f>
        <v>0.70833333333333337</v>
      </c>
      <c r="Y32" s="10">
        <f>IFERROR(TIMEVALUE(Table2[[#This Row],[Vào]]),0)</f>
        <v>0.32619212962962962</v>
      </c>
      <c r="Z32" s="10">
        <f>IFERROR(TIMEVALUE(Table2[[#This Row],[Ra]]),0)</f>
        <v>0.78302083333333339</v>
      </c>
      <c r="AA32" t="str">
        <f t="shared" si="5"/>
        <v>x</v>
      </c>
      <c r="AB32" s="12">
        <f t="shared" si="1"/>
        <v>0</v>
      </c>
      <c r="AC32" s="12" t="str">
        <f>IF(VLOOKUP(A32,Data_NV!$A:$I,7,0)="Không","",IF(OR(AND(Y32=0,Z32=0),AND(Y32&lt;&gt;0,Z32&lt;&gt;0)),"","Quên chấm công"))</f>
        <v/>
      </c>
      <c r="AD32" s="12">
        <f>IF(VLOOKUP(A32,Data_NV!$A:$I,7,0)="Không",0,IF(AND(Y32=0,Z32=0),0,IF(X32&lt;=Z32,0,ROUNDDOWN((X32-Z32)*24*60,0))))</f>
        <v>0</v>
      </c>
      <c r="AE32" s="12">
        <f>IF(VLOOKUP(A32,Data_NV!$A:$I,6,0)="Không",0,IF(Z32&lt;=X32,0,ROUNDDOWN((Z32-X32)*24*60,0)))</f>
        <v>107</v>
      </c>
      <c r="AF32" s="26">
        <f t="shared" si="6"/>
        <v>0</v>
      </c>
      <c r="AG32" s="27" t="str">
        <f>IF(AC32="","",IF(COUNTIFS($AC$3:AC32,"Quên chấm công",$S$3:S32,S32)&gt;3,"Không chấm công do vi phạm quá 3 lần",IF(COUNTIFS($AC$3:AC32,"Quên chấm công",$S$3:S32,S32)&gt;2,"Trừ toàn bộ chuyên cần tháng do vi phạm lần 3",IF(COUNTIFS($AC$3:AC32,"Quên chấm công",$S$3:S32,S32)&gt;1,"Trừ 1/2 ngày lương",50000))))</f>
        <v/>
      </c>
      <c r="AH32" s="12" t="str">
        <f>IF(AF32=0,"",IF(COUNTIFS($AF$3:AF32,"&gt;0",$S$3:S32,S32)&gt;3,"Trừ toàn bộ chuyên cần tháng",""))</f>
        <v/>
      </c>
      <c r="AI32" s="12"/>
    </row>
    <row r="33" spans="1:35" x14ac:dyDescent="0.25">
      <c r="A33" s="4" t="s">
        <v>276</v>
      </c>
      <c r="B33" s="1" t="s">
        <v>277</v>
      </c>
      <c r="C33" s="1" t="s">
        <v>19</v>
      </c>
      <c r="D33" s="1" t="s">
        <v>20</v>
      </c>
      <c r="E33" s="1" t="s">
        <v>21</v>
      </c>
      <c r="F33" s="1" t="s">
        <v>22</v>
      </c>
      <c r="G33" s="1" t="s">
        <v>12</v>
      </c>
      <c r="H33" s="1" t="s">
        <v>23</v>
      </c>
      <c r="I33" s="1" t="s">
        <v>23</v>
      </c>
      <c r="J33" s="1" t="s">
        <v>24</v>
      </c>
      <c r="K33" s="1" t="s">
        <v>24</v>
      </c>
      <c r="L33" s="1" t="s">
        <v>25</v>
      </c>
      <c r="M33" s="1" t="s">
        <v>24</v>
      </c>
      <c r="N33" s="1" t="s">
        <v>24</v>
      </c>
      <c r="O33" s="1" t="s">
        <v>24</v>
      </c>
      <c r="P33" s="1" t="s">
        <v>24</v>
      </c>
      <c r="Q33" s="1" t="s">
        <v>24</v>
      </c>
      <c r="R33" s="85" t="str">
        <f t="shared" ref="R33:R34" si="7">A33&amp;U33</f>
        <v>545901</v>
      </c>
      <c r="S33" t="str">
        <f>VLOOKUP(A33,Data_NV!$A:$C,3,0)</f>
        <v xml:space="preserve"> Hàng Minh Thư   </v>
      </c>
      <c r="T33" t="str">
        <f>VLOOKUP(A33,Data_NV!$A:$E,4,0)</f>
        <v>Kế toán - Văn phòng</v>
      </c>
      <c r="U33" s="82">
        <f>DATEVALUE(Table2[[#This Row],[Ngày]])</f>
        <v>45901</v>
      </c>
      <c r="V33" t="str">
        <f>VLOOKUP(A33,Data_NV!$A:$E,5,0)</f>
        <v>Đang làm việc</v>
      </c>
      <c r="W33" s="10">
        <f>VLOOKUP(A33,Data_NV!$A:$I,8,0)</f>
        <v>0.33333333333333331</v>
      </c>
      <c r="X33" s="10">
        <f>VLOOKUP(A33,Data_NV!$A:$I,9,0)</f>
        <v>0.70833333333333337</v>
      </c>
      <c r="Y33" s="10">
        <f>IFERROR(TIMEVALUE(Table2[[#This Row],[Vào]]),0)</f>
        <v>0</v>
      </c>
      <c r="Z33" s="10">
        <f>IFERROR(TIMEVALUE(Table2[[#This Row],[Ra]]),0)</f>
        <v>0</v>
      </c>
      <c r="AA33" s="95" t="s">
        <v>623</v>
      </c>
      <c r="AB33" s="12">
        <f t="shared" ref="AB33:AB56" si="8">IF(Y33&lt;=W33,0,ROUNDDOWN((Y33-W33)*24*60,0))</f>
        <v>0</v>
      </c>
      <c r="AC33" s="12" t="str">
        <f>IF(VLOOKUP(A33,Data_NV!$A:$I,7,0)="Không","",IF(OR(AND(Y33=0,Z33=0),AND(Y33&lt;&gt;0,Z33&lt;&gt;0)),"","Quên chấm công"))</f>
        <v/>
      </c>
      <c r="AD33" s="12">
        <f>IF(VLOOKUP(A33,Data_NV!$A:$I,7,0)="Không",0,IF(AND(Y33=0,Z33=0),0,IF(X33&lt;=Z33,0,ROUNDDOWN((X33-Z33)*24*60,0))))</f>
        <v>0</v>
      </c>
      <c r="AE33" s="12">
        <f>IF(VLOOKUP(A33,Data_NV!$A:$I,6,0)="Không",0,IF(Z33&lt;=X33,0,ROUNDDOWN((Z33-X33)*24*60,0)))</f>
        <v>0</v>
      </c>
      <c r="AF33" s="26">
        <f t="shared" ref="AF33:AF34" si="9">IF(AB33&gt;60,"Trừ 1/2 ngày lương",IF(AB33&gt;15,50000,IF(AB33&gt;6,30000,0)))</f>
        <v>0</v>
      </c>
      <c r="AG33" s="27" t="str">
        <f>IF(AC33="","",IF(COUNTIFS($AC$3:AC33,"Quên chấm công",$S$3:S33,S33)&gt;3,"Không chấm công do vi phạm quá 3 lần",IF(COUNTIFS($AC$3:AC33,"Quên chấm công",$S$3:S33,S33)&gt;2,"Trừ toàn bộ chuyên cần tháng do vi phạm lần 3",IF(COUNTIFS($AC$3:AC33,"Quên chấm công",$S$3:S33,S33)&gt;1,"Trừ 1/2 ngày lương",50000))))</f>
        <v/>
      </c>
      <c r="AH33" s="12" t="str">
        <f>IF(AF33=0,"",IF(COUNTIFS($AF$3:AF33,"&gt;0",$S$3:S33,S33)&gt;3,"Trừ toàn bộ chuyên cần tháng",""))</f>
        <v/>
      </c>
      <c r="AI33" s="96" t="s">
        <v>637</v>
      </c>
    </row>
    <row r="34" spans="1:35" x14ac:dyDescent="0.25">
      <c r="A34" s="4" t="s">
        <v>276</v>
      </c>
      <c r="B34" s="1" t="s">
        <v>277</v>
      </c>
      <c r="C34" s="1" t="s">
        <v>19</v>
      </c>
      <c r="D34" s="1" t="s">
        <v>26</v>
      </c>
      <c r="E34" s="1" t="s">
        <v>21</v>
      </c>
      <c r="F34" s="1" t="s">
        <v>22</v>
      </c>
      <c r="G34" s="1" t="s">
        <v>12</v>
      </c>
      <c r="H34" s="1" t="s">
        <v>23</v>
      </c>
      <c r="I34" s="1" t="s">
        <v>23</v>
      </c>
      <c r="J34" s="1" t="s">
        <v>24</v>
      </c>
      <c r="K34" s="1" t="s">
        <v>24</v>
      </c>
      <c r="L34" s="1" t="s">
        <v>25</v>
      </c>
      <c r="M34" s="1" t="s">
        <v>24</v>
      </c>
      <c r="N34" s="1" t="s">
        <v>24</v>
      </c>
      <c r="O34" s="1" t="s">
        <v>24</v>
      </c>
      <c r="P34" s="1" t="s">
        <v>24</v>
      </c>
      <c r="Q34" s="1" t="s">
        <v>24</v>
      </c>
      <c r="R34" s="85" t="str">
        <f t="shared" si="7"/>
        <v>545902</v>
      </c>
      <c r="S34" t="str">
        <f>VLOOKUP(A34,Data_NV!$A:$C,3,0)</f>
        <v xml:space="preserve"> Hàng Minh Thư   </v>
      </c>
      <c r="T34" t="str">
        <f>VLOOKUP(A34,Data_NV!$A:$E,4,0)</f>
        <v>Kế toán - Văn phòng</v>
      </c>
      <c r="U34" s="82">
        <f>DATEVALUE(Table2[[#This Row],[Ngày]])</f>
        <v>45902</v>
      </c>
      <c r="V34" t="str">
        <f>VLOOKUP(A34,Data_NV!$A:$E,5,0)</f>
        <v>Đang làm việc</v>
      </c>
      <c r="W34" s="10">
        <f>VLOOKUP(A34,Data_NV!$A:$I,8,0)</f>
        <v>0.33333333333333331</v>
      </c>
      <c r="X34" s="10">
        <f>VLOOKUP(A34,Data_NV!$A:$I,9,0)</f>
        <v>0.70833333333333337</v>
      </c>
      <c r="Y34" s="10">
        <f>IFERROR(TIMEVALUE(Table2[[#This Row],[Vào]]),0)</f>
        <v>0</v>
      </c>
      <c r="Z34" s="10">
        <f>IFERROR(TIMEVALUE(Table2[[#This Row],[Ra]]),0)</f>
        <v>0</v>
      </c>
      <c r="AA34" s="95" t="s">
        <v>623</v>
      </c>
      <c r="AB34" s="12">
        <f t="shared" si="8"/>
        <v>0</v>
      </c>
      <c r="AC34" s="12" t="str">
        <f>IF(VLOOKUP(A34,Data_NV!$A:$I,7,0)="Không","",IF(OR(AND(Y34=0,Z34=0),AND(Y34&lt;&gt;0,Z34&lt;&gt;0)),"","Quên chấm công"))</f>
        <v/>
      </c>
      <c r="AD34" s="12">
        <f>IF(VLOOKUP(A34,Data_NV!$A:$I,7,0)="Không",0,IF(AND(Y34=0,Z34=0),0,IF(X34&lt;=Z34,0,ROUNDDOWN((X34-Z34)*24*60,0))))</f>
        <v>0</v>
      </c>
      <c r="AE34" s="12">
        <f>IF(VLOOKUP(A34,Data_NV!$A:$I,6,0)="Không",0,IF(Z34&lt;=X34,0,ROUNDDOWN((Z34-X34)*24*60,0)))</f>
        <v>0</v>
      </c>
      <c r="AF34" s="26">
        <f t="shared" si="9"/>
        <v>0</v>
      </c>
      <c r="AG34" s="27" t="str">
        <f>IF(AC34="","",IF(COUNTIFS($AC$3:AC34,"Quên chấm công",$S$3:S34,S34)&gt;3,"Không chấm công do vi phạm quá 3 lần",IF(COUNTIFS($AC$3:AC34,"Quên chấm công",$S$3:S34,S34)&gt;2,"Trừ toàn bộ chuyên cần tháng do vi phạm lần 3",IF(COUNTIFS($AC$3:AC34,"Quên chấm công",$S$3:S34,S34)&gt;1,"Trừ 1/2 ngày lương",50000))))</f>
        <v/>
      </c>
      <c r="AH34" s="12" t="str">
        <f>IF(AF34=0,"",IF(COUNTIFS($AF$3:AF34,"&gt;0",$S$3:S34,S34)&gt;3,"Trừ toàn bộ chuyên cần tháng",""))</f>
        <v/>
      </c>
      <c r="AI34" s="96" t="s">
        <v>637</v>
      </c>
    </row>
    <row r="35" spans="1:35" x14ac:dyDescent="0.25">
      <c r="A35" s="4" t="s">
        <v>276</v>
      </c>
      <c r="B35" s="1" t="s">
        <v>277</v>
      </c>
      <c r="C35" s="1" t="s">
        <v>19</v>
      </c>
      <c r="D35" s="1" t="s">
        <v>27</v>
      </c>
      <c r="E35" s="1" t="s">
        <v>21</v>
      </c>
      <c r="F35" s="1" t="s">
        <v>22</v>
      </c>
      <c r="G35" s="1" t="s">
        <v>28</v>
      </c>
      <c r="H35" s="1" t="s">
        <v>278</v>
      </c>
      <c r="I35" s="1" t="s">
        <v>279</v>
      </c>
      <c r="J35" s="1" t="s">
        <v>24</v>
      </c>
      <c r="K35" s="1" t="s">
        <v>203</v>
      </c>
      <c r="L35" s="1" t="s">
        <v>24</v>
      </c>
      <c r="M35" s="1" t="s">
        <v>25</v>
      </c>
      <c r="N35" s="1" t="s">
        <v>24</v>
      </c>
      <c r="O35" s="1" t="s">
        <v>204</v>
      </c>
      <c r="P35" s="1" t="s">
        <v>24</v>
      </c>
      <c r="Q35" s="1" t="s">
        <v>24</v>
      </c>
      <c r="R35" s="85" t="str">
        <f t="shared" ref="R35:R62" si="10">A35&amp;U35</f>
        <v>545903</v>
      </c>
      <c r="S35" t="str">
        <f>VLOOKUP(A35,Data_NV!$A:$C,3,0)</f>
        <v xml:space="preserve"> Hàng Minh Thư   </v>
      </c>
      <c r="T35" t="str">
        <f>VLOOKUP(A35,Data_NV!$A:$E,4,0)</f>
        <v>Kế toán - Văn phòng</v>
      </c>
      <c r="U35" s="82">
        <f>DATEVALUE(Table2[[#This Row],[Ngày]])</f>
        <v>45903</v>
      </c>
      <c r="V35" t="str">
        <f>VLOOKUP(A35,Data_NV!$A:$E,5,0)</f>
        <v>Đang làm việc</v>
      </c>
      <c r="W35" s="10">
        <f>VLOOKUP(A35,Data_NV!$A:$I,8,0)</f>
        <v>0.33333333333333331</v>
      </c>
      <c r="X35" s="10">
        <f>VLOOKUP(A35,Data_NV!$A:$I,9,0)</f>
        <v>0.70833333333333337</v>
      </c>
      <c r="Y35" s="10">
        <f>IFERROR(TIMEVALUE(Table2[[#This Row],[Vào]]),0)</f>
        <v>0.32885416666666667</v>
      </c>
      <c r="Z35" s="10">
        <f>IFERROR(TIMEVALUE(Table2[[#This Row],[Ra]]),0)</f>
        <v>0.77626157407407403</v>
      </c>
      <c r="AA35" t="str">
        <f t="shared" ref="AA35:AA62" si="11">IF(TEXT($U35,"ddd")="CN","Chủ nhật",IF(OR(AND(Y35=0,Z35=0),AG35="Không chấm công do vi phạm quá 3 lần"),"",IF(OR(AG35="Trừ 1/2 ngày lương",AF35="Trừ 1/2 ngày lương",AB35&gt;=60),"1/2","x")))</f>
        <v>x</v>
      </c>
      <c r="AB35" s="12">
        <f t="shared" si="8"/>
        <v>0</v>
      </c>
      <c r="AC35" s="12" t="str">
        <f>IF(VLOOKUP(A35,Data_NV!$A:$I,7,0)="Không","",IF(OR(AND(Y35=0,Z35=0),AND(Y35&lt;&gt;0,Z35&lt;&gt;0)),"","Quên chấm công"))</f>
        <v/>
      </c>
      <c r="AD35" s="12">
        <f>IF(VLOOKUP(A35,Data_NV!$A:$I,7,0)="Không",0,IF(AND(Y35=0,Z35=0),0,IF(X35&lt;=Z35,0,ROUNDDOWN((X35-Z35)*24*60,0))))</f>
        <v>0</v>
      </c>
      <c r="AE35" s="12">
        <f>IF(VLOOKUP(A35,Data_NV!$A:$I,6,0)="Không",0,IF(Z35&lt;=X35,0,ROUNDDOWN((Z35-X35)*24*60,0)))</f>
        <v>97</v>
      </c>
      <c r="AF35" s="26">
        <f t="shared" ref="AF35:AF62" si="12">IF(AB35&gt;60,"Trừ 1/2 ngày lương",IF(AB35&gt;15,50000,IF(AB35&gt;6,30000,0)))</f>
        <v>0</v>
      </c>
      <c r="AG35" s="27" t="str">
        <f>IF(AC35="","",IF(COUNTIFS($AC$3:AC35,"Quên chấm công",$S$3:S35,S35)&gt;3,"Không chấm công do vi phạm quá 3 lần",IF(COUNTIFS($AC$3:AC35,"Quên chấm công",$S$3:S35,S35)&gt;2,"Trừ toàn bộ chuyên cần tháng do vi phạm lần 3",IF(COUNTIFS($AC$3:AC35,"Quên chấm công",$S$3:S35,S35)&gt;1,"Trừ 1/2 ngày lương",50000))))</f>
        <v/>
      </c>
      <c r="AH35" s="12" t="str">
        <f>IF(AF35=0,"",IF(COUNTIFS($AF$3:AF35,"&gt;0",$S$3:S35,S35)&gt;3,"Trừ toàn bộ chuyên cần tháng",""))</f>
        <v/>
      </c>
      <c r="AI35" s="12"/>
    </row>
    <row r="36" spans="1:35" x14ac:dyDescent="0.25">
      <c r="A36" s="4" t="s">
        <v>276</v>
      </c>
      <c r="B36" s="1" t="s">
        <v>277</v>
      </c>
      <c r="C36" s="1" t="s">
        <v>19</v>
      </c>
      <c r="D36" s="1" t="s">
        <v>30</v>
      </c>
      <c r="E36" s="1" t="s">
        <v>21</v>
      </c>
      <c r="F36" s="1" t="s">
        <v>22</v>
      </c>
      <c r="G36" s="1" t="s">
        <v>28</v>
      </c>
      <c r="H36" s="1" t="s">
        <v>280</v>
      </c>
      <c r="I36" s="1" t="s">
        <v>281</v>
      </c>
      <c r="J36" s="1" t="s">
        <v>24</v>
      </c>
      <c r="K36" s="1" t="s">
        <v>282</v>
      </c>
      <c r="L36" s="1" t="s">
        <v>24</v>
      </c>
      <c r="M36" s="1" t="s">
        <v>25</v>
      </c>
      <c r="N36" s="1" t="s">
        <v>24</v>
      </c>
      <c r="O36" s="1" t="s">
        <v>283</v>
      </c>
      <c r="P36" s="1" t="s">
        <v>24</v>
      </c>
      <c r="Q36" s="1" t="s">
        <v>24</v>
      </c>
      <c r="R36" s="85" t="str">
        <f t="shared" si="10"/>
        <v>545904</v>
      </c>
      <c r="S36" t="str">
        <f>VLOOKUP(A36,Data_NV!$A:$C,3,0)</f>
        <v xml:space="preserve"> Hàng Minh Thư   </v>
      </c>
      <c r="T36" t="str">
        <f>VLOOKUP(A36,Data_NV!$A:$E,4,0)</f>
        <v>Kế toán - Văn phòng</v>
      </c>
      <c r="U36" s="82">
        <f>DATEVALUE(Table2[[#This Row],[Ngày]])</f>
        <v>45904</v>
      </c>
      <c r="V36" t="str">
        <f>VLOOKUP(A36,Data_NV!$A:$E,5,0)</f>
        <v>Đang làm việc</v>
      </c>
      <c r="W36" s="10">
        <f>VLOOKUP(A36,Data_NV!$A:$I,8,0)</f>
        <v>0.33333333333333331</v>
      </c>
      <c r="X36" s="10">
        <f>VLOOKUP(A36,Data_NV!$A:$I,9,0)</f>
        <v>0.70833333333333337</v>
      </c>
      <c r="Y36" s="10">
        <f>IFERROR(TIMEVALUE(Table2[[#This Row],[Vào]]),0)</f>
        <v>0.32827546296296295</v>
      </c>
      <c r="Z36" s="10">
        <f>IFERROR(TIMEVALUE(Table2[[#This Row],[Ra]]),0)</f>
        <v>0.7646412037037037</v>
      </c>
      <c r="AA36" t="str">
        <f t="shared" si="11"/>
        <v>x</v>
      </c>
      <c r="AB36" s="12">
        <f t="shared" si="8"/>
        <v>0</v>
      </c>
      <c r="AC36" s="12" t="str">
        <f>IF(VLOOKUP(A36,Data_NV!$A:$I,7,0)="Không","",IF(OR(AND(Y36=0,Z36=0),AND(Y36&lt;&gt;0,Z36&lt;&gt;0)),"","Quên chấm công"))</f>
        <v/>
      </c>
      <c r="AD36" s="12">
        <f>IF(VLOOKUP(A36,Data_NV!$A:$I,7,0)="Không",0,IF(AND(Y36=0,Z36=0),0,IF(X36&lt;=Z36,0,ROUNDDOWN((X36-Z36)*24*60,0))))</f>
        <v>0</v>
      </c>
      <c r="AE36" s="12">
        <f>IF(VLOOKUP(A36,Data_NV!$A:$I,6,0)="Không",0,IF(Z36&lt;=X36,0,ROUNDDOWN((Z36-X36)*24*60,0)))</f>
        <v>81</v>
      </c>
      <c r="AF36" s="26">
        <f t="shared" si="12"/>
        <v>0</v>
      </c>
      <c r="AG36" s="27" t="str">
        <f>IF(AC36="","",IF(COUNTIFS($AC$3:AC36,"Quên chấm công",$S$3:S36,S36)&gt;3,"Không chấm công do vi phạm quá 3 lần",IF(COUNTIFS($AC$3:AC36,"Quên chấm công",$S$3:S36,S36)&gt;2,"Trừ toàn bộ chuyên cần tháng do vi phạm lần 3",IF(COUNTIFS($AC$3:AC36,"Quên chấm công",$S$3:S36,S36)&gt;1,"Trừ 1/2 ngày lương",50000))))</f>
        <v/>
      </c>
      <c r="AH36" s="12" t="str">
        <f>IF(AF36=0,"",IF(COUNTIFS($AF$3:AF36,"&gt;0",$S$3:S36,S36)&gt;3,"Trừ toàn bộ chuyên cần tháng",""))</f>
        <v/>
      </c>
      <c r="AI36" s="12"/>
    </row>
    <row r="37" spans="1:35" x14ac:dyDescent="0.25">
      <c r="A37" s="4" t="s">
        <v>276</v>
      </c>
      <c r="B37" s="1" t="s">
        <v>277</v>
      </c>
      <c r="C37" s="1" t="s">
        <v>19</v>
      </c>
      <c r="D37" s="1" t="s">
        <v>31</v>
      </c>
      <c r="E37" s="1" t="s">
        <v>21</v>
      </c>
      <c r="F37" s="1" t="s">
        <v>22</v>
      </c>
      <c r="G37" s="1" t="s">
        <v>28</v>
      </c>
      <c r="H37" s="1" t="s">
        <v>284</v>
      </c>
      <c r="I37" s="1" t="s">
        <v>285</v>
      </c>
      <c r="J37" s="1" t="s">
        <v>24</v>
      </c>
      <c r="K37" s="1" t="s">
        <v>286</v>
      </c>
      <c r="L37" s="1" t="s">
        <v>24</v>
      </c>
      <c r="M37" s="1" t="s">
        <v>25</v>
      </c>
      <c r="N37" s="1" t="s">
        <v>24</v>
      </c>
      <c r="O37" s="1" t="s">
        <v>287</v>
      </c>
      <c r="P37" s="1" t="s">
        <v>24</v>
      </c>
      <c r="Q37" s="1" t="s">
        <v>24</v>
      </c>
      <c r="R37" s="85" t="str">
        <f t="shared" si="10"/>
        <v>545905</v>
      </c>
      <c r="S37" t="str">
        <f>VLOOKUP(A37,Data_NV!$A:$C,3,0)</f>
        <v xml:space="preserve"> Hàng Minh Thư   </v>
      </c>
      <c r="T37" t="str">
        <f>VLOOKUP(A37,Data_NV!$A:$E,4,0)</f>
        <v>Kế toán - Văn phòng</v>
      </c>
      <c r="U37" s="82">
        <f>DATEVALUE(Table2[[#This Row],[Ngày]])</f>
        <v>45905</v>
      </c>
      <c r="V37" t="str">
        <f>VLOOKUP(A37,Data_NV!$A:$E,5,0)</f>
        <v>Đang làm việc</v>
      </c>
      <c r="W37" s="10">
        <f>VLOOKUP(A37,Data_NV!$A:$I,8,0)</f>
        <v>0.33333333333333331</v>
      </c>
      <c r="X37" s="10">
        <f>VLOOKUP(A37,Data_NV!$A:$I,9,0)</f>
        <v>0.70833333333333337</v>
      </c>
      <c r="Y37" s="10">
        <f>IFERROR(TIMEVALUE(Table2[[#This Row],[Vào]]),0)</f>
        <v>0.32997685185185183</v>
      </c>
      <c r="Z37" s="10">
        <f>IFERROR(TIMEVALUE(Table2[[#This Row],[Ra]]),0)</f>
        <v>0.78377314814814814</v>
      </c>
      <c r="AA37" t="str">
        <f t="shared" si="11"/>
        <v>x</v>
      </c>
      <c r="AB37" s="12">
        <f t="shared" si="8"/>
        <v>0</v>
      </c>
      <c r="AC37" s="12" t="str">
        <f>IF(VLOOKUP(A37,Data_NV!$A:$I,7,0)="Không","",IF(OR(AND(Y37=0,Z37=0),AND(Y37&lt;&gt;0,Z37&lt;&gt;0)),"","Quên chấm công"))</f>
        <v/>
      </c>
      <c r="AD37" s="12">
        <f>IF(VLOOKUP(A37,Data_NV!$A:$I,7,0)="Không",0,IF(AND(Y37=0,Z37=0),0,IF(X37&lt;=Z37,0,ROUNDDOWN((X37-Z37)*24*60,0))))</f>
        <v>0</v>
      </c>
      <c r="AE37" s="12">
        <f>IF(VLOOKUP(A37,Data_NV!$A:$I,6,0)="Không",0,IF(Z37&lt;=X37,0,ROUNDDOWN((Z37-X37)*24*60,0)))</f>
        <v>108</v>
      </c>
      <c r="AF37" s="26">
        <f t="shared" si="12"/>
        <v>0</v>
      </c>
      <c r="AG37" s="27" t="str">
        <f>IF(AC37="","",IF(COUNTIFS($AC$3:AC37,"Quên chấm công",$S$3:S37,S37)&gt;3,"Không chấm công do vi phạm quá 3 lần",IF(COUNTIFS($AC$3:AC37,"Quên chấm công",$S$3:S37,S37)&gt;2,"Trừ toàn bộ chuyên cần tháng do vi phạm lần 3",IF(COUNTIFS($AC$3:AC37,"Quên chấm công",$S$3:S37,S37)&gt;1,"Trừ 1/2 ngày lương",50000))))</f>
        <v/>
      </c>
      <c r="AH37" s="12" t="str">
        <f>IF(AF37=0,"",IF(COUNTIFS($AF$3:AF37,"&gt;0",$S$3:S37,S37)&gt;3,"Trừ toàn bộ chuyên cần tháng",""))</f>
        <v/>
      </c>
      <c r="AI37" s="12"/>
    </row>
    <row r="38" spans="1:35" x14ac:dyDescent="0.25">
      <c r="A38" s="4" t="s">
        <v>276</v>
      </c>
      <c r="B38" s="1" t="s">
        <v>277</v>
      </c>
      <c r="C38" s="1" t="s">
        <v>19</v>
      </c>
      <c r="D38" s="1" t="s">
        <v>32</v>
      </c>
      <c r="E38" s="1" t="s">
        <v>21</v>
      </c>
      <c r="F38" s="1" t="s">
        <v>22</v>
      </c>
      <c r="G38" s="1" t="s">
        <v>28</v>
      </c>
      <c r="H38" s="1" t="s">
        <v>288</v>
      </c>
      <c r="I38" s="1" t="s">
        <v>289</v>
      </c>
      <c r="J38" s="1" t="s">
        <v>24</v>
      </c>
      <c r="K38" s="1" t="s">
        <v>96</v>
      </c>
      <c r="L38" s="1" t="s">
        <v>24</v>
      </c>
      <c r="M38" s="1" t="s">
        <v>25</v>
      </c>
      <c r="N38" s="1" t="s">
        <v>24</v>
      </c>
      <c r="O38" s="1" t="s">
        <v>97</v>
      </c>
      <c r="P38" s="1" t="s">
        <v>24</v>
      </c>
      <c r="Q38" s="1" t="s">
        <v>24</v>
      </c>
      <c r="R38" s="85" t="str">
        <f t="shared" si="10"/>
        <v>545906</v>
      </c>
      <c r="S38" t="str">
        <f>VLOOKUP(A38,Data_NV!$A:$C,3,0)</f>
        <v xml:space="preserve"> Hàng Minh Thư   </v>
      </c>
      <c r="T38" t="str">
        <f>VLOOKUP(A38,Data_NV!$A:$E,4,0)</f>
        <v>Kế toán - Văn phòng</v>
      </c>
      <c r="U38" s="82">
        <f>DATEVALUE(Table2[[#This Row],[Ngày]])</f>
        <v>45906</v>
      </c>
      <c r="V38" t="str">
        <f>VLOOKUP(A38,Data_NV!$A:$E,5,0)</f>
        <v>Đang làm việc</v>
      </c>
      <c r="W38" s="10">
        <f>VLOOKUP(A38,Data_NV!$A:$I,8,0)</f>
        <v>0.33333333333333331</v>
      </c>
      <c r="X38" s="10">
        <f>VLOOKUP(A38,Data_NV!$A:$I,9,0)</f>
        <v>0.70833333333333337</v>
      </c>
      <c r="Y38" s="10">
        <f>IFERROR(TIMEVALUE(Table2[[#This Row],[Vào]]),0)</f>
        <v>0.33314814814814814</v>
      </c>
      <c r="Z38" s="10">
        <f>IFERROR(TIMEVALUE(Table2[[#This Row],[Ra]]),0)</f>
        <v>0.78190972222222221</v>
      </c>
      <c r="AA38" t="str">
        <f t="shared" si="11"/>
        <v>x</v>
      </c>
      <c r="AB38" s="12">
        <f t="shared" si="8"/>
        <v>0</v>
      </c>
      <c r="AC38" s="12" t="str">
        <f>IF(VLOOKUP(A38,Data_NV!$A:$I,7,0)="Không","",IF(OR(AND(Y38=0,Z38=0),AND(Y38&lt;&gt;0,Z38&lt;&gt;0)),"","Quên chấm công"))</f>
        <v/>
      </c>
      <c r="AD38" s="12">
        <f>IF(VLOOKUP(A38,Data_NV!$A:$I,7,0)="Không",0,IF(AND(Y38=0,Z38=0),0,IF(X38&lt;=Z38,0,ROUNDDOWN((X38-Z38)*24*60,0))))</f>
        <v>0</v>
      </c>
      <c r="AE38" s="12">
        <f>IF(VLOOKUP(A38,Data_NV!$A:$I,6,0)="Không",0,IF(Z38&lt;=X38,0,ROUNDDOWN((Z38-X38)*24*60,0)))</f>
        <v>105</v>
      </c>
      <c r="AF38" s="26">
        <f t="shared" si="12"/>
        <v>0</v>
      </c>
      <c r="AG38" s="27" t="str">
        <f>IF(AC38="","",IF(COUNTIFS($AC$3:AC38,"Quên chấm công",$S$3:S38,S38)&gt;3,"Không chấm công do vi phạm quá 3 lần",IF(COUNTIFS($AC$3:AC38,"Quên chấm công",$S$3:S38,S38)&gt;2,"Trừ toàn bộ chuyên cần tháng do vi phạm lần 3",IF(COUNTIFS($AC$3:AC38,"Quên chấm công",$S$3:S38,S38)&gt;1,"Trừ 1/2 ngày lương",50000))))</f>
        <v/>
      </c>
      <c r="AH38" s="12" t="str">
        <f>IF(AF38=0,"",IF(COUNTIFS($AF$3:AF38,"&gt;0",$S$3:S38,S38)&gt;3,"Trừ toàn bộ chuyên cần tháng",""))</f>
        <v/>
      </c>
      <c r="AI38" s="12"/>
    </row>
    <row r="39" spans="1:35" x14ac:dyDescent="0.25">
      <c r="A39" s="4" t="s">
        <v>276</v>
      </c>
      <c r="B39" s="1" t="s">
        <v>277</v>
      </c>
      <c r="C39" s="1" t="s">
        <v>19</v>
      </c>
      <c r="D39" s="1" t="s">
        <v>33</v>
      </c>
      <c r="E39" s="1" t="s">
        <v>21</v>
      </c>
      <c r="F39" s="1" t="s">
        <v>22</v>
      </c>
      <c r="G39" s="1" t="s">
        <v>12</v>
      </c>
      <c r="H39" s="1" t="s">
        <v>23</v>
      </c>
      <c r="I39" s="1" t="s">
        <v>23</v>
      </c>
      <c r="J39" s="1" t="s">
        <v>24</v>
      </c>
      <c r="K39" s="1" t="s">
        <v>24</v>
      </c>
      <c r="L39" s="1" t="s">
        <v>25</v>
      </c>
      <c r="M39" s="1" t="s">
        <v>24</v>
      </c>
      <c r="N39" s="1" t="s">
        <v>24</v>
      </c>
      <c r="O39" s="1" t="s">
        <v>24</v>
      </c>
      <c r="P39" s="1" t="s">
        <v>24</v>
      </c>
      <c r="Q39" s="1" t="s">
        <v>24</v>
      </c>
      <c r="R39" s="85" t="str">
        <f t="shared" si="10"/>
        <v>545907</v>
      </c>
      <c r="S39" t="str">
        <f>VLOOKUP(A39,Data_NV!$A:$C,3,0)</f>
        <v xml:space="preserve"> Hàng Minh Thư   </v>
      </c>
      <c r="T39" t="str">
        <f>VLOOKUP(A39,Data_NV!$A:$E,4,0)</f>
        <v>Kế toán - Văn phòng</v>
      </c>
      <c r="U39" s="82">
        <f>DATEVALUE(Table2[[#This Row],[Ngày]])</f>
        <v>45907</v>
      </c>
      <c r="V39" t="str">
        <f>VLOOKUP(A39,Data_NV!$A:$E,5,0)</f>
        <v>Đang làm việc</v>
      </c>
      <c r="W39" s="10">
        <f>VLOOKUP(A39,Data_NV!$A:$I,8,0)</f>
        <v>0.33333333333333331</v>
      </c>
      <c r="X39" s="10">
        <f>VLOOKUP(A39,Data_NV!$A:$I,9,0)</f>
        <v>0.70833333333333337</v>
      </c>
      <c r="Y39" s="10">
        <f>IFERROR(TIMEVALUE(Table2[[#This Row],[Vào]]),0)</f>
        <v>0</v>
      </c>
      <c r="Z39" s="10">
        <f>IFERROR(TIMEVALUE(Table2[[#This Row],[Ra]]),0)</f>
        <v>0</v>
      </c>
      <c r="AA39" t="str">
        <f t="shared" si="11"/>
        <v>Chủ nhật</v>
      </c>
      <c r="AB39" s="12">
        <f t="shared" si="8"/>
        <v>0</v>
      </c>
      <c r="AC39" s="12" t="str">
        <f>IF(VLOOKUP(A39,Data_NV!$A:$I,7,0)="Không","",IF(OR(AND(Y39=0,Z39=0),AND(Y39&lt;&gt;0,Z39&lt;&gt;0)),"","Quên chấm công"))</f>
        <v/>
      </c>
      <c r="AD39" s="12">
        <f>IF(VLOOKUP(A39,Data_NV!$A:$I,7,0)="Không",0,IF(AND(Y39=0,Z39=0),0,IF(X39&lt;=Z39,0,ROUNDDOWN((X39-Z39)*24*60,0))))</f>
        <v>0</v>
      </c>
      <c r="AE39" s="12">
        <f>IF(VLOOKUP(A39,Data_NV!$A:$I,6,0)="Không",0,IF(Z39&lt;=X39,0,ROUNDDOWN((Z39-X39)*24*60,0)))</f>
        <v>0</v>
      </c>
      <c r="AF39" s="26">
        <f t="shared" si="12"/>
        <v>0</v>
      </c>
      <c r="AG39" s="27" t="str">
        <f>IF(AC39="","",IF(COUNTIFS($AC$3:AC39,"Quên chấm công",$S$3:S39,S39)&gt;3,"Không chấm công do vi phạm quá 3 lần",IF(COUNTIFS($AC$3:AC39,"Quên chấm công",$S$3:S39,S39)&gt;2,"Trừ toàn bộ chuyên cần tháng do vi phạm lần 3",IF(COUNTIFS($AC$3:AC39,"Quên chấm công",$S$3:S39,S39)&gt;1,"Trừ 1/2 ngày lương",50000))))</f>
        <v/>
      </c>
      <c r="AH39" s="12" t="str">
        <f>IF(AF39=0,"",IF(COUNTIFS($AF$3:AF39,"&gt;0",$S$3:S39,S39)&gt;3,"Trừ toàn bộ chuyên cần tháng",""))</f>
        <v/>
      </c>
      <c r="AI39" s="12"/>
    </row>
    <row r="40" spans="1:35" x14ac:dyDescent="0.25">
      <c r="A40" s="4" t="s">
        <v>276</v>
      </c>
      <c r="B40" s="1" t="s">
        <v>277</v>
      </c>
      <c r="C40" s="1" t="s">
        <v>19</v>
      </c>
      <c r="D40" s="1" t="s">
        <v>34</v>
      </c>
      <c r="E40" s="1" t="s">
        <v>21</v>
      </c>
      <c r="F40" s="1" t="s">
        <v>22</v>
      </c>
      <c r="G40" s="1" t="s">
        <v>28</v>
      </c>
      <c r="H40" s="1" t="s">
        <v>251</v>
      </c>
      <c r="I40" s="1" t="s">
        <v>290</v>
      </c>
      <c r="J40" s="1" t="s">
        <v>24</v>
      </c>
      <c r="K40" s="1" t="s">
        <v>199</v>
      </c>
      <c r="L40" s="1" t="s">
        <v>24</v>
      </c>
      <c r="M40" s="1" t="s">
        <v>25</v>
      </c>
      <c r="N40" s="1" t="s">
        <v>24</v>
      </c>
      <c r="O40" s="1" t="s">
        <v>200</v>
      </c>
      <c r="P40" s="1" t="s">
        <v>24</v>
      </c>
      <c r="Q40" s="1" t="s">
        <v>24</v>
      </c>
      <c r="R40" s="85" t="str">
        <f t="shared" si="10"/>
        <v>545908</v>
      </c>
      <c r="S40" t="str">
        <f>VLOOKUP(A40,Data_NV!$A:$C,3,0)</f>
        <v xml:space="preserve"> Hàng Minh Thư   </v>
      </c>
      <c r="T40" t="str">
        <f>VLOOKUP(A40,Data_NV!$A:$E,4,0)</f>
        <v>Kế toán - Văn phòng</v>
      </c>
      <c r="U40" s="82">
        <f>DATEVALUE(Table2[[#This Row],[Ngày]])</f>
        <v>45908</v>
      </c>
      <c r="V40" t="str">
        <f>VLOOKUP(A40,Data_NV!$A:$E,5,0)</f>
        <v>Đang làm việc</v>
      </c>
      <c r="W40" s="10">
        <f>VLOOKUP(A40,Data_NV!$A:$I,8,0)</f>
        <v>0.33333333333333331</v>
      </c>
      <c r="X40" s="10">
        <f>VLOOKUP(A40,Data_NV!$A:$I,9,0)</f>
        <v>0.70833333333333337</v>
      </c>
      <c r="Y40" s="10">
        <f>IFERROR(TIMEVALUE(Table2[[#This Row],[Vào]]),0)</f>
        <v>0.32971064814814816</v>
      </c>
      <c r="Z40" s="10">
        <f>IFERROR(TIMEVALUE(Table2[[#This Row],[Ra]]),0)</f>
        <v>0.76702546296296292</v>
      </c>
      <c r="AA40" t="str">
        <f t="shared" si="11"/>
        <v>x</v>
      </c>
      <c r="AB40" s="12">
        <f t="shared" si="8"/>
        <v>0</v>
      </c>
      <c r="AC40" s="12" t="str">
        <f>IF(VLOOKUP(A40,Data_NV!$A:$I,7,0)="Không","",IF(OR(AND(Y40=0,Z40=0),AND(Y40&lt;&gt;0,Z40&lt;&gt;0)),"","Quên chấm công"))</f>
        <v/>
      </c>
      <c r="AD40" s="12">
        <f>IF(VLOOKUP(A40,Data_NV!$A:$I,7,0)="Không",0,IF(AND(Y40=0,Z40=0),0,IF(X40&lt;=Z40,0,ROUNDDOWN((X40-Z40)*24*60,0))))</f>
        <v>0</v>
      </c>
      <c r="AE40" s="12">
        <f>IF(VLOOKUP(A40,Data_NV!$A:$I,6,0)="Không",0,IF(Z40&lt;=X40,0,ROUNDDOWN((Z40-X40)*24*60,0)))</f>
        <v>84</v>
      </c>
      <c r="AF40" s="26">
        <f t="shared" si="12"/>
        <v>0</v>
      </c>
      <c r="AG40" s="27" t="str">
        <f>IF(AC40="","",IF(COUNTIFS($AC$3:AC40,"Quên chấm công",$S$3:S40,S40)&gt;3,"Không chấm công do vi phạm quá 3 lần",IF(COUNTIFS($AC$3:AC40,"Quên chấm công",$S$3:S40,S40)&gt;2,"Trừ toàn bộ chuyên cần tháng do vi phạm lần 3",IF(COUNTIFS($AC$3:AC40,"Quên chấm công",$S$3:S40,S40)&gt;1,"Trừ 1/2 ngày lương",50000))))</f>
        <v/>
      </c>
      <c r="AH40" s="12" t="str">
        <f>IF(AF40=0,"",IF(COUNTIFS($AF$3:AF40,"&gt;0",$S$3:S40,S40)&gt;3,"Trừ toàn bộ chuyên cần tháng",""))</f>
        <v/>
      </c>
      <c r="AI40" s="12"/>
    </row>
    <row r="41" spans="1:35" x14ac:dyDescent="0.25">
      <c r="A41" s="4" t="s">
        <v>276</v>
      </c>
      <c r="B41" s="1" t="s">
        <v>277</v>
      </c>
      <c r="C41" s="1" t="s">
        <v>19</v>
      </c>
      <c r="D41" s="1" t="s">
        <v>37</v>
      </c>
      <c r="E41" s="1" t="s">
        <v>21</v>
      </c>
      <c r="F41" s="1" t="s">
        <v>22</v>
      </c>
      <c r="G41" s="1" t="s">
        <v>28</v>
      </c>
      <c r="H41" s="1" t="s">
        <v>291</v>
      </c>
      <c r="I41" s="1" t="s">
        <v>292</v>
      </c>
      <c r="J41" s="1" t="s">
        <v>24</v>
      </c>
      <c r="K41" s="1" t="s">
        <v>107</v>
      </c>
      <c r="L41" s="1" t="s">
        <v>24</v>
      </c>
      <c r="M41" s="1" t="s">
        <v>25</v>
      </c>
      <c r="N41" s="1" t="s">
        <v>24</v>
      </c>
      <c r="O41" s="1" t="s">
        <v>108</v>
      </c>
      <c r="P41" s="1" t="s">
        <v>24</v>
      </c>
      <c r="Q41" s="1" t="s">
        <v>24</v>
      </c>
      <c r="R41" s="85" t="str">
        <f t="shared" si="10"/>
        <v>545909</v>
      </c>
      <c r="S41" t="str">
        <f>VLOOKUP(A41,Data_NV!$A:$C,3,0)</f>
        <v xml:space="preserve"> Hàng Minh Thư   </v>
      </c>
      <c r="T41" t="str">
        <f>VLOOKUP(A41,Data_NV!$A:$E,4,0)</f>
        <v>Kế toán - Văn phòng</v>
      </c>
      <c r="U41" s="82">
        <f>DATEVALUE(Table2[[#This Row],[Ngày]])</f>
        <v>45909</v>
      </c>
      <c r="V41" t="str">
        <f>VLOOKUP(A41,Data_NV!$A:$E,5,0)</f>
        <v>Đang làm việc</v>
      </c>
      <c r="W41" s="10">
        <f>VLOOKUP(A41,Data_NV!$A:$I,8,0)</f>
        <v>0.33333333333333331</v>
      </c>
      <c r="X41" s="10">
        <f>VLOOKUP(A41,Data_NV!$A:$I,9,0)</f>
        <v>0.70833333333333337</v>
      </c>
      <c r="Y41" s="10">
        <f>IFERROR(TIMEVALUE(Table2[[#This Row],[Vào]]),0)</f>
        <v>0.32777777777777778</v>
      </c>
      <c r="Z41" s="10">
        <f>IFERROR(TIMEVALUE(Table2[[#This Row],[Ra]]),0)</f>
        <v>0.76538194444444441</v>
      </c>
      <c r="AA41" t="str">
        <f t="shared" si="11"/>
        <v>x</v>
      </c>
      <c r="AB41" s="12">
        <f t="shared" si="8"/>
        <v>0</v>
      </c>
      <c r="AC41" s="12" t="str">
        <f>IF(VLOOKUP(A41,Data_NV!$A:$I,7,0)="Không","",IF(OR(AND(Y41=0,Z41=0),AND(Y41&lt;&gt;0,Z41&lt;&gt;0)),"","Quên chấm công"))</f>
        <v/>
      </c>
      <c r="AD41" s="12">
        <f>IF(VLOOKUP(A41,Data_NV!$A:$I,7,0)="Không",0,IF(AND(Y41=0,Z41=0),0,IF(X41&lt;=Z41,0,ROUNDDOWN((X41-Z41)*24*60,0))))</f>
        <v>0</v>
      </c>
      <c r="AE41" s="12">
        <f>IF(VLOOKUP(A41,Data_NV!$A:$I,6,0)="Không",0,IF(Z41&lt;=X41,0,ROUNDDOWN((Z41-X41)*24*60,0)))</f>
        <v>82</v>
      </c>
      <c r="AF41" s="26">
        <f t="shared" si="12"/>
        <v>0</v>
      </c>
      <c r="AG41" s="27" t="str">
        <f>IF(AC41="","",IF(COUNTIFS($AC$3:AC41,"Quên chấm công",$S$3:S41,S41)&gt;3,"Không chấm công do vi phạm quá 3 lần",IF(COUNTIFS($AC$3:AC41,"Quên chấm công",$S$3:S41,S41)&gt;2,"Trừ toàn bộ chuyên cần tháng do vi phạm lần 3",IF(COUNTIFS($AC$3:AC41,"Quên chấm công",$S$3:S41,S41)&gt;1,"Trừ 1/2 ngày lương",50000))))</f>
        <v/>
      </c>
      <c r="AH41" s="12" t="str">
        <f>IF(AF41=0,"",IF(COUNTIFS($AF$3:AF41,"&gt;0",$S$3:S41,S41)&gt;3,"Trừ toàn bộ chuyên cần tháng",""))</f>
        <v/>
      </c>
      <c r="AI41" s="12"/>
    </row>
    <row r="42" spans="1:35" x14ac:dyDescent="0.25">
      <c r="A42" s="4" t="s">
        <v>276</v>
      </c>
      <c r="B42" s="1" t="s">
        <v>277</v>
      </c>
      <c r="C42" s="1" t="s">
        <v>19</v>
      </c>
      <c r="D42" s="1" t="s">
        <v>38</v>
      </c>
      <c r="E42" s="1" t="s">
        <v>21</v>
      </c>
      <c r="F42" s="1" t="s">
        <v>22</v>
      </c>
      <c r="G42" s="1" t="s">
        <v>28</v>
      </c>
      <c r="H42" s="1" t="s">
        <v>147</v>
      </c>
      <c r="I42" s="1" t="s">
        <v>293</v>
      </c>
      <c r="J42" s="1" t="s">
        <v>24</v>
      </c>
      <c r="K42" s="1" t="s">
        <v>184</v>
      </c>
      <c r="L42" s="1" t="s">
        <v>24</v>
      </c>
      <c r="M42" s="1" t="s">
        <v>25</v>
      </c>
      <c r="N42" s="1" t="s">
        <v>24</v>
      </c>
      <c r="O42" s="1" t="s">
        <v>185</v>
      </c>
      <c r="P42" s="1" t="s">
        <v>24</v>
      </c>
      <c r="Q42" s="1" t="s">
        <v>24</v>
      </c>
      <c r="R42" s="85" t="str">
        <f t="shared" si="10"/>
        <v>545910</v>
      </c>
      <c r="S42" t="str">
        <f>VLOOKUP(A42,Data_NV!$A:$C,3,0)</f>
        <v xml:space="preserve"> Hàng Minh Thư   </v>
      </c>
      <c r="T42" t="str">
        <f>VLOOKUP(A42,Data_NV!$A:$E,4,0)</f>
        <v>Kế toán - Văn phòng</v>
      </c>
      <c r="U42" s="82">
        <f>DATEVALUE(Table2[[#This Row],[Ngày]])</f>
        <v>45910</v>
      </c>
      <c r="V42" t="str">
        <f>VLOOKUP(A42,Data_NV!$A:$E,5,0)</f>
        <v>Đang làm việc</v>
      </c>
      <c r="W42" s="10">
        <f>VLOOKUP(A42,Data_NV!$A:$I,8,0)</f>
        <v>0.33333333333333331</v>
      </c>
      <c r="X42" s="10">
        <f>VLOOKUP(A42,Data_NV!$A:$I,9,0)</f>
        <v>0.70833333333333337</v>
      </c>
      <c r="Y42" s="10">
        <f>IFERROR(TIMEVALUE(Table2[[#This Row],[Vào]]),0)</f>
        <v>0.33053240740740741</v>
      </c>
      <c r="Z42" s="10">
        <f>IFERROR(TIMEVALUE(Table2[[#This Row],[Ra]]),0)</f>
        <v>0.78866898148148146</v>
      </c>
      <c r="AA42" t="str">
        <f t="shared" si="11"/>
        <v>x</v>
      </c>
      <c r="AB42" s="12">
        <f t="shared" si="8"/>
        <v>0</v>
      </c>
      <c r="AC42" s="12" t="str">
        <f>IF(VLOOKUP(A42,Data_NV!$A:$I,7,0)="Không","",IF(OR(AND(Y42=0,Z42=0),AND(Y42&lt;&gt;0,Z42&lt;&gt;0)),"","Quên chấm công"))</f>
        <v/>
      </c>
      <c r="AD42" s="12">
        <f>IF(VLOOKUP(A42,Data_NV!$A:$I,7,0)="Không",0,IF(AND(Y42=0,Z42=0),0,IF(X42&lt;=Z42,0,ROUNDDOWN((X42-Z42)*24*60,0))))</f>
        <v>0</v>
      </c>
      <c r="AE42" s="12">
        <f>IF(VLOOKUP(A42,Data_NV!$A:$I,6,0)="Không",0,IF(Z42&lt;=X42,0,ROUNDDOWN((Z42-X42)*24*60,0)))</f>
        <v>115</v>
      </c>
      <c r="AF42" s="26">
        <f t="shared" si="12"/>
        <v>0</v>
      </c>
      <c r="AG42" s="27" t="str">
        <f>IF(AC42="","",IF(COUNTIFS($AC$3:AC42,"Quên chấm công",$S$3:S42,S42)&gt;3,"Không chấm công do vi phạm quá 3 lần",IF(COUNTIFS($AC$3:AC42,"Quên chấm công",$S$3:S42,S42)&gt;2,"Trừ toàn bộ chuyên cần tháng do vi phạm lần 3",IF(COUNTIFS($AC$3:AC42,"Quên chấm công",$S$3:S42,S42)&gt;1,"Trừ 1/2 ngày lương",50000))))</f>
        <v/>
      </c>
      <c r="AH42" s="12" t="str">
        <f>IF(AF42=0,"",IF(COUNTIFS($AF$3:AF42,"&gt;0",$S$3:S42,S42)&gt;3,"Trừ toàn bộ chuyên cần tháng",""))</f>
        <v/>
      </c>
      <c r="AI42" s="12"/>
    </row>
    <row r="43" spans="1:35" x14ac:dyDescent="0.25">
      <c r="A43" s="4" t="s">
        <v>276</v>
      </c>
      <c r="B43" s="1" t="s">
        <v>277</v>
      </c>
      <c r="C43" s="1" t="s">
        <v>19</v>
      </c>
      <c r="D43" s="1" t="s">
        <v>39</v>
      </c>
      <c r="E43" s="1" t="s">
        <v>21</v>
      </c>
      <c r="F43" s="1" t="s">
        <v>22</v>
      </c>
      <c r="G43" s="1" t="s">
        <v>28</v>
      </c>
      <c r="H43" s="1" t="s">
        <v>294</v>
      </c>
      <c r="I43" s="1" t="s">
        <v>295</v>
      </c>
      <c r="J43" s="1" t="s">
        <v>24</v>
      </c>
      <c r="K43" s="1" t="s">
        <v>130</v>
      </c>
      <c r="L43" s="1" t="s">
        <v>24</v>
      </c>
      <c r="M43" s="1" t="s">
        <v>25</v>
      </c>
      <c r="N43" s="1" t="s">
        <v>24</v>
      </c>
      <c r="O43" s="1" t="s">
        <v>110</v>
      </c>
      <c r="P43" s="1" t="s">
        <v>24</v>
      </c>
      <c r="Q43" s="1" t="s">
        <v>24</v>
      </c>
      <c r="R43" s="85" t="str">
        <f t="shared" si="10"/>
        <v>545911</v>
      </c>
      <c r="S43" t="str">
        <f>VLOOKUP(A43,Data_NV!$A:$C,3,0)</f>
        <v xml:space="preserve"> Hàng Minh Thư   </v>
      </c>
      <c r="T43" t="str">
        <f>VLOOKUP(A43,Data_NV!$A:$E,4,0)</f>
        <v>Kế toán - Văn phòng</v>
      </c>
      <c r="U43" s="82">
        <f>DATEVALUE(Table2[[#This Row],[Ngày]])</f>
        <v>45911</v>
      </c>
      <c r="V43" t="str">
        <f>VLOOKUP(A43,Data_NV!$A:$E,5,0)</f>
        <v>Đang làm việc</v>
      </c>
      <c r="W43" s="10">
        <f>VLOOKUP(A43,Data_NV!$A:$I,8,0)</f>
        <v>0.33333333333333331</v>
      </c>
      <c r="X43" s="10">
        <f>VLOOKUP(A43,Data_NV!$A:$I,9,0)</f>
        <v>0.70833333333333337</v>
      </c>
      <c r="Y43" s="10">
        <f>IFERROR(TIMEVALUE(Table2[[#This Row],[Vào]]),0)</f>
        <v>0.33134259259259258</v>
      </c>
      <c r="Z43" s="10">
        <f>IFERROR(TIMEVALUE(Table2[[#This Row],[Ra]]),0)</f>
        <v>0.78684027777777776</v>
      </c>
      <c r="AA43" t="str">
        <f t="shared" si="11"/>
        <v>x</v>
      </c>
      <c r="AB43" s="12">
        <f t="shared" si="8"/>
        <v>0</v>
      </c>
      <c r="AC43" s="12" t="str">
        <f>IF(VLOOKUP(A43,Data_NV!$A:$I,7,0)="Không","",IF(OR(AND(Y43=0,Z43=0),AND(Y43&lt;&gt;0,Z43&lt;&gt;0)),"","Quên chấm công"))</f>
        <v/>
      </c>
      <c r="AD43" s="12">
        <f>IF(VLOOKUP(A43,Data_NV!$A:$I,7,0)="Không",0,IF(AND(Y43=0,Z43=0),0,IF(X43&lt;=Z43,0,ROUNDDOWN((X43-Z43)*24*60,0))))</f>
        <v>0</v>
      </c>
      <c r="AE43" s="12">
        <f>IF(VLOOKUP(A43,Data_NV!$A:$I,6,0)="Không",0,IF(Z43&lt;=X43,0,ROUNDDOWN((Z43-X43)*24*60,0)))</f>
        <v>113</v>
      </c>
      <c r="AF43" s="26">
        <f t="shared" si="12"/>
        <v>0</v>
      </c>
      <c r="AG43" s="27" t="str">
        <f>IF(AC43="","",IF(COUNTIFS($AC$3:AC43,"Quên chấm công",$S$3:S43,S43)&gt;3,"Không chấm công do vi phạm quá 3 lần",IF(COUNTIFS($AC$3:AC43,"Quên chấm công",$S$3:S43,S43)&gt;2,"Trừ toàn bộ chuyên cần tháng do vi phạm lần 3",IF(COUNTIFS($AC$3:AC43,"Quên chấm công",$S$3:S43,S43)&gt;1,"Trừ 1/2 ngày lương",50000))))</f>
        <v/>
      </c>
      <c r="AH43" s="12" t="str">
        <f>IF(AF43=0,"",IF(COUNTIFS($AF$3:AF43,"&gt;0",$S$3:S43,S43)&gt;3,"Trừ toàn bộ chuyên cần tháng",""))</f>
        <v/>
      </c>
      <c r="AI43" s="12"/>
    </row>
    <row r="44" spans="1:35" x14ac:dyDescent="0.25">
      <c r="A44" s="4" t="s">
        <v>276</v>
      </c>
      <c r="B44" s="1" t="s">
        <v>277</v>
      </c>
      <c r="C44" s="1" t="s">
        <v>19</v>
      </c>
      <c r="D44" s="1" t="s">
        <v>41</v>
      </c>
      <c r="E44" s="1" t="s">
        <v>21</v>
      </c>
      <c r="F44" s="1" t="s">
        <v>22</v>
      </c>
      <c r="G44" s="1" t="s">
        <v>28</v>
      </c>
      <c r="H44" s="1" t="s">
        <v>296</v>
      </c>
      <c r="I44" s="1" t="s">
        <v>143</v>
      </c>
      <c r="J44" s="1" t="s">
        <v>24</v>
      </c>
      <c r="K44" s="1" t="s">
        <v>144</v>
      </c>
      <c r="L44" s="1" t="s">
        <v>24</v>
      </c>
      <c r="M44" s="1" t="s">
        <v>25</v>
      </c>
      <c r="N44" s="1" t="s">
        <v>24</v>
      </c>
      <c r="O44" s="1" t="s">
        <v>145</v>
      </c>
      <c r="P44" s="1" t="s">
        <v>24</v>
      </c>
      <c r="Q44" s="1" t="s">
        <v>24</v>
      </c>
      <c r="R44" s="85" t="str">
        <f t="shared" si="10"/>
        <v>545912</v>
      </c>
      <c r="S44" t="str">
        <f>VLOOKUP(A44,Data_NV!$A:$C,3,0)</f>
        <v xml:space="preserve"> Hàng Minh Thư   </v>
      </c>
      <c r="T44" t="str">
        <f>VLOOKUP(A44,Data_NV!$A:$E,4,0)</f>
        <v>Kế toán - Văn phòng</v>
      </c>
      <c r="U44" s="82">
        <f>DATEVALUE(Table2[[#This Row],[Ngày]])</f>
        <v>45912</v>
      </c>
      <c r="V44" t="str">
        <f>VLOOKUP(A44,Data_NV!$A:$E,5,0)</f>
        <v>Đang làm việc</v>
      </c>
      <c r="W44" s="10">
        <f>VLOOKUP(A44,Data_NV!$A:$I,8,0)</f>
        <v>0.33333333333333331</v>
      </c>
      <c r="X44" s="10">
        <f>VLOOKUP(A44,Data_NV!$A:$I,9,0)</f>
        <v>0.70833333333333337</v>
      </c>
      <c r="Y44" s="10">
        <f>IFERROR(TIMEVALUE(Table2[[#This Row],[Vào]]),0)</f>
        <v>0.33185185185185184</v>
      </c>
      <c r="Z44" s="10">
        <f>IFERROR(TIMEVALUE(Table2[[#This Row],[Ra]]),0)</f>
        <v>0.7557638888888889</v>
      </c>
      <c r="AA44" t="str">
        <f t="shared" si="11"/>
        <v>x</v>
      </c>
      <c r="AB44" s="12">
        <f t="shared" si="8"/>
        <v>0</v>
      </c>
      <c r="AC44" s="12" t="str">
        <f>IF(VLOOKUP(A44,Data_NV!$A:$I,7,0)="Không","",IF(OR(AND(Y44=0,Z44=0),AND(Y44&lt;&gt;0,Z44&lt;&gt;0)),"","Quên chấm công"))</f>
        <v/>
      </c>
      <c r="AD44" s="12">
        <f>IF(VLOOKUP(A44,Data_NV!$A:$I,7,0)="Không",0,IF(AND(Y44=0,Z44=0),0,IF(X44&lt;=Z44,0,ROUNDDOWN((X44-Z44)*24*60,0))))</f>
        <v>0</v>
      </c>
      <c r="AE44" s="12">
        <f>IF(VLOOKUP(A44,Data_NV!$A:$I,6,0)="Không",0,IF(Z44&lt;=X44,0,ROUNDDOWN((Z44-X44)*24*60,0)))</f>
        <v>68</v>
      </c>
      <c r="AF44" s="26">
        <f t="shared" si="12"/>
        <v>0</v>
      </c>
      <c r="AG44" s="27" t="str">
        <f>IF(AC44="","",IF(COUNTIFS($AC$3:AC44,"Quên chấm công",$S$3:S44,S44)&gt;3,"Không chấm công do vi phạm quá 3 lần",IF(COUNTIFS($AC$3:AC44,"Quên chấm công",$S$3:S44,S44)&gt;2,"Trừ toàn bộ chuyên cần tháng do vi phạm lần 3",IF(COUNTIFS($AC$3:AC44,"Quên chấm công",$S$3:S44,S44)&gt;1,"Trừ 1/2 ngày lương",50000))))</f>
        <v/>
      </c>
      <c r="AH44" s="12" t="str">
        <f>IF(AF44=0,"",IF(COUNTIFS($AF$3:AF44,"&gt;0",$S$3:S44,S44)&gt;3,"Trừ toàn bộ chuyên cần tháng",""))</f>
        <v/>
      </c>
      <c r="AI44" s="12"/>
    </row>
    <row r="45" spans="1:35" x14ac:dyDescent="0.25">
      <c r="A45" s="4" t="s">
        <v>276</v>
      </c>
      <c r="B45" s="1" t="s">
        <v>277</v>
      </c>
      <c r="C45" s="1" t="s">
        <v>19</v>
      </c>
      <c r="D45" s="1" t="s">
        <v>42</v>
      </c>
      <c r="E45" s="1" t="s">
        <v>21</v>
      </c>
      <c r="F45" s="1" t="s">
        <v>22</v>
      </c>
      <c r="G45" s="1" t="s">
        <v>28</v>
      </c>
      <c r="H45" s="1" t="s">
        <v>297</v>
      </c>
      <c r="I45" s="1" t="s">
        <v>298</v>
      </c>
      <c r="J45" s="1" t="s">
        <v>24</v>
      </c>
      <c r="K45" s="1" t="s">
        <v>93</v>
      </c>
      <c r="L45" s="1" t="s">
        <v>24</v>
      </c>
      <c r="M45" s="1" t="s">
        <v>25</v>
      </c>
      <c r="N45" s="1" t="s">
        <v>24</v>
      </c>
      <c r="O45" s="1" t="s">
        <v>94</v>
      </c>
      <c r="P45" s="1" t="s">
        <v>24</v>
      </c>
      <c r="Q45" s="1" t="s">
        <v>24</v>
      </c>
      <c r="R45" s="85" t="str">
        <f t="shared" si="10"/>
        <v>545913</v>
      </c>
      <c r="S45" t="str">
        <f>VLOOKUP(A45,Data_NV!$A:$C,3,0)</f>
        <v xml:space="preserve"> Hàng Minh Thư   </v>
      </c>
      <c r="T45" t="str">
        <f>VLOOKUP(A45,Data_NV!$A:$E,4,0)</f>
        <v>Kế toán - Văn phòng</v>
      </c>
      <c r="U45" s="82">
        <f>DATEVALUE(Table2[[#This Row],[Ngày]])</f>
        <v>45913</v>
      </c>
      <c r="V45" t="str">
        <f>VLOOKUP(A45,Data_NV!$A:$E,5,0)</f>
        <v>Đang làm việc</v>
      </c>
      <c r="W45" s="10">
        <f>VLOOKUP(A45,Data_NV!$A:$I,8,0)</f>
        <v>0.33333333333333331</v>
      </c>
      <c r="X45" s="10">
        <f>VLOOKUP(A45,Data_NV!$A:$I,9,0)</f>
        <v>0.70833333333333337</v>
      </c>
      <c r="Y45" s="10">
        <f>IFERROR(TIMEVALUE(Table2[[#This Row],[Vào]]),0)</f>
        <v>0.33119212962962963</v>
      </c>
      <c r="Z45" s="10">
        <f>IFERROR(TIMEVALUE(Table2[[#This Row],[Ra]]),0)</f>
        <v>0.73495370370370372</v>
      </c>
      <c r="AA45" t="str">
        <f t="shared" si="11"/>
        <v>x</v>
      </c>
      <c r="AB45" s="12">
        <f t="shared" si="8"/>
        <v>0</v>
      </c>
      <c r="AC45" s="12" t="str">
        <f>IF(VLOOKUP(A45,Data_NV!$A:$I,7,0)="Không","",IF(OR(AND(Y45=0,Z45=0),AND(Y45&lt;&gt;0,Z45&lt;&gt;0)),"","Quên chấm công"))</f>
        <v/>
      </c>
      <c r="AD45" s="12">
        <f>IF(VLOOKUP(A45,Data_NV!$A:$I,7,0)="Không",0,IF(AND(Y45=0,Z45=0),0,IF(X45&lt;=Z45,0,ROUNDDOWN((X45-Z45)*24*60,0))))</f>
        <v>0</v>
      </c>
      <c r="AE45" s="12">
        <f>IF(VLOOKUP(A45,Data_NV!$A:$I,6,0)="Không",0,IF(Z45&lt;=X45,0,ROUNDDOWN((Z45-X45)*24*60,0)))</f>
        <v>38</v>
      </c>
      <c r="AF45" s="26">
        <f t="shared" si="12"/>
        <v>0</v>
      </c>
      <c r="AG45" s="27" t="str">
        <f>IF(AC45="","",IF(COUNTIFS($AC$3:AC45,"Quên chấm công",$S$3:S45,S45)&gt;3,"Không chấm công do vi phạm quá 3 lần",IF(COUNTIFS($AC$3:AC45,"Quên chấm công",$S$3:S45,S45)&gt;2,"Trừ toàn bộ chuyên cần tháng do vi phạm lần 3",IF(COUNTIFS($AC$3:AC45,"Quên chấm công",$S$3:S45,S45)&gt;1,"Trừ 1/2 ngày lương",50000))))</f>
        <v/>
      </c>
      <c r="AH45" s="12" t="str">
        <f>IF(AF45=0,"",IF(COUNTIFS($AF$3:AF45,"&gt;0",$S$3:S45,S45)&gt;3,"Trừ toàn bộ chuyên cần tháng",""))</f>
        <v/>
      </c>
      <c r="AI45" s="12"/>
    </row>
    <row r="46" spans="1:35" x14ac:dyDescent="0.25">
      <c r="A46" s="4" t="s">
        <v>276</v>
      </c>
      <c r="B46" s="1" t="s">
        <v>277</v>
      </c>
      <c r="C46" s="1" t="s">
        <v>19</v>
      </c>
      <c r="D46" s="1" t="s">
        <v>45</v>
      </c>
      <c r="E46" s="1" t="s">
        <v>21</v>
      </c>
      <c r="F46" s="1" t="s">
        <v>22</v>
      </c>
      <c r="G46" s="1" t="s">
        <v>12</v>
      </c>
      <c r="H46" s="1" t="s">
        <v>23</v>
      </c>
      <c r="I46" s="1" t="s">
        <v>23</v>
      </c>
      <c r="J46" s="1" t="s">
        <v>24</v>
      </c>
      <c r="K46" s="1" t="s">
        <v>24</v>
      </c>
      <c r="L46" s="1" t="s">
        <v>25</v>
      </c>
      <c r="M46" s="1" t="s">
        <v>24</v>
      </c>
      <c r="N46" s="1" t="s">
        <v>24</v>
      </c>
      <c r="O46" s="1" t="s">
        <v>24</v>
      </c>
      <c r="P46" s="1" t="s">
        <v>24</v>
      </c>
      <c r="Q46" s="1" t="s">
        <v>24</v>
      </c>
      <c r="R46" s="85" t="str">
        <f t="shared" si="10"/>
        <v>545914</v>
      </c>
      <c r="S46" t="str">
        <f>VLOOKUP(A46,Data_NV!$A:$C,3,0)</f>
        <v xml:space="preserve"> Hàng Minh Thư   </v>
      </c>
      <c r="T46" t="str">
        <f>VLOOKUP(A46,Data_NV!$A:$E,4,0)</f>
        <v>Kế toán - Văn phòng</v>
      </c>
      <c r="U46" s="82">
        <f>DATEVALUE(Table2[[#This Row],[Ngày]])</f>
        <v>45914</v>
      </c>
      <c r="V46" t="str">
        <f>VLOOKUP(A46,Data_NV!$A:$E,5,0)</f>
        <v>Đang làm việc</v>
      </c>
      <c r="W46" s="10">
        <f>VLOOKUP(A46,Data_NV!$A:$I,8,0)</f>
        <v>0.33333333333333331</v>
      </c>
      <c r="X46" s="10">
        <f>VLOOKUP(A46,Data_NV!$A:$I,9,0)</f>
        <v>0.70833333333333337</v>
      </c>
      <c r="Y46" s="10">
        <f>IFERROR(TIMEVALUE(Table2[[#This Row],[Vào]]),0)</f>
        <v>0</v>
      </c>
      <c r="Z46" s="10">
        <f>IFERROR(TIMEVALUE(Table2[[#This Row],[Ra]]),0)</f>
        <v>0</v>
      </c>
      <c r="AA46" t="str">
        <f t="shared" si="11"/>
        <v>Chủ nhật</v>
      </c>
      <c r="AB46" s="12">
        <f t="shared" si="8"/>
        <v>0</v>
      </c>
      <c r="AC46" s="12" t="str">
        <f>IF(VLOOKUP(A46,Data_NV!$A:$I,7,0)="Không","",IF(OR(AND(Y46=0,Z46=0),AND(Y46&lt;&gt;0,Z46&lt;&gt;0)),"","Quên chấm công"))</f>
        <v/>
      </c>
      <c r="AD46" s="12">
        <f>IF(VLOOKUP(A46,Data_NV!$A:$I,7,0)="Không",0,IF(AND(Y46=0,Z46=0),0,IF(X46&lt;=Z46,0,ROUNDDOWN((X46-Z46)*24*60,0))))</f>
        <v>0</v>
      </c>
      <c r="AE46" s="12">
        <f>IF(VLOOKUP(A46,Data_NV!$A:$I,6,0)="Không",0,IF(Z46&lt;=X46,0,ROUNDDOWN((Z46-X46)*24*60,0)))</f>
        <v>0</v>
      </c>
      <c r="AF46" s="26">
        <f t="shared" si="12"/>
        <v>0</v>
      </c>
      <c r="AG46" s="27" t="str">
        <f>IF(AC46="","",IF(COUNTIFS($AC$3:AC46,"Quên chấm công",$S$3:S46,S46)&gt;3,"Không chấm công do vi phạm quá 3 lần",IF(COUNTIFS($AC$3:AC46,"Quên chấm công",$S$3:S46,S46)&gt;2,"Trừ toàn bộ chuyên cần tháng do vi phạm lần 3",IF(COUNTIFS($AC$3:AC46,"Quên chấm công",$S$3:S46,S46)&gt;1,"Trừ 1/2 ngày lương",50000))))</f>
        <v/>
      </c>
      <c r="AH46" s="12" t="str">
        <f>IF(AF46=0,"",IF(COUNTIFS($AF$3:AF46,"&gt;0",$S$3:S46,S46)&gt;3,"Trừ toàn bộ chuyên cần tháng",""))</f>
        <v/>
      </c>
      <c r="AI46" s="12"/>
    </row>
    <row r="47" spans="1:35" x14ac:dyDescent="0.25">
      <c r="A47" s="4" t="s">
        <v>276</v>
      </c>
      <c r="B47" s="1" t="s">
        <v>277</v>
      </c>
      <c r="C47" s="1" t="s">
        <v>19</v>
      </c>
      <c r="D47" s="1" t="s">
        <v>46</v>
      </c>
      <c r="E47" s="1" t="s">
        <v>21</v>
      </c>
      <c r="F47" s="1" t="s">
        <v>22</v>
      </c>
      <c r="G47" s="1" t="s">
        <v>28</v>
      </c>
      <c r="H47" s="1" t="s">
        <v>299</v>
      </c>
      <c r="I47" s="1" t="s">
        <v>300</v>
      </c>
      <c r="J47" s="1" t="s">
        <v>24</v>
      </c>
      <c r="K47" s="1" t="s">
        <v>301</v>
      </c>
      <c r="L47" s="1" t="s">
        <v>24</v>
      </c>
      <c r="M47" s="1" t="s">
        <v>25</v>
      </c>
      <c r="N47" s="1" t="s">
        <v>24</v>
      </c>
      <c r="O47" s="1" t="s">
        <v>302</v>
      </c>
      <c r="P47" s="1" t="s">
        <v>24</v>
      </c>
      <c r="Q47" s="1" t="s">
        <v>24</v>
      </c>
      <c r="R47" s="85" t="str">
        <f t="shared" si="10"/>
        <v>545915</v>
      </c>
      <c r="S47" t="str">
        <f>VLOOKUP(A47,Data_NV!$A:$C,3,0)</f>
        <v xml:space="preserve"> Hàng Minh Thư   </v>
      </c>
      <c r="T47" t="str">
        <f>VLOOKUP(A47,Data_NV!$A:$E,4,0)</f>
        <v>Kế toán - Văn phòng</v>
      </c>
      <c r="U47" s="82">
        <f>DATEVALUE(Table2[[#This Row],[Ngày]])</f>
        <v>45915</v>
      </c>
      <c r="V47" t="str">
        <f>VLOOKUP(A47,Data_NV!$A:$E,5,0)</f>
        <v>Đang làm việc</v>
      </c>
      <c r="W47" s="10">
        <f>VLOOKUP(A47,Data_NV!$A:$I,8,0)</f>
        <v>0.33333333333333331</v>
      </c>
      <c r="X47" s="10">
        <f>VLOOKUP(A47,Data_NV!$A:$I,9,0)</f>
        <v>0.70833333333333337</v>
      </c>
      <c r="Y47" s="10">
        <f>IFERROR(TIMEVALUE(Table2[[#This Row],[Vào]]),0)</f>
        <v>0.3309259259259259</v>
      </c>
      <c r="Z47" s="10">
        <f>IFERROR(TIMEVALUE(Table2[[#This Row],[Ra]]),0)</f>
        <v>0.77324074074074078</v>
      </c>
      <c r="AA47" t="str">
        <f t="shared" si="11"/>
        <v>x</v>
      </c>
      <c r="AB47" s="12">
        <f t="shared" si="8"/>
        <v>0</v>
      </c>
      <c r="AC47" s="12" t="str">
        <f>IF(VLOOKUP(A47,Data_NV!$A:$I,7,0)="Không","",IF(OR(AND(Y47=0,Z47=0),AND(Y47&lt;&gt;0,Z47&lt;&gt;0)),"","Quên chấm công"))</f>
        <v/>
      </c>
      <c r="AD47" s="12">
        <f>IF(VLOOKUP(A47,Data_NV!$A:$I,7,0)="Không",0,IF(AND(Y47=0,Z47=0),0,IF(X47&lt;=Z47,0,ROUNDDOWN((X47-Z47)*24*60,0))))</f>
        <v>0</v>
      </c>
      <c r="AE47" s="12">
        <f>IF(VLOOKUP(A47,Data_NV!$A:$I,6,0)="Không",0,IF(Z47&lt;=X47,0,ROUNDDOWN((Z47-X47)*24*60,0)))</f>
        <v>93</v>
      </c>
      <c r="AF47" s="26">
        <f t="shared" si="12"/>
        <v>0</v>
      </c>
      <c r="AG47" s="27" t="str">
        <f>IF(AC47="","",IF(COUNTIFS($AC$3:AC47,"Quên chấm công",$S$3:S47,S47)&gt;3,"Không chấm công do vi phạm quá 3 lần",IF(COUNTIFS($AC$3:AC47,"Quên chấm công",$S$3:S47,S47)&gt;2,"Trừ toàn bộ chuyên cần tháng do vi phạm lần 3",IF(COUNTIFS($AC$3:AC47,"Quên chấm công",$S$3:S47,S47)&gt;1,"Trừ 1/2 ngày lương",50000))))</f>
        <v/>
      </c>
      <c r="AH47" s="12" t="str">
        <f>IF(AF47=0,"",IF(COUNTIFS($AF$3:AF47,"&gt;0",$S$3:S47,S47)&gt;3,"Trừ toàn bộ chuyên cần tháng",""))</f>
        <v/>
      </c>
      <c r="AI47" s="12"/>
    </row>
    <row r="48" spans="1:35" x14ac:dyDescent="0.25">
      <c r="A48" s="4" t="s">
        <v>276</v>
      </c>
      <c r="B48" s="1" t="s">
        <v>277</v>
      </c>
      <c r="C48" s="1" t="s">
        <v>19</v>
      </c>
      <c r="D48" s="1" t="s">
        <v>47</v>
      </c>
      <c r="E48" s="1" t="s">
        <v>21</v>
      </c>
      <c r="F48" s="1" t="s">
        <v>22</v>
      </c>
      <c r="G48" s="1" t="s">
        <v>28</v>
      </c>
      <c r="H48" s="1" t="s">
        <v>303</v>
      </c>
      <c r="I48" s="1" t="s">
        <v>304</v>
      </c>
      <c r="J48" s="1" t="s">
        <v>24</v>
      </c>
      <c r="K48" s="1" t="s">
        <v>103</v>
      </c>
      <c r="L48" s="1" t="s">
        <v>24</v>
      </c>
      <c r="M48" s="1" t="s">
        <v>25</v>
      </c>
      <c r="N48" s="1" t="s">
        <v>24</v>
      </c>
      <c r="O48" s="1" t="s">
        <v>104</v>
      </c>
      <c r="P48" s="1" t="s">
        <v>24</v>
      </c>
      <c r="Q48" s="1" t="s">
        <v>24</v>
      </c>
      <c r="R48" s="85" t="str">
        <f t="shared" si="10"/>
        <v>545916</v>
      </c>
      <c r="S48" t="str">
        <f>VLOOKUP(A48,Data_NV!$A:$C,3,0)</f>
        <v xml:space="preserve"> Hàng Minh Thư   </v>
      </c>
      <c r="T48" t="str">
        <f>VLOOKUP(A48,Data_NV!$A:$E,4,0)</f>
        <v>Kế toán - Văn phòng</v>
      </c>
      <c r="U48" s="82">
        <f>DATEVALUE(Table2[[#This Row],[Ngày]])</f>
        <v>45916</v>
      </c>
      <c r="V48" t="str">
        <f>VLOOKUP(A48,Data_NV!$A:$E,5,0)</f>
        <v>Đang làm việc</v>
      </c>
      <c r="W48" s="10">
        <f>VLOOKUP(A48,Data_NV!$A:$I,8,0)</f>
        <v>0.33333333333333331</v>
      </c>
      <c r="X48" s="10">
        <f>VLOOKUP(A48,Data_NV!$A:$I,9,0)</f>
        <v>0.70833333333333337</v>
      </c>
      <c r="Y48" s="10">
        <f>IFERROR(TIMEVALUE(Table2[[#This Row],[Vào]]),0)</f>
        <v>0.33210648148148147</v>
      </c>
      <c r="Z48" s="10">
        <f>IFERROR(TIMEVALUE(Table2[[#This Row],[Ra]]),0)</f>
        <v>0.79023148148148148</v>
      </c>
      <c r="AA48" t="str">
        <f t="shared" si="11"/>
        <v>x</v>
      </c>
      <c r="AB48" s="12">
        <f t="shared" si="8"/>
        <v>0</v>
      </c>
      <c r="AC48" s="12" t="str">
        <f>IF(VLOOKUP(A48,Data_NV!$A:$I,7,0)="Không","",IF(OR(AND(Y48=0,Z48=0),AND(Y48&lt;&gt;0,Z48&lt;&gt;0)),"","Quên chấm công"))</f>
        <v/>
      </c>
      <c r="AD48" s="12">
        <f>IF(VLOOKUP(A48,Data_NV!$A:$I,7,0)="Không",0,IF(AND(Y48=0,Z48=0),0,IF(X48&lt;=Z48,0,ROUNDDOWN((X48-Z48)*24*60,0))))</f>
        <v>0</v>
      </c>
      <c r="AE48" s="12">
        <f>IF(VLOOKUP(A48,Data_NV!$A:$I,6,0)="Không",0,IF(Z48&lt;=X48,0,ROUNDDOWN((Z48-X48)*24*60,0)))</f>
        <v>117</v>
      </c>
      <c r="AF48" s="26">
        <f t="shared" si="12"/>
        <v>0</v>
      </c>
      <c r="AG48" s="27" t="str">
        <f>IF(AC48="","",IF(COUNTIFS($AC$3:AC48,"Quên chấm công",$S$3:S48,S48)&gt;3,"Không chấm công do vi phạm quá 3 lần",IF(COUNTIFS($AC$3:AC48,"Quên chấm công",$S$3:S48,S48)&gt;2,"Trừ toàn bộ chuyên cần tháng do vi phạm lần 3",IF(COUNTIFS($AC$3:AC48,"Quên chấm công",$S$3:S48,S48)&gt;1,"Trừ 1/2 ngày lương",50000))))</f>
        <v/>
      </c>
      <c r="AH48" s="12" t="str">
        <f>IF(AF48=0,"",IF(COUNTIFS($AF$3:AF48,"&gt;0",$S$3:S48,S48)&gt;3,"Trừ toàn bộ chuyên cần tháng",""))</f>
        <v/>
      </c>
      <c r="AI48" s="12"/>
    </row>
    <row r="49" spans="1:35" x14ac:dyDescent="0.25">
      <c r="A49" s="4" t="s">
        <v>276</v>
      </c>
      <c r="B49" s="1" t="s">
        <v>277</v>
      </c>
      <c r="C49" s="1" t="s">
        <v>19</v>
      </c>
      <c r="D49" s="1" t="s">
        <v>48</v>
      </c>
      <c r="E49" s="1" t="s">
        <v>21</v>
      </c>
      <c r="F49" s="1" t="s">
        <v>22</v>
      </c>
      <c r="G49" s="1" t="s">
        <v>28</v>
      </c>
      <c r="H49" s="1" t="s">
        <v>305</v>
      </c>
      <c r="I49" s="1" t="s">
        <v>306</v>
      </c>
      <c r="J49" s="1" t="s">
        <v>24</v>
      </c>
      <c r="K49" s="1" t="s">
        <v>60</v>
      </c>
      <c r="L49" s="1" t="s">
        <v>24</v>
      </c>
      <c r="M49" s="1" t="s">
        <v>25</v>
      </c>
      <c r="N49" s="1" t="s">
        <v>24</v>
      </c>
      <c r="O49" s="1" t="s">
        <v>61</v>
      </c>
      <c r="P49" s="1" t="s">
        <v>24</v>
      </c>
      <c r="Q49" s="1" t="s">
        <v>24</v>
      </c>
      <c r="R49" s="85" t="str">
        <f t="shared" si="10"/>
        <v>545917</v>
      </c>
      <c r="S49" t="str">
        <f>VLOOKUP(A49,Data_NV!$A:$C,3,0)</f>
        <v xml:space="preserve"> Hàng Minh Thư   </v>
      </c>
      <c r="T49" t="str">
        <f>VLOOKUP(A49,Data_NV!$A:$E,4,0)</f>
        <v>Kế toán - Văn phòng</v>
      </c>
      <c r="U49" s="82">
        <f>DATEVALUE(Table2[[#This Row],[Ngày]])</f>
        <v>45917</v>
      </c>
      <c r="V49" t="str">
        <f>VLOOKUP(A49,Data_NV!$A:$E,5,0)</f>
        <v>Đang làm việc</v>
      </c>
      <c r="W49" s="10">
        <f>VLOOKUP(A49,Data_NV!$A:$I,8,0)</f>
        <v>0.33333333333333331</v>
      </c>
      <c r="X49" s="10">
        <f>VLOOKUP(A49,Data_NV!$A:$I,9,0)</f>
        <v>0.70833333333333337</v>
      </c>
      <c r="Y49" s="10">
        <f>IFERROR(TIMEVALUE(Table2[[#This Row],[Vào]]),0)</f>
        <v>0.33201388888888889</v>
      </c>
      <c r="Z49" s="10">
        <f>IFERROR(TIMEVALUE(Table2[[#This Row],[Ra]]),0)</f>
        <v>0.77908564814814818</v>
      </c>
      <c r="AA49" t="str">
        <f t="shared" si="11"/>
        <v>x</v>
      </c>
      <c r="AB49" s="12">
        <f t="shared" si="8"/>
        <v>0</v>
      </c>
      <c r="AC49" s="12" t="str">
        <f>IF(VLOOKUP(A49,Data_NV!$A:$I,7,0)="Không","",IF(OR(AND(Y49=0,Z49=0),AND(Y49&lt;&gt;0,Z49&lt;&gt;0)),"","Quên chấm công"))</f>
        <v/>
      </c>
      <c r="AD49" s="12">
        <f>IF(VLOOKUP(A49,Data_NV!$A:$I,7,0)="Không",0,IF(AND(Y49=0,Z49=0),0,IF(X49&lt;=Z49,0,ROUNDDOWN((X49-Z49)*24*60,0))))</f>
        <v>0</v>
      </c>
      <c r="AE49" s="12">
        <f>IF(VLOOKUP(A49,Data_NV!$A:$I,6,0)="Không",0,IF(Z49&lt;=X49,0,ROUNDDOWN((Z49-X49)*24*60,0)))</f>
        <v>101</v>
      </c>
      <c r="AF49" s="26">
        <f t="shared" si="12"/>
        <v>0</v>
      </c>
      <c r="AG49" s="27" t="str">
        <f>IF(AC49="","",IF(COUNTIFS($AC$3:AC49,"Quên chấm công",$S$3:S49,S49)&gt;3,"Không chấm công do vi phạm quá 3 lần",IF(COUNTIFS($AC$3:AC49,"Quên chấm công",$S$3:S49,S49)&gt;2,"Trừ toàn bộ chuyên cần tháng do vi phạm lần 3",IF(COUNTIFS($AC$3:AC49,"Quên chấm công",$S$3:S49,S49)&gt;1,"Trừ 1/2 ngày lương",50000))))</f>
        <v/>
      </c>
      <c r="AH49" s="12" t="str">
        <f>IF(AF49=0,"",IF(COUNTIFS($AF$3:AF49,"&gt;0",$S$3:S49,S49)&gt;3,"Trừ toàn bộ chuyên cần tháng",""))</f>
        <v/>
      </c>
      <c r="AI49" s="12"/>
    </row>
    <row r="50" spans="1:35" x14ac:dyDescent="0.25">
      <c r="A50" s="4" t="s">
        <v>276</v>
      </c>
      <c r="B50" s="1" t="s">
        <v>277</v>
      </c>
      <c r="C50" s="1" t="s">
        <v>19</v>
      </c>
      <c r="D50" s="1" t="s">
        <v>50</v>
      </c>
      <c r="E50" s="1" t="s">
        <v>21</v>
      </c>
      <c r="F50" s="1" t="s">
        <v>22</v>
      </c>
      <c r="G50" s="1" t="s">
        <v>28</v>
      </c>
      <c r="H50" s="1" t="s">
        <v>307</v>
      </c>
      <c r="I50" s="1" t="s">
        <v>308</v>
      </c>
      <c r="J50" s="1" t="s">
        <v>24</v>
      </c>
      <c r="K50" s="1" t="s">
        <v>167</v>
      </c>
      <c r="L50" s="1" t="s">
        <v>24</v>
      </c>
      <c r="M50" s="1" t="s">
        <v>25</v>
      </c>
      <c r="N50" s="1" t="s">
        <v>24</v>
      </c>
      <c r="O50" s="1" t="s">
        <v>29</v>
      </c>
      <c r="P50" s="1" t="s">
        <v>168</v>
      </c>
      <c r="Q50" s="1" t="s">
        <v>24</v>
      </c>
      <c r="R50" s="85" t="str">
        <f t="shared" si="10"/>
        <v>545918</v>
      </c>
      <c r="S50" t="str">
        <f>VLOOKUP(A50,Data_NV!$A:$C,3,0)</f>
        <v xml:space="preserve"> Hàng Minh Thư   </v>
      </c>
      <c r="T50" t="str">
        <f>VLOOKUP(A50,Data_NV!$A:$E,4,0)</f>
        <v>Kế toán - Văn phòng</v>
      </c>
      <c r="U50" s="82">
        <f>DATEVALUE(Table2[[#This Row],[Ngày]])</f>
        <v>45918</v>
      </c>
      <c r="V50" t="str">
        <f>VLOOKUP(A50,Data_NV!$A:$E,5,0)</f>
        <v>Đang làm việc</v>
      </c>
      <c r="W50" s="10">
        <f>VLOOKUP(A50,Data_NV!$A:$I,8,0)</f>
        <v>0.33333333333333331</v>
      </c>
      <c r="X50" s="10">
        <f>VLOOKUP(A50,Data_NV!$A:$I,9,0)</f>
        <v>0.70833333333333337</v>
      </c>
      <c r="Y50" s="10">
        <f>IFERROR(TIMEVALUE(Table2[[#This Row],[Vào]]),0)</f>
        <v>0.33042824074074073</v>
      </c>
      <c r="Z50" s="10">
        <f>IFERROR(TIMEVALUE(Table2[[#This Row],[Ra]]),0)</f>
        <v>0.80457175925925928</v>
      </c>
      <c r="AA50" t="str">
        <f t="shared" si="11"/>
        <v>x</v>
      </c>
      <c r="AB50" s="12">
        <f t="shared" si="8"/>
        <v>0</v>
      </c>
      <c r="AC50" s="12" t="str">
        <f>IF(VLOOKUP(A50,Data_NV!$A:$I,7,0)="Không","",IF(OR(AND(Y50=0,Z50=0),AND(Y50&lt;&gt;0,Z50&lt;&gt;0)),"","Quên chấm công"))</f>
        <v/>
      </c>
      <c r="AD50" s="12">
        <f>IF(VLOOKUP(A50,Data_NV!$A:$I,7,0)="Không",0,IF(AND(Y50=0,Z50=0),0,IF(X50&lt;=Z50,0,ROUNDDOWN((X50-Z50)*24*60,0))))</f>
        <v>0</v>
      </c>
      <c r="AE50" s="12">
        <f>IF(VLOOKUP(A50,Data_NV!$A:$I,6,0)="Không",0,IF(Z50&lt;=X50,0,ROUNDDOWN((Z50-X50)*24*60,0)))</f>
        <v>138</v>
      </c>
      <c r="AF50" s="26">
        <f t="shared" si="12"/>
        <v>0</v>
      </c>
      <c r="AG50" s="27" t="str">
        <f>IF(AC50="","",IF(COUNTIFS($AC$3:AC50,"Quên chấm công",$S$3:S50,S50)&gt;3,"Không chấm công do vi phạm quá 3 lần",IF(COUNTIFS($AC$3:AC50,"Quên chấm công",$S$3:S50,S50)&gt;2,"Trừ toàn bộ chuyên cần tháng do vi phạm lần 3",IF(COUNTIFS($AC$3:AC50,"Quên chấm công",$S$3:S50,S50)&gt;1,"Trừ 1/2 ngày lương",50000))))</f>
        <v/>
      </c>
      <c r="AH50" s="12" t="str">
        <f>IF(AF50=0,"",IF(COUNTIFS($AF$3:AF50,"&gt;0",$S$3:S50,S50)&gt;3,"Trừ toàn bộ chuyên cần tháng",""))</f>
        <v/>
      </c>
      <c r="AI50" s="12"/>
    </row>
    <row r="51" spans="1:35" x14ac:dyDescent="0.25">
      <c r="A51" s="4" t="s">
        <v>276</v>
      </c>
      <c r="B51" s="1" t="s">
        <v>277</v>
      </c>
      <c r="C51" s="1" t="s">
        <v>19</v>
      </c>
      <c r="D51" s="1" t="s">
        <v>51</v>
      </c>
      <c r="E51" s="1" t="s">
        <v>21</v>
      </c>
      <c r="F51" s="1" t="s">
        <v>22</v>
      </c>
      <c r="G51" s="1" t="s">
        <v>28</v>
      </c>
      <c r="H51" s="1" t="s">
        <v>265</v>
      </c>
      <c r="I51" s="1" t="s">
        <v>309</v>
      </c>
      <c r="J51" s="1" t="s">
        <v>24</v>
      </c>
      <c r="K51" s="1" t="s">
        <v>310</v>
      </c>
      <c r="L51" s="1" t="s">
        <v>24</v>
      </c>
      <c r="M51" s="1" t="s">
        <v>25</v>
      </c>
      <c r="N51" s="1" t="s">
        <v>24</v>
      </c>
      <c r="O51" s="1" t="s">
        <v>311</v>
      </c>
      <c r="P51" s="1" t="s">
        <v>24</v>
      </c>
      <c r="Q51" s="1" t="s">
        <v>24</v>
      </c>
      <c r="R51" s="85" t="str">
        <f t="shared" si="10"/>
        <v>545919</v>
      </c>
      <c r="S51" t="str">
        <f>VLOOKUP(A51,Data_NV!$A:$C,3,0)</f>
        <v xml:space="preserve"> Hàng Minh Thư   </v>
      </c>
      <c r="T51" t="str">
        <f>VLOOKUP(A51,Data_NV!$A:$E,4,0)</f>
        <v>Kế toán - Văn phòng</v>
      </c>
      <c r="U51" s="82">
        <f>DATEVALUE(Table2[[#This Row],[Ngày]])</f>
        <v>45919</v>
      </c>
      <c r="V51" t="str">
        <f>VLOOKUP(A51,Data_NV!$A:$E,5,0)</f>
        <v>Đang làm việc</v>
      </c>
      <c r="W51" s="10">
        <f>VLOOKUP(A51,Data_NV!$A:$I,8,0)</f>
        <v>0.33333333333333331</v>
      </c>
      <c r="X51" s="10">
        <f>VLOOKUP(A51,Data_NV!$A:$I,9,0)</f>
        <v>0.70833333333333337</v>
      </c>
      <c r="Y51" s="10">
        <f>IFERROR(TIMEVALUE(Table2[[#This Row],[Vào]]),0)</f>
        <v>0.33028935185185188</v>
      </c>
      <c r="Z51" s="10">
        <f>IFERROR(TIMEVALUE(Table2[[#This Row],[Ra]]),0)</f>
        <v>0.78452546296296299</v>
      </c>
      <c r="AA51" t="str">
        <f t="shared" si="11"/>
        <v>x</v>
      </c>
      <c r="AB51" s="12">
        <f t="shared" si="8"/>
        <v>0</v>
      </c>
      <c r="AC51" s="12" t="str">
        <f>IF(VLOOKUP(A51,Data_NV!$A:$I,7,0)="Không","",IF(OR(AND(Y51=0,Z51=0),AND(Y51&lt;&gt;0,Z51&lt;&gt;0)),"","Quên chấm công"))</f>
        <v/>
      </c>
      <c r="AD51" s="12">
        <f>IF(VLOOKUP(A51,Data_NV!$A:$I,7,0)="Không",0,IF(AND(Y51=0,Z51=0),0,IF(X51&lt;=Z51,0,ROUNDDOWN((X51-Z51)*24*60,0))))</f>
        <v>0</v>
      </c>
      <c r="AE51" s="12">
        <f>IF(VLOOKUP(A51,Data_NV!$A:$I,6,0)="Không",0,IF(Z51&lt;=X51,0,ROUNDDOWN((Z51-X51)*24*60,0)))</f>
        <v>109</v>
      </c>
      <c r="AF51" s="26">
        <f t="shared" si="12"/>
        <v>0</v>
      </c>
      <c r="AG51" s="27" t="str">
        <f>IF(AC51="","",IF(COUNTIFS($AC$3:AC51,"Quên chấm công",$S$3:S51,S51)&gt;3,"Không chấm công do vi phạm quá 3 lần",IF(COUNTIFS($AC$3:AC51,"Quên chấm công",$S$3:S51,S51)&gt;2,"Trừ toàn bộ chuyên cần tháng do vi phạm lần 3",IF(COUNTIFS($AC$3:AC51,"Quên chấm công",$S$3:S51,S51)&gt;1,"Trừ 1/2 ngày lương",50000))))</f>
        <v/>
      </c>
      <c r="AH51" s="12" t="str">
        <f>IF(AF51=0,"",IF(COUNTIFS($AF$3:AF51,"&gt;0",$S$3:S51,S51)&gt;3,"Trừ toàn bộ chuyên cần tháng",""))</f>
        <v/>
      </c>
      <c r="AI51" s="12"/>
    </row>
    <row r="52" spans="1:35" x14ac:dyDescent="0.25">
      <c r="A52" s="4" t="s">
        <v>276</v>
      </c>
      <c r="B52" s="1" t="s">
        <v>277</v>
      </c>
      <c r="C52" s="1" t="s">
        <v>19</v>
      </c>
      <c r="D52" s="1" t="s">
        <v>54</v>
      </c>
      <c r="E52" s="1" t="s">
        <v>21</v>
      </c>
      <c r="F52" s="1" t="s">
        <v>22</v>
      </c>
      <c r="G52" s="1" t="s">
        <v>28</v>
      </c>
      <c r="H52" s="1" t="s">
        <v>312</v>
      </c>
      <c r="I52" s="1" t="s">
        <v>313</v>
      </c>
      <c r="J52" s="1" t="s">
        <v>24</v>
      </c>
      <c r="K52" s="1" t="s">
        <v>60</v>
      </c>
      <c r="L52" s="1" t="s">
        <v>24</v>
      </c>
      <c r="M52" s="1" t="s">
        <v>25</v>
      </c>
      <c r="N52" s="1" t="s">
        <v>24</v>
      </c>
      <c r="O52" s="1" t="s">
        <v>61</v>
      </c>
      <c r="P52" s="1" t="s">
        <v>24</v>
      </c>
      <c r="Q52" s="1" t="s">
        <v>24</v>
      </c>
      <c r="R52" s="85" t="str">
        <f t="shared" si="10"/>
        <v>545920</v>
      </c>
      <c r="S52" t="str">
        <f>VLOOKUP(A52,Data_NV!$A:$C,3,0)</f>
        <v xml:space="preserve"> Hàng Minh Thư   </v>
      </c>
      <c r="T52" t="str">
        <f>VLOOKUP(A52,Data_NV!$A:$E,4,0)</f>
        <v>Kế toán - Văn phòng</v>
      </c>
      <c r="U52" s="82">
        <f>DATEVALUE(Table2[[#This Row],[Ngày]])</f>
        <v>45920</v>
      </c>
      <c r="V52" t="str">
        <f>VLOOKUP(A52,Data_NV!$A:$E,5,0)</f>
        <v>Đang làm việc</v>
      </c>
      <c r="W52" s="10">
        <f>VLOOKUP(A52,Data_NV!$A:$I,8,0)</f>
        <v>0.33333333333333331</v>
      </c>
      <c r="X52" s="10">
        <f>VLOOKUP(A52,Data_NV!$A:$I,9,0)</f>
        <v>0.70833333333333337</v>
      </c>
      <c r="Y52" s="10">
        <f>IFERROR(TIMEVALUE(Table2[[#This Row],[Vào]]),0)</f>
        <v>0.33</v>
      </c>
      <c r="Z52" s="10">
        <f>IFERROR(TIMEVALUE(Table2[[#This Row],[Ra]]),0)</f>
        <v>0.77947916666666661</v>
      </c>
      <c r="AA52" t="str">
        <f t="shared" si="11"/>
        <v>x</v>
      </c>
      <c r="AB52" s="12">
        <f t="shared" si="8"/>
        <v>0</v>
      </c>
      <c r="AC52" s="12" t="str">
        <f>IF(VLOOKUP(A52,Data_NV!$A:$I,7,0)="Không","",IF(OR(AND(Y52=0,Z52=0),AND(Y52&lt;&gt;0,Z52&lt;&gt;0)),"","Quên chấm công"))</f>
        <v/>
      </c>
      <c r="AD52" s="12">
        <f>IF(VLOOKUP(A52,Data_NV!$A:$I,7,0)="Không",0,IF(AND(Y52=0,Z52=0),0,IF(X52&lt;=Z52,0,ROUNDDOWN((X52-Z52)*24*60,0))))</f>
        <v>0</v>
      </c>
      <c r="AE52" s="12">
        <f>IF(VLOOKUP(A52,Data_NV!$A:$I,6,0)="Không",0,IF(Z52&lt;=X52,0,ROUNDDOWN((Z52-X52)*24*60,0)))</f>
        <v>102</v>
      </c>
      <c r="AF52" s="26">
        <f t="shared" si="12"/>
        <v>0</v>
      </c>
      <c r="AG52" s="27" t="str">
        <f>IF(AC52="","",IF(COUNTIFS($AC$3:AC52,"Quên chấm công",$S$3:S52,S52)&gt;3,"Không chấm công do vi phạm quá 3 lần",IF(COUNTIFS($AC$3:AC52,"Quên chấm công",$S$3:S52,S52)&gt;2,"Trừ toàn bộ chuyên cần tháng do vi phạm lần 3",IF(COUNTIFS($AC$3:AC52,"Quên chấm công",$S$3:S52,S52)&gt;1,"Trừ 1/2 ngày lương",50000))))</f>
        <v/>
      </c>
      <c r="AH52" s="12" t="str">
        <f>IF(AF52=0,"",IF(COUNTIFS($AF$3:AF52,"&gt;0",$S$3:S52,S52)&gt;3,"Trừ toàn bộ chuyên cần tháng",""))</f>
        <v/>
      </c>
      <c r="AI52" s="12"/>
    </row>
    <row r="53" spans="1:35" x14ac:dyDescent="0.25">
      <c r="A53" s="4" t="s">
        <v>276</v>
      </c>
      <c r="B53" s="1" t="s">
        <v>277</v>
      </c>
      <c r="C53" s="1" t="s">
        <v>19</v>
      </c>
      <c r="D53" s="1" t="s">
        <v>57</v>
      </c>
      <c r="E53" s="1" t="s">
        <v>21</v>
      </c>
      <c r="F53" s="1" t="s">
        <v>22</v>
      </c>
      <c r="G53" s="1" t="s">
        <v>12</v>
      </c>
      <c r="H53" s="1" t="s">
        <v>23</v>
      </c>
      <c r="I53" s="1" t="s">
        <v>23</v>
      </c>
      <c r="J53" s="1" t="s">
        <v>24</v>
      </c>
      <c r="K53" s="1" t="s">
        <v>24</v>
      </c>
      <c r="L53" s="1" t="s">
        <v>25</v>
      </c>
      <c r="M53" s="1" t="s">
        <v>24</v>
      </c>
      <c r="N53" s="1" t="s">
        <v>24</v>
      </c>
      <c r="O53" s="1" t="s">
        <v>24</v>
      </c>
      <c r="P53" s="1" t="s">
        <v>24</v>
      </c>
      <c r="Q53" s="1" t="s">
        <v>24</v>
      </c>
      <c r="R53" s="85" t="str">
        <f t="shared" si="10"/>
        <v>545921</v>
      </c>
      <c r="S53" t="str">
        <f>VLOOKUP(A53,Data_NV!$A:$C,3,0)</f>
        <v xml:space="preserve"> Hàng Minh Thư   </v>
      </c>
      <c r="T53" t="str">
        <f>VLOOKUP(A53,Data_NV!$A:$E,4,0)</f>
        <v>Kế toán - Văn phòng</v>
      </c>
      <c r="U53" s="82">
        <f>DATEVALUE(Table2[[#This Row],[Ngày]])</f>
        <v>45921</v>
      </c>
      <c r="V53" t="str">
        <f>VLOOKUP(A53,Data_NV!$A:$E,5,0)</f>
        <v>Đang làm việc</v>
      </c>
      <c r="W53" s="10">
        <f>VLOOKUP(A53,Data_NV!$A:$I,8,0)</f>
        <v>0.33333333333333331</v>
      </c>
      <c r="X53" s="10">
        <f>VLOOKUP(A53,Data_NV!$A:$I,9,0)</f>
        <v>0.70833333333333337</v>
      </c>
      <c r="Y53" s="10">
        <f>IFERROR(TIMEVALUE(Table2[[#This Row],[Vào]]),0)</f>
        <v>0</v>
      </c>
      <c r="Z53" s="10">
        <f>IFERROR(TIMEVALUE(Table2[[#This Row],[Ra]]),0)</f>
        <v>0</v>
      </c>
      <c r="AA53" t="str">
        <f t="shared" si="11"/>
        <v>Chủ nhật</v>
      </c>
      <c r="AB53" s="12">
        <f t="shared" si="8"/>
        <v>0</v>
      </c>
      <c r="AC53" s="12" t="str">
        <f>IF(VLOOKUP(A53,Data_NV!$A:$I,7,0)="Không","",IF(OR(AND(Y53=0,Z53=0),AND(Y53&lt;&gt;0,Z53&lt;&gt;0)),"","Quên chấm công"))</f>
        <v/>
      </c>
      <c r="AD53" s="12">
        <f>IF(VLOOKUP(A53,Data_NV!$A:$I,7,0)="Không",0,IF(AND(Y53=0,Z53=0),0,IF(X53&lt;=Z53,0,ROUNDDOWN((X53-Z53)*24*60,0))))</f>
        <v>0</v>
      </c>
      <c r="AE53" s="12">
        <f>IF(VLOOKUP(A53,Data_NV!$A:$I,6,0)="Không",0,IF(Z53&lt;=X53,0,ROUNDDOWN((Z53-X53)*24*60,0)))</f>
        <v>0</v>
      </c>
      <c r="AF53" s="26">
        <f t="shared" si="12"/>
        <v>0</v>
      </c>
      <c r="AG53" s="27" t="str">
        <f>IF(AC53="","",IF(COUNTIFS($AC$3:AC53,"Quên chấm công",$S$3:S53,S53)&gt;3,"Không chấm công do vi phạm quá 3 lần",IF(COUNTIFS($AC$3:AC53,"Quên chấm công",$S$3:S53,S53)&gt;2,"Trừ toàn bộ chuyên cần tháng do vi phạm lần 3",IF(COUNTIFS($AC$3:AC53,"Quên chấm công",$S$3:S53,S53)&gt;1,"Trừ 1/2 ngày lương",50000))))</f>
        <v/>
      </c>
      <c r="AH53" s="12" t="str">
        <f>IF(AF53=0,"",IF(COUNTIFS($AF$3:AF53,"&gt;0",$S$3:S53,S53)&gt;3,"Trừ toàn bộ chuyên cần tháng",""))</f>
        <v/>
      </c>
      <c r="AI53" s="12"/>
    </row>
    <row r="54" spans="1:35" x14ac:dyDescent="0.25">
      <c r="A54" s="4" t="s">
        <v>276</v>
      </c>
      <c r="B54" s="1" t="s">
        <v>277</v>
      </c>
      <c r="C54" s="1" t="s">
        <v>19</v>
      </c>
      <c r="D54" s="1" t="s">
        <v>58</v>
      </c>
      <c r="E54" s="1" t="s">
        <v>21</v>
      </c>
      <c r="F54" s="1" t="s">
        <v>22</v>
      </c>
      <c r="G54" s="1" t="s">
        <v>28</v>
      </c>
      <c r="H54" s="1" t="s">
        <v>314</v>
      </c>
      <c r="I54" s="1" t="s">
        <v>315</v>
      </c>
      <c r="J54" s="1" t="s">
        <v>24</v>
      </c>
      <c r="K54" s="1" t="s">
        <v>201</v>
      </c>
      <c r="L54" s="1" t="s">
        <v>24</v>
      </c>
      <c r="M54" s="1" t="s">
        <v>25</v>
      </c>
      <c r="N54" s="1" t="s">
        <v>24</v>
      </c>
      <c r="O54" s="1" t="s">
        <v>195</v>
      </c>
      <c r="P54" s="1" t="s">
        <v>24</v>
      </c>
      <c r="Q54" s="1" t="s">
        <v>24</v>
      </c>
      <c r="R54" s="85" t="str">
        <f t="shared" si="10"/>
        <v>545922</v>
      </c>
      <c r="S54" t="str">
        <f>VLOOKUP(A54,Data_NV!$A:$C,3,0)</f>
        <v xml:space="preserve"> Hàng Minh Thư   </v>
      </c>
      <c r="T54" t="str">
        <f>VLOOKUP(A54,Data_NV!$A:$E,4,0)</f>
        <v>Kế toán - Văn phòng</v>
      </c>
      <c r="U54" s="82">
        <f>DATEVALUE(Table2[[#This Row],[Ngày]])</f>
        <v>45922</v>
      </c>
      <c r="V54" t="str">
        <f>VLOOKUP(A54,Data_NV!$A:$E,5,0)</f>
        <v>Đang làm việc</v>
      </c>
      <c r="W54" s="10">
        <f>VLOOKUP(A54,Data_NV!$A:$I,8,0)</f>
        <v>0.33333333333333331</v>
      </c>
      <c r="X54" s="10">
        <f>VLOOKUP(A54,Data_NV!$A:$I,9,0)</f>
        <v>0.70833333333333337</v>
      </c>
      <c r="Y54" s="10">
        <f>IFERROR(TIMEVALUE(Table2[[#This Row],[Vào]]),0)</f>
        <v>0.32642361111111112</v>
      </c>
      <c r="Z54" s="10">
        <f>IFERROR(TIMEVALUE(Table2[[#This Row],[Ra]]),0)</f>
        <v>0.77107638888888885</v>
      </c>
      <c r="AA54" t="str">
        <f t="shared" si="11"/>
        <v>x</v>
      </c>
      <c r="AB54" s="12">
        <f t="shared" si="8"/>
        <v>0</v>
      </c>
      <c r="AC54" s="12" t="str">
        <f>IF(VLOOKUP(A54,Data_NV!$A:$I,7,0)="Không","",IF(OR(AND(Y54=0,Z54=0),AND(Y54&lt;&gt;0,Z54&lt;&gt;0)),"","Quên chấm công"))</f>
        <v/>
      </c>
      <c r="AD54" s="12">
        <f>IF(VLOOKUP(A54,Data_NV!$A:$I,7,0)="Không",0,IF(AND(Y54=0,Z54=0),0,IF(X54&lt;=Z54,0,ROUNDDOWN((X54-Z54)*24*60,0))))</f>
        <v>0</v>
      </c>
      <c r="AE54" s="12">
        <f>IF(VLOOKUP(A54,Data_NV!$A:$I,6,0)="Không",0,IF(Z54&lt;=X54,0,ROUNDDOWN((Z54-X54)*24*60,0)))</f>
        <v>90</v>
      </c>
      <c r="AF54" s="26">
        <f t="shared" si="12"/>
        <v>0</v>
      </c>
      <c r="AG54" s="27" t="str">
        <f>IF(AC54="","",IF(COUNTIFS($AC$3:AC54,"Quên chấm công",$S$3:S54,S54)&gt;3,"Không chấm công do vi phạm quá 3 lần",IF(COUNTIFS($AC$3:AC54,"Quên chấm công",$S$3:S54,S54)&gt;2,"Trừ toàn bộ chuyên cần tháng do vi phạm lần 3",IF(COUNTIFS($AC$3:AC54,"Quên chấm công",$S$3:S54,S54)&gt;1,"Trừ 1/2 ngày lương",50000))))</f>
        <v/>
      </c>
      <c r="AH54" s="12" t="str">
        <f>IF(AF54=0,"",IF(COUNTIFS($AF$3:AF54,"&gt;0",$S$3:S54,S54)&gt;3,"Trừ toàn bộ chuyên cần tháng",""))</f>
        <v/>
      </c>
      <c r="AI54" s="12"/>
    </row>
    <row r="55" spans="1:35" x14ac:dyDescent="0.25">
      <c r="A55" s="4" t="s">
        <v>276</v>
      </c>
      <c r="B55" s="1" t="s">
        <v>277</v>
      </c>
      <c r="C55" s="1" t="s">
        <v>19</v>
      </c>
      <c r="D55" s="1" t="s">
        <v>59</v>
      </c>
      <c r="E55" s="1" t="s">
        <v>21</v>
      </c>
      <c r="F55" s="1" t="s">
        <v>22</v>
      </c>
      <c r="G55" s="1" t="s">
        <v>12</v>
      </c>
      <c r="H55" s="1" t="s">
        <v>23</v>
      </c>
      <c r="I55" s="1" t="s">
        <v>23</v>
      </c>
      <c r="J55" s="1" t="s">
        <v>24</v>
      </c>
      <c r="K55" s="1" t="s">
        <v>24</v>
      </c>
      <c r="L55" s="1" t="s">
        <v>25</v>
      </c>
      <c r="M55" s="1" t="s">
        <v>24</v>
      </c>
      <c r="N55" s="1" t="s">
        <v>24</v>
      </c>
      <c r="O55" s="1" t="s">
        <v>24</v>
      </c>
      <c r="P55" s="1" t="s">
        <v>24</v>
      </c>
      <c r="Q55" s="1" t="s">
        <v>24</v>
      </c>
      <c r="R55" s="85" t="str">
        <f t="shared" si="10"/>
        <v>545923</v>
      </c>
      <c r="S55" t="str">
        <f>VLOOKUP(A55,Data_NV!$A:$C,3,0)</f>
        <v xml:space="preserve"> Hàng Minh Thư   </v>
      </c>
      <c r="T55" t="str">
        <f>VLOOKUP(A55,Data_NV!$A:$E,4,0)</f>
        <v>Kế toán - Văn phòng</v>
      </c>
      <c r="U55" s="82">
        <f>DATEVALUE(Table2[[#This Row],[Ngày]])</f>
        <v>45923</v>
      </c>
      <c r="V55" t="str">
        <f>VLOOKUP(A55,Data_NV!$A:$E,5,0)</f>
        <v>Đang làm việc</v>
      </c>
      <c r="W55" s="10">
        <f>VLOOKUP(A55,Data_NV!$A:$I,8,0)</f>
        <v>0.33333333333333331</v>
      </c>
      <c r="X55" s="10">
        <f>VLOOKUP(A55,Data_NV!$A:$I,9,0)</f>
        <v>0.70833333333333337</v>
      </c>
      <c r="Y55" s="10">
        <f>IFERROR(TIMEVALUE(Table2[[#This Row],[Vào]]),0)</f>
        <v>0</v>
      </c>
      <c r="Z55" s="10">
        <f>IFERROR(TIMEVALUE(Table2[[#This Row],[Ra]]),0)</f>
        <v>0</v>
      </c>
      <c r="AA55" t="str">
        <f t="shared" si="11"/>
        <v/>
      </c>
      <c r="AB55" s="12">
        <f t="shared" si="8"/>
        <v>0</v>
      </c>
      <c r="AC55" s="12" t="str">
        <f>IF(VLOOKUP(A55,Data_NV!$A:$I,7,0)="Không","",IF(OR(AND(Y55=0,Z55=0),AND(Y55&lt;&gt;0,Z55&lt;&gt;0)),"","Quên chấm công"))</f>
        <v/>
      </c>
      <c r="AD55" s="12">
        <f>IF(VLOOKUP(A55,Data_NV!$A:$I,7,0)="Không",0,IF(AND(Y55=0,Z55=0),0,IF(X55&lt;=Z55,0,ROUNDDOWN((X55-Z55)*24*60,0))))</f>
        <v>0</v>
      </c>
      <c r="AE55" s="12">
        <f>IF(VLOOKUP(A55,Data_NV!$A:$I,6,0)="Không",0,IF(Z55&lt;=X55,0,ROUNDDOWN((Z55-X55)*24*60,0)))</f>
        <v>0</v>
      </c>
      <c r="AF55" s="26">
        <f t="shared" si="12"/>
        <v>0</v>
      </c>
      <c r="AG55" s="27" t="str">
        <f>IF(AC55="","",IF(COUNTIFS($AC$3:AC55,"Quên chấm công",$S$3:S55,S55)&gt;3,"Không chấm công do vi phạm quá 3 lần",IF(COUNTIFS($AC$3:AC55,"Quên chấm công",$S$3:S55,S55)&gt;2,"Trừ toàn bộ chuyên cần tháng do vi phạm lần 3",IF(COUNTIFS($AC$3:AC55,"Quên chấm công",$S$3:S55,S55)&gt;1,"Trừ 1/2 ngày lương",50000))))</f>
        <v/>
      </c>
      <c r="AH55" s="12" t="str">
        <f>IF(AF55=0,"",IF(COUNTIFS($AF$3:AF55,"&gt;0",$S$3:S55,S55)&gt;3,"Trừ toàn bộ chuyên cần tháng",""))</f>
        <v/>
      </c>
      <c r="AI55" s="12"/>
    </row>
    <row r="56" spans="1:35" x14ac:dyDescent="0.25">
      <c r="A56" s="4" t="s">
        <v>276</v>
      </c>
      <c r="B56" s="1" t="s">
        <v>277</v>
      </c>
      <c r="C56" s="1" t="s">
        <v>19</v>
      </c>
      <c r="D56" s="1" t="s">
        <v>62</v>
      </c>
      <c r="E56" s="1" t="s">
        <v>21</v>
      </c>
      <c r="F56" s="1" t="s">
        <v>22</v>
      </c>
      <c r="G56" s="1" t="s">
        <v>12</v>
      </c>
      <c r="H56" s="1" t="s">
        <v>23</v>
      </c>
      <c r="I56" s="1" t="s">
        <v>23</v>
      </c>
      <c r="J56" s="1" t="s">
        <v>24</v>
      </c>
      <c r="K56" s="1" t="s">
        <v>24</v>
      </c>
      <c r="L56" s="1" t="s">
        <v>25</v>
      </c>
      <c r="M56" s="1" t="s">
        <v>24</v>
      </c>
      <c r="N56" s="1" t="s">
        <v>24</v>
      </c>
      <c r="O56" s="1" t="s">
        <v>24</v>
      </c>
      <c r="P56" s="1" t="s">
        <v>24</v>
      </c>
      <c r="Q56" s="1" t="s">
        <v>24</v>
      </c>
      <c r="R56" s="85" t="str">
        <f t="shared" si="10"/>
        <v>545924</v>
      </c>
      <c r="S56" t="str">
        <f>VLOOKUP(A56,Data_NV!$A:$C,3,0)</f>
        <v xml:space="preserve"> Hàng Minh Thư   </v>
      </c>
      <c r="T56" t="str">
        <f>VLOOKUP(A56,Data_NV!$A:$E,4,0)</f>
        <v>Kế toán - Văn phòng</v>
      </c>
      <c r="U56" s="82">
        <f>DATEVALUE(Table2[[#This Row],[Ngày]])</f>
        <v>45924</v>
      </c>
      <c r="V56" t="str">
        <f>VLOOKUP(A56,Data_NV!$A:$E,5,0)</f>
        <v>Đang làm việc</v>
      </c>
      <c r="W56" s="10">
        <f>VLOOKUP(A56,Data_NV!$A:$I,8,0)</f>
        <v>0.33333333333333331</v>
      </c>
      <c r="X56" s="10">
        <f>VLOOKUP(A56,Data_NV!$A:$I,9,0)</f>
        <v>0.70833333333333337</v>
      </c>
      <c r="Y56" s="10">
        <f>IFERROR(TIMEVALUE(Table2[[#This Row],[Vào]]),0)</f>
        <v>0</v>
      </c>
      <c r="Z56" s="10">
        <f>IFERROR(TIMEVALUE(Table2[[#This Row],[Ra]]),0)</f>
        <v>0</v>
      </c>
      <c r="AA56" t="str">
        <f t="shared" si="11"/>
        <v/>
      </c>
      <c r="AB56" s="12">
        <f t="shared" si="8"/>
        <v>0</v>
      </c>
      <c r="AC56" s="12" t="str">
        <f>IF(VLOOKUP(A56,Data_NV!$A:$I,7,0)="Không","",IF(OR(AND(Y56=0,Z56=0),AND(Y56&lt;&gt;0,Z56&lt;&gt;0)),"","Quên chấm công"))</f>
        <v/>
      </c>
      <c r="AD56" s="12">
        <f>IF(VLOOKUP(A56,Data_NV!$A:$I,7,0)="Không",0,IF(AND(Y56=0,Z56=0),0,IF(X56&lt;=Z56,0,ROUNDDOWN((X56-Z56)*24*60,0))))</f>
        <v>0</v>
      </c>
      <c r="AE56" s="12">
        <f>IF(VLOOKUP(A56,Data_NV!$A:$I,6,0)="Không",0,IF(Z56&lt;=X56,0,ROUNDDOWN((Z56-X56)*24*60,0)))</f>
        <v>0</v>
      </c>
      <c r="AF56" s="26">
        <f t="shared" si="12"/>
        <v>0</v>
      </c>
      <c r="AG56" s="27" t="str">
        <f>IF(AC56="","",IF(COUNTIFS($AC$3:AC56,"Quên chấm công",$S$3:S56,S56)&gt;3,"Không chấm công do vi phạm quá 3 lần",IF(COUNTIFS($AC$3:AC56,"Quên chấm công",$S$3:S56,S56)&gt;2,"Trừ toàn bộ chuyên cần tháng do vi phạm lần 3",IF(COUNTIFS($AC$3:AC56,"Quên chấm công",$S$3:S56,S56)&gt;1,"Trừ 1/2 ngày lương",50000))))</f>
        <v/>
      </c>
      <c r="AH56" s="12" t="str">
        <f>IF(AF56=0,"",IF(COUNTIFS($AF$3:AF56,"&gt;0",$S$3:S56,S56)&gt;3,"Trừ toàn bộ chuyên cần tháng",""))</f>
        <v/>
      </c>
      <c r="AI56" s="12"/>
    </row>
    <row r="57" spans="1:35" x14ac:dyDescent="0.25">
      <c r="A57" s="4" t="s">
        <v>276</v>
      </c>
      <c r="B57" s="1" t="s">
        <v>277</v>
      </c>
      <c r="C57" s="1" t="s">
        <v>19</v>
      </c>
      <c r="D57" s="1" t="s">
        <v>65</v>
      </c>
      <c r="E57" s="1" t="s">
        <v>21</v>
      </c>
      <c r="F57" s="1" t="s">
        <v>22</v>
      </c>
      <c r="G57" s="1" t="s">
        <v>28</v>
      </c>
      <c r="H57" s="1" t="s">
        <v>316</v>
      </c>
      <c r="I57" s="1" t="s">
        <v>317</v>
      </c>
      <c r="J57" s="1" t="s">
        <v>24</v>
      </c>
      <c r="K57" s="1" t="s">
        <v>318</v>
      </c>
      <c r="L57" s="1" t="s">
        <v>24</v>
      </c>
      <c r="M57" s="1" t="s">
        <v>25</v>
      </c>
      <c r="N57" s="1" t="s">
        <v>24</v>
      </c>
      <c r="O57" s="1" t="s">
        <v>29</v>
      </c>
      <c r="P57" s="1" t="s">
        <v>91</v>
      </c>
      <c r="Q57" s="1" t="s">
        <v>24</v>
      </c>
      <c r="R57" s="85" t="str">
        <f t="shared" si="10"/>
        <v>545925</v>
      </c>
      <c r="S57" t="str">
        <f>VLOOKUP(A57,Data_NV!$A:$C,3,0)</f>
        <v xml:space="preserve"> Hàng Minh Thư   </v>
      </c>
      <c r="T57" t="str">
        <f>VLOOKUP(A57,Data_NV!$A:$E,4,0)</f>
        <v>Kế toán - Văn phòng</v>
      </c>
      <c r="U57" s="82">
        <f>DATEVALUE(Table2[[#This Row],[Ngày]])</f>
        <v>45925</v>
      </c>
      <c r="V57" t="str">
        <f>VLOOKUP(A57,Data_NV!$A:$E,5,0)</f>
        <v>Đang làm việc</v>
      </c>
      <c r="W57" s="10">
        <f>VLOOKUP(A57,Data_NV!$A:$I,8,0)</f>
        <v>0.33333333333333331</v>
      </c>
      <c r="X57" s="10">
        <f>VLOOKUP(A57,Data_NV!$A:$I,9,0)</f>
        <v>0.70833333333333337</v>
      </c>
      <c r="Y57" s="10">
        <f>IFERROR(TIMEVALUE(Table2[[#This Row],[Vào]]),0)</f>
        <v>0.33034722222222224</v>
      </c>
      <c r="Z57" s="10">
        <f>IFERROR(TIMEVALUE(Table2[[#This Row],[Ra]]),0)</f>
        <v>0.79290509259259256</v>
      </c>
      <c r="AA57" t="str">
        <f t="shared" si="11"/>
        <v>x</v>
      </c>
      <c r="AB57" s="12">
        <f t="shared" ref="AB57:AB62" si="13">IF(Y57&lt;=W57,0,ROUNDDOWN((Y57-W57)*24*60,0))</f>
        <v>0</v>
      </c>
      <c r="AC57" s="12" t="str">
        <f>IF(VLOOKUP(A57,Data_NV!$A:$I,7,0)="Không","",IF(OR(AND(Y57=0,Z57=0),AND(Y57&lt;&gt;0,Z57&lt;&gt;0)),"","Quên chấm công"))</f>
        <v/>
      </c>
      <c r="AD57" s="12">
        <f>IF(VLOOKUP(A57,Data_NV!$A:$I,7,0)="Không",0,IF(AND(Y57=0,Z57=0),0,IF(X57&lt;=Z57,0,ROUNDDOWN((X57-Z57)*24*60,0))))</f>
        <v>0</v>
      </c>
      <c r="AE57" s="12">
        <f>IF(VLOOKUP(A57,Data_NV!$A:$I,6,0)="Không",0,IF(Z57&lt;=X57,0,ROUNDDOWN((Z57-X57)*24*60,0)))</f>
        <v>121</v>
      </c>
      <c r="AF57" s="26">
        <f t="shared" si="12"/>
        <v>0</v>
      </c>
      <c r="AG57" s="27" t="str">
        <f>IF(AC57="","",IF(COUNTIFS($AC$3:AC57,"Quên chấm công",$S$3:S57,S57)&gt;3,"Không chấm công do vi phạm quá 3 lần",IF(COUNTIFS($AC$3:AC57,"Quên chấm công",$S$3:S57,S57)&gt;2,"Trừ toàn bộ chuyên cần tháng do vi phạm lần 3",IF(COUNTIFS($AC$3:AC57,"Quên chấm công",$S$3:S57,S57)&gt;1,"Trừ 1/2 ngày lương",50000))))</f>
        <v/>
      </c>
      <c r="AH57" s="12" t="str">
        <f>IF(AF57=0,"",IF(COUNTIFS($AF$3:AF57,"&gt;0",$S$3:S57,S57)&gt;3,"Trừ toàn bộ chuyên cần tháng",""))</f>
        <v/>
      </c>
      <c r="AI57" s="12"/>
    </row>
    <row r="58" spans="1:35" x14ac:dyDescent="0.25">
      <c r="A58" s="4" t="s">
        <v>276</v>
      </c>
      <c r="B58" s="1" t="s">
        <v>277</v>
      </c>
      <c r="C58" s="1" t="s">
        <v>19</v>
      </c>
      <c r="D58" s="1" t="s">
        <v>66</v>
      </c>
      <c r="E58" s="1" t="s">
        <v>21</v>
      </c>
      <c r="F58" s="1" t="s">
        <v>22</v>
      </c>
      <c r="G58" s="1" t="s">
        <v>28</v>
      </c>
      <c r="H58" s="1" t="s">
        <v>319</v>
      </c>
      <c r="I58" s="1" t="s">
        <v>320</v>
      </c>
      <c r="J58" s="1" t="s">
        <v>24</v>
      </c>
      <c r="K58" s="1" t="s">
        <v>321</v>
      </c>
      <c r="L58" s="1" t="s">
        <v>24</v>
      </c>
      <c r="M58" s="1" t="s">
        <v>25</v>
      </c>
      <c r="N58" s="1" t="s">
        <v>24</v>
      </c>
      <c r="O58" s="1" t="s">
        <v>29</v>
      </c>
      <c r="P58" s="1" t="s">
        <v>322</v>
      </c>
      <c r="Q58" s="1" t="s">
        <v>24</v>
      </c>
      <c r="R58" s="85" t="str">
        <f t="shared" si="10"/>
        <v>545926</v>
      </c>
      <c r="S58" t="str">
        <f>VLOOKUP(A58,Data_NV!$A:$C,3,0)</f>
        <v xml:space="preserve"> Hàng Minh Thư   </v>
      </c>
      <c r="T58" t="str">
        <f>VLOOKUP(A58,Data_NV!$A:$E,4,0)</f>
        <v>Kế toán - Văn phòng</v>
      </c>
      <c r="U58" s="82">
        <f>DATEVALUE(Table2[[#This Row],[Ngày]])</f>
        <v>45926</v>
      </c>
      <c r="V58" t="str">
        <f>VLOOKUP(A58,Data_NV!$A:$E,5,0)</f>
        <v>Đang làm việc</v>
      </c>
      <c r="W58" s="10">
        <f>VLOOKUP(A58,Data_NV!$A:$I,8,0)</f>
        <v>0.33333333333333331</v>
      </c>
      <c r="X58" s="10">
        <f>VLOOKUP(A58,Data_NV!$A:$I,9,0)</f>
        <v>0.70833333333333337</v>
      </c>
      <c r="Y58" s="10">
        <f>IFERROR(TIMEVALUE(Table2[[#This Row],[Vào]]),0)</f>
        <v>0.33045138888888886</v>
      </c>
      <c r="Z58" s="10">
        <f>IFERROR(TIMEVALUE(Table2[[#This Row],[Ra]]),0)</f>
        <v>0.79797453703703702</v>
      </c>
      <c r="AA58" t="str">
        <f t="shared" si="11"/>
        <v>x</v>
      </c>
      <c r="AB58" s="12">
        <f t="shared" si="13"/>
        <v>0</v>
      </c>
      <c r="AC58" s="12" t="str">
        <f>IF(VLOOKUP(A58,Data_NV!$A:$I,7,0)="Không","",IF(OR(AND(Y58=0,Z58=0),AND(Y58&lt;&gt;0,Z58&lt;&gt;0)),"","Quên chấm công"))</f>
        <v/>
      </c>
      <c r="AD58" s="12">
        <f>IF(VLOOKUP(A58,Data_NV!$A:$I,7,0)="Không",0,IF(AND(Y58=0,Z58=0),0,IF(X58&lt;=Z58,0,ROUNDDOWN((X58-Z58)*24*60,0))))</f>
        <v>0</v>
      </c>
      <c r="AE58" s="12">
        <f>IF(VLOOKUP(A58,Data_NV!$A:$I,6,0)="Không",0,IF(Z58&lt;=X58,0,ROUNDDOWN((Z58-X58)*24*60,0)))</f>
        <v>129</v>
      </c>
      <c r="AF58" s="26">
        <f t="shared" si="12"/>
        <v>0</v>
      </c>
      <c r="AG58" s="27" t="str">
        <f>IF(AC58="","",IF(COUNTIFS($AC$3:AC58,"Quên chấm công",$S$3:S58,S58)&gt;3,"Không chấm công do vi phạm quá 3 lần",IF(COUNTIFS($AC$3:AC58,"Quên chấm công",$S$3:S58,S58)&gt;2,"Trừ toàn bộ chuyên cần tháng do vi phạm lần 3",IF(COUNTIFS($AC$3:AC58,"Quên chấm công",$S$3:S58,S58)&gt;1,"Trừ 1/2 ngày lương",50000))))</f>
        <v/>
      </c>
      <c r="AH58" s="12" t="str">
        <f>IF(AF58=0,"",IF(COUNTIFS($AF$3:AF58,"&gt;0",$S$3:S58,S58)&gt;3,"Trừ toàn bộ chuyên cần tháng",""))</f>
        <v/>
      </c>
      <c r="AI58" s="12"/>
    </row>
    <row r="59" spans="1:35" x14ac:dyDescent="0.25">
      <c r="A59" s="4" t="s">
        <v>276</v>
      </c>
      <c r="B59" s="1" t="s">
        <v>277</v>
      </c>
      <c r="C59" s="1" t="s">
        <v>19</v>
      </c>
      <c r="D59" s="1" t="s">
        <v>67</v>
      </c>
      <c r="E59" s="1" t="s">
        <v>21</v>
      </c>
      <c r="F59" s="1" t="s">
        <v>22</v>
      </c>
      <c r="G59" s="1" t="s">
        <v>101</v>
      </c>
      <c r="H59" s="1" t="s">
        <v>323</v>
      </c>
      <c r="I59" s="1" t="s">
        <v>324</v>
      </c>
      <c r="J59" s="1" t="s">
        <v>24</v>
      </c>
      <c r="K59" s="1" t="s">
        <v>325</v>
      </c>
      <c r="L59" s="1" t="s">
        <v>322</v>
      </c>
      <c r="M59" s="1" t="s">
        <v>325</v>
      </c>
      <c r="N59" s="1" t="s">
        <v>24</v>
      </c>
      <c r="O59" s="1" t="s">
        <v>24</v>
      </c>
      <c r="P59" s="1" t="s">
        <v>24</v>
      </c>
      <c r="Q59" s="1" t="s">
        <v>24</v>
      </c>
      <c r="R59" s="85" t="str">
        <f t="shared" si="10"/>
        <v>545927</v>
      </c>
      <c r="S59" t="str">
        <f>VLOOKUP(A59,Data_NV!$A:$C,3,0)</f>
        <v xml:space="preserve"> Hàng Minh Thư   </v>
      </c>
      <c r="T59" t="str">
        <f>VLOOKUP(A59,Data_NV!$A:$E,4,0)</f>
        <v>Kế toán - Văn phòng</v>
      </c>
      <c r="U59" s="82">
        <f>DATEVALUE(Table2[[#This Row],[Ngày]])</f>
        <v>45927</v>
      </c>
      <c r="V59" t="str">
        <f>VLOOKUP(A59,Data_NV!$A:$E,5,0)</f>
        <v>Đang làm việc</v>
      </c>
      <c r="W59" s="10">
        <f>VLOOKUP(A59,Data_NV!$A:$I,8,0)</f>
        <v>0.33333333333333331</v>
      </c>
      <c r="X59" s="10">
        <f>VLOOKUP(A59,Data_NV!$A:$I,9,0)</f>
        <v>0.70833333333333337</v>
      </c>
      <c r="Y59" s="10">
        <f>IFERROR(TIMEVALUE(Table2[[#This Row],[Vào]]),0)</f>
        <v>0.32853009259259258</v>
      </c>
      <c r="Z59" s="10">
        <f>IFERROR(TIMEVALUE(Table2[[#This Row],[Ra]]),0)</f>
        <v>0.69589120370370372</v>
      </c>
      <c r="AA59" t="str">
        <f t="shared" si="11"/>
        <v>x</v>
      </c>
      <c r="AB59" s="12">
        <f t="shared" si="13"/>
        <v>0</v>
      </c>
      <c r="AC59" s="12" t="str">
        <f>IF(VLOOKUP(A59,Data_NV!$A:$I,7,0)="Không","",IF(OR(AND(Y59=0,Z59=0),AND(Y59&lt;&gt;0,Z59&lt;&gt;0)),"","Quên chấm công"))</f>
        <v/>
      </c>
      <c r="AD59" s="12">
        <f>IF(VLOOKUP(A59,Data_NV!$A:$I,7,0)="Không",0,IF(AND(Y59=0,Z59=0),0,IF(X59&lt;=Z59,0,ROUNDDOWN((X59-Z59)*24*60,0))))</f>
        <v>17</v>
      </c>
      <c r="AE59" s="12">
        <f>IF(VLOOKUP(A59,Data_NV!$A:$I,6,0)="Không",0,IF(Z59&lt;=X59,0,ROUNDDOWN((Z59-X59)*24*60,0)))</f>
        <v>0</v>
      </c>
      <c r="AF59" s="26">
        <f t="shared" si="12"/>
        <v>0</v>
      </c>
      <c r="AG59" s="27" t="str">
        <f>IF(AC59="","",IF(COUNTIFS($AC$3:AC59,"Quên chấm công",$S$3:S59,S59)&gt;3,"Không chấm công do vi phạm quá 3 lần",IF(COUNTIFS($AC$3:AC59,"Quên chấm công",$S$3:S59,S59)&gt;2,"Trừ toàn bộ chuyên cần tháng do vi phạm lần 3",IF(COUNTIFS($AC$3:AC59,"Quên chấm công",$S$3:S59,S59)&gt;1,"Trừ 1/2 ngày lương",50000))))</f>
        <v/>
      </c>
      <c r="AH59" s="12" t="str">
        <f>IF(AF59=0,"",IF(COUNTIFS($AF$3:AF59,"&gt;0",$S$3:S59,S59)&gt;3,"Trừ toàn bộ chuyên cần tháng",""))</f>
        <v/>
      </c>
      <c r="AI59" s="12"/>
    </row>
    <row r="60" spans="1:35" x14ac:dyDescent="0.25">
      <c r="A60" s="4" t="s">
        <v>276</v>
      </c>
      <c r="B60" s="1" t="s">
        <v>277</v>
      </c>
      <c r="C60" s="1" t="s">
        <v>19</v>
      </c>
      <c r="D60" s="1" t="s">
        <v>69</v>
      </c>
      <c r="E60" s="1" t="s">
        <v>21</v>
      </c>
      <c r="F60" s="1" t="s">
        <v>22</v>
      </c>
      <c r="G60" s="1" t="s">
        <v>12</v>
      </c>
      <c r="H60" s="1" t="s">
        <v>23</v>
      </c>
      <c r="I60" s="1" t="s">
        <v>23</v>
      </c>
      <c r="J60" s="1" t="s">
        <v>24</v>
      </c>
      <c r="K60" s="1" t="s">
        <v>24</v>
      </c>
      <c r="L60" s="1" t="s">
        <v>25</v>
      </c>
      <c r="M60" s="1" t="s">
        <v>24</v>
      </c>
      <c r="N60" s="1" t="s">
        <v>24</v>
      </c>
      <c r="O60" s="1" t="s">
        <v>24</v>
      </c>
      <c r="P60" s="1" t="s">
        <v>24</v>
      </c>
      <c r="Q60" s="1" t="s">
        <v>24</v>
      </c>
      <c r="R60" s="85" t="str">
        <f t="shared" si="10"/>
        <v>545928</v>
      </c>
      <c r="S60" t="str">
        <f>VLOOKUP(A60,Data_NV!$A:$C,3,0)</f>
        <v xml:space="preserve"> Hàng Minh Thư   </v>
      </c>
      <c r="T60" t="str">
        <f>VLOOKUP(A60,Data_NV!$A:$E,4,0)</f>
        <v>Kế toán - Văn phòng</v>
      </c>
      <c r="U60" s="82">
        <f>DATEVALUE(Table2[[#This Row],[Ngày]])</f>
        <v>45928</v>
      </c>
      <c r="V60" t="str">
        <f>VLOOKUP(A60,Data_NV!$A:$E,5,0)</f>
        <v>Đang làm việc</v>
      </c>
      <c r="W60" s="10">
        <f>VLOOKUP(A60,Data_NV!$A:$I,8,0)</f>
        <v>0.33333333333333331</v>
      </c>
      <c r="X60" s="10">
        <f>VLOOKUP(A60,Data_NV!$A:$I,9,0)</f>
        <v>0.70833333333333337</v>
      </c>
      <c r="Y60" s="10">
        <f>IFERROR(TIMEVALUE(Table2[[#This Row],[Vào]]),0)</f>
        <v>0</v>
      </c>
      <c r="Z60" s="10">
        <f>IFERROR(TIMEVALUE(Table2[[#This Row],[Ra]]),0)</f>
        <v>0</v>
      </c>
      <c r="AA60" t="str">
        <f t="shared" si="11"/>
        <v>Chủ nhật</v>
      </c>
      <c r="AB60" s="12">
        <f t="shared" si="13"/>
        <v>0</v>
      </c>
      <c r="AC60" s="12" t="str">
        <f>IF(VLOOKUP(A60,Data_NV!$A:$I,7,0)="Không","",IF(OR(AND(Y60=0,Z60=0),AND(Y60&lt;&gt;0,Z60&lt;&gt;0)),"","Quên chấm công"))</f>
        <v/>
      </c>
      <c r="AD60" s="12">
        <f>IF(VLOOKUP(A60,Data_NV!$A:$I,7,0)="Không",0,IF(AND(Y60=0,Z60=0),0,IF(X60&lt;=Z60,0,ROUNDDOWN((X60-Z60)*24*60,0))))</f>
        <v>0</v>
      </c>
      <c r="AE60" s="12">
        <f>IF(VLOOKUP(A60,Data_NV!$A:$I,6,0)="Không",0,IF(Z60&lt;=X60,0,ROUNDDOWN((Z60-X60)*24*60,0)))</f>
        <v>0</v>
      </c>
      <c r="AF60" s="26">
        <f t="shared" si="12"/>
        <v>0</v>
      </c>
      <c r="AG60" s="27" t="str">
        <f>IF(AC60="","",IF(COUNTIFS($AC$3:AC60,"Quên chấm công",$S$3:S60,S60)&gt;3,"Không chấm công do vi phạm quá 3 lần",IF(COUNTIFS($AC$3:AC60,"Quên chấm công",$S$3:S60,S60)&gt;2,"Trừ toàn bộ chuyên cần tháng do vi phạm lần 3",IF(COUNTIFS($AC$3:AC60,"Quên chấm công",$S$3:S60,S60)&gt;1,"Trừ 1/2 ngày lương",50000))))</f>
        <v/>
      </c>
      <c r="AH60" s="12" t="str">
        <f>IF(AF60=0,"",IF(COUNTIFS($AF$3:AF60,"&gt;0",$S$3:S60,S60)&gt;3,"Trừ toàn bộ chuyên cần tháng",""))</f>
        <v/>
      </c>
      <c r="AI60" s="12"/>
    </row>
    <row r="61" spans="1:35" x14ac:dyDescent="0.25">
      <c r="A61" s="4" t="s">
        <v>276</v>
      </c>
      <c r="B61" s="1" t="s">
        <v>277</v>
      </c>
      <c r="C61" s="1" t="s">
        <v>19</v>
      </c>
      <c r="D61" s="1" t="s">
        <v>70</v>
      </c>
      <c r="E61" s="1" t="s">
        <v>21</v>
      </c>
      <c r="F61" s="1" t="s">
        <v>22</v>
      </c>
      <c r="G61" s="1" t="s">
        <v>28</v>
      </c>
      <c r="H61" s="1" t="s">
        <v>155</v>
      </c>
      <c r="I61" s="1" t="s">
        <v>326</v>
      </c>
      <c r="J61" s="1" t="s">
        <v>24</v>
      </c>
      <c r="K61" s="1" t="s">
        <v>327</v>
      </c>
      <c r="L61" s="1" t="s">
        <v>24</v>
      </c>
      <c r="M61" s="1" t="s">
        <v>25</v>
      </c>
      <c r="N61" s="1" t="s">
        <v>24</v>
      </c>
      <c r="O61" s="1" t="s">
        <v>29</v>
      </c>
      <c r="P61" s="1" t="s">
        <v>328</v>
      </c>
      <c r="Q61" s="1" t="s">
        <v>24</v>
      </c>
      <c r="R61" s="85" t="str">
        <f t="shared" si="10"/>
        <v>545929</v>
      </c>
      <c r="S61" t="str">
        <f>VLOOKUP(A61,Data_NV!$A:$C,3,0)</f>
        <v xml:space="preserve"> Hàng Minh Thư   </v>
      </c>
      <c r="T61" t="str">
        <f>VLOOKUP(A61,Data_NV!$A:$E,4,0)</f>
        <v>Kế toán - Văn phòng</v>
      </c>
      <c r="U61" s="82">
        <f>DATEVALUE(Table2[[#This Row],[Ngày]])</f>
        <v>45929</v>
      </c>
      <c r="V61" t="str">
        <f>VLOOKUP(A61,Data_NV!$A:$E,5,0)</f>
        <v>Đang làm việc</v>
      </c>
      <c r="W61" s="10">
        <f>VLOOKUP(A61,Data_NV!$A:$I,8,0)</f>
        <v>0.33333333333333331</v>
      </c>
      <c r="X61" s="10">
        <f>VLOOKUP(A61,Data_NV!$A:$I,9,0)</f>
        <v>0.70833333333333337</v>
      </c>
      <c r="Y61" s="10">
        <f>IFERROR(TIMEVALUE(Table2[[#This Row],[Vào]]),0)</f>
        <v>0.32861111111111113</v>
      </c>
      <c r="Z61" s="10">
        <f>IFERROR(TIMEVALUE(Table2[[#This Row],[Ra]]),0)</f>
        <v>0.79741898148148149</v>
      </c>
      <c r="AA61" t="str">
        <f t="shared" si="11"/>
        <v>x</v>
      </c>
      <c r="AB61" s="12">
        <f t="shared" si="13"/>
        <v>0</v>
      </c>
      <c r="AC61" s="12" t="str">
        <f>IF(VLOOKUP(A61,Data_NV!$A:$I,7,0)="Không","",IF(OR(AND(Y61=0,Z61=0),AND(Y61&lt;&gt;0,Z61&lt;&gt;0)),"","Quên chấm công"))</f>
        <v/>
      </c>
      <c r="AD61" s="12">
        <f>IF(VLOOKUP(A61,Data_NV!$A:$I,7,0)="Không",0,IF(AND(Y61=0,Z61=0),0,IF(X61&lt;=Z61,0,ROUNDDOWN((X61-Z61)*24*60,0))))</f>
        <v>0</v>
      </c>
      <c r="AE61" s="12">
        <f>IF(VLOOKUP(A61,Data_NV!$A:$I,6,0)="Không",0,IF(Z61&lt;=X61,0,ROUNDDOWN((Z61-X61)*24*60,0)))</f>
        <v>128</v>
      </c>
      <c r="AF61" s="26">
        <f t="shared" si="12"/>
        <v>0</v>
      </c>
      <c r="AG61" s="27" t="str">
        <f>IF(AC61="","",IF(COUNTIFS($AC$3:AC61,"Quên chấm công",$S$3:S61,S61)&gt;3,"Không chấm công do vi phạm quá 3 lần",IF(COUNTIFS($AC$3:AC61,"Quên chấm công",$S$3:S61,S61)&gt;2,"Trừ toàn bộ chuyên cần tháng do vi phạm lần 3",IF(COUNTIFS($AC$3:AC61,"Quên chấm công",$S$3:S61,S61)&gt;1,"Trừ 1/2 ngày lương",50000))))</f>
        <v/>
      </c>
      <c r="AH61" s="12" t="str">
        <f>IF(AF61=0,"",IF(COUNTIFS($AF$3:AF61,"&gt;0",$S$3:S61,S61)&gt;3,"Trừ toàn bộ chuyên cần tháng",""))</f>
        <v/>
      </c>
      <c r="AI61" s="12"/>
    </row>
    <row r="62" spans="1:35" x14ac:dyDescent="0.25">
      <c r="A62" s="4" t="s">
        <v>276</v>
      </c>
      <c r="B62" s="1" t="s">
        <v>277</v>
      </c>
      <c r="C62" s="1" t="s">
        <v>19</v>
      </c>
      <c r="D62" s="1" t="s">
        <v>71</v>
      </c>
      <c r="E62" s="1" t="s">
        <v>21</v>
      </c>
      <c r="F62" s="1" t="s">
        <v>22</v>
      </c>
      <c r="G62" s="1" t="s">
        <v>28</v>
      </c>
      <c r="H62" s="1" t="s">
        <v>329</v>
      </c>
      <c r="I62" s="1" t="s">
        <v>330</v>
      </c>
      <c r="J62" s="1" t="s">
        <v>24</v>
      </c>
      <c r="K62" s="1" t="s">
        <v>247</v>
      </c>
      <c r="L62" s="1" t="s">
        <v>24</v>
      </c>
      <c r="M62" s="1" t="s">
        <v>25</v>
      </c>
      <c r="N62" s="1" t="s">
        <v>24</v>
      </c>
      <c r="O62" s="1" t="s">
        <v>121</v>
      </c>
      <c r="P62" s="1" t="s">
        <v>24</v>
      </c>
      <c r="Q62" s="1" t="s">
        <v>24</v>
      </c>
      <c r="R62" s="85" t="str">
        <f t="shared" si="10"/>
        <v>545930</v>
      </c>
      <c r="S62" t="str">
        <f>VLOOKUP(A62,Data_NV!$A:$C,3,0)</f>
        <v xml:space="preserve"> Hàng Minh Thư   </v>
      </c>
      <c r="T62" t="str">
        <f>VLOOKUP(A62,Data_NV!$A:$E,4,0)</f>
        <v>Kế toán - Văn phòng</v>
      </c>
      <c r="U62" s="82">
        <f>DATEVALUE(Table2[[#This Row],[Ngày]])</f>
        <v>45930</v>
      </c>
      <c r="V62" t="str">
        <f>VLOOKUP(A62,Data_NV!$A:$E,5,0)</f>
        <v>Đang làm việc</v>
      </c>
      <c r="W62" s="10">
        <f>VLOOKUP(A62,Data_NV!$A:$I,8,0)</f>
        <v>0.33333333333333331</v>
      </c>
      <c r="X62" s="10">
        <f>VLOOKUP(A62,Data_NV!$A:$I,9,0)</f>
        <v>0.70833333333333337</v>
      </c>
      <c r="Y62" s="10">
        <f>IFERROR(TIMEVALUE(Table2[[#This Row],[Vào]]),0)</f>
        <v>0.33111111111111113</v>
      </c>
      <c r="Z62" s="10">
        <f>IFERROR(TIMEVALUE(Table2[[#This Row],[Ra]]),0)</f>
        <v>0.78151620370370367</v>
      </c>
      <c r="AA62" t="str">
        <f t="shared" si="11"/>
        <v>x</v>
      </c>
      <c r="AB62" s="12">
        <f t="shared" si="13"/>
        <v>0</v>
      </c>
      <c r="AC62" s="12" t="str">
        <f>IF(VLOOKUP(A62,Data_NV!$A:$I,7,0)="Không","",IF(OR(AND(Y62=0,Z62=0),AND(Y62&lt;&gt;0,Z62&lt;&gt;0)),"","Quên chấm công"))</f>
        <v/>
      </c>
      <c r="AD62" s="12">
        <f>IF(VLOOKUP(A62,Data_NV!$A:$I,7,0)="Không",0,IF(AND(Y62=0,Z62=0),0,IF(X62&lt;=Z62,0,ROUNDDOWN((X62-Z62)*24*60,0))))</f>
        <v>0</v>
      </c>
      <c r="AE62" s="12">
        <f>IF(VLOOKUP(A62,Data_NV!$A:$I,6,0)="Không",0,IF(Z62&lt;=X62,0,ROUNDDOWN((Z62-X62)*24*60,0)))</f>
        <v>105</v>
      </c>
      <c r="AF62" s="26">
        <f t="shared" si="12"/>
        <v>0</v>
      </c>
      <c r="AG62" s="27" t="str">
        <f>IF(AC62="","",IF(COUNTIFS($AC$3:AC62,"Quên chấm công",$S$3:S62,S62)&gt;3,"Không chấm công do vi phạm quá 3 lần",IF(COUNTIFS($AC$3:AC62,"Quên chấm công",$S$3:S62,S62)&gt;2,"Trừ toàn bộ chuyên cần tháng do vi phạm lần 3",IF(COUNTIFS($AC$3:AC62,"Quên chấm công",$S$3:S62,S62)&gt;1,"Trừ 1/2 ngày lương",50000))))</f>
        <v/>
      </c>
      <c r="AH62" s="12" t="str">
        <f>IF(AF62=0,"",IF(COUNTIFS($AF$3:AF62,"&gt;0",$S$3:S62,S62)&gt;3,"Trừ toàn bộ chuyên cần tháng",""))</f>
        <v/>
      </c>
      <c r="AI62" s="12"/>
    </row>
    <row r="63" spans="1:35" x14ac:dyDescent="0.25">
      <c r="A63" s="4" t="s">
        <v>363</v>
      </c>
      <c r="B63" s="1" t="s">
        <v>364</v>
      </c>
      <c r="C63" s="1" t="s">
        <v>19</v>
      </c>
      <c r="D63" s="1" t="s">
        <v>20</v>
      </c>
      <c r="E63" s="1" t="s">
        <v>21</v>
      </c>
      <c r="F63" s="1" t="s">
        <v>22</v>
      </c>
      <c r="G63" s="1" t="s">
        <v>12</v>
      </c>
      <c r="H63" s="1" t="s">
        <v>23</v>
      </c>
      <c r="I63" s="1" t="s">
        <v>23</v>
      </c>
      <c r="J63" s="1" t="s">
        <v>24</v>
      </c>
      <c r="K63" s="1" t="s">
        <v>24</v>
      </c>
      <c r="L63" s="1" t="s">
        <v>25</v>
      </c>
      <c r="M63" s="1" t="s">
        <v>24</v>
      </c>
      <c r="N63" s="1" t="s">
        <v>24</v>
      </c>
      <c r="O63" s="1" t="s">
        <v>24</v>
      </c>
      <c r="P63" s="1" t="s">
        <v>24</v>
      </c>
      <c r="Q63" s="1" t="s">
        <v>24</v>
      </c>
      <c r="R63" s="85" t="str">
        <f t="shared" ref="R63:R76" si="14">A63&amp;U63</f>
        <v>6245901</v>
      </c>
      <c r="S63" t="str">
        <f>VLOOKUP(A63,Data_NV!$A:$C,3,0)</f>
        <v>Nguyễn Thị Út Hương</v>
      </c>
      <c r="T63" t="str">
        <f>VLOOKUP(A63,Data_NV!$A:$E,4,0)</f>
        <v>Kế toán - Văn phòng</v>
      </c>
      <c r="U63" s="82">
        <f>DATEVALUE(Table2[[#This Row],[Ngày]])</f>
        <v>45901</v>
      </c>
      <c r="V63" t="str">
        <f>VLOOKUP(A63,Data_NV!$A:$E,5,0)</f>
        <v>Đang làm việc</v>
      </c>
      <c r="W63" s="10">
        <f>VLOOKUP(A63,Data_NV!$A:$I,8,0)</f>
        <v>0.33333333333333331</v>
      </c>
      <c r="X63" s="10">
        <f>VLOOKUP(A63,Data_NV!$A:$I,9,0)</f>
        <v>0.70833333333333337</v>
      </c>
      <c r="Y63" s="10">
        <f>IFERROR(TIMEVALUE(Table2[[#This Row],[Vào]]),0)</f>
        <v>0</v>
      </c>
      <c r="Z63" s="10">
        <f>IFERROR(TIMEVALUE(Table2[[#This Row],[Ra]]),0)</f>
        <v>0</v>
      </c>
      <c r="AA63" s="95" t="s">
        <v>623</v>
      </c>
      <c r="AB63" s="12">
        <f t="shared" ref="AB63:AB92" si="15">IF(Y63&lt;=W63,0,ROUNDDOWN((Y63-W63)*24*60,0))</f>
        <v>0</v>
      </c>
      <c r="AC63" s="12" t="str">
        <f>IF(VLOOKUP(A63,Data_NV!$A:$I,7,0)="Không","",IF(OR(AND(Y63=0,Z63=0),AND(Y63&lt;&gt;0,Z63&lt;&gt;0)),"","Quên chấm công"))</f>
        <v/>
      </c>
      <c r="AD63" s="12">
        <f>IF(VLOOKUP(A63,Data_NV!$A:$I,7,0)="Không",0,IF(AND(Y63=0,Z63=0),0,IF(X63&lt;=Z63,0,ROUNDDOWN((X63-Z63)*24*60,0))))</f>
        <v>0</v>
      </c>
      <c r="AE63" s="12">
        <f>IF(VLOOKUP(A63,Data_NV!$A:$I,6,0)="Không",0,IF(Z63&lt;=X63,0,ROUNDDOWN((Z63-X63)*24*60,0)))</f>
        <v>0</v>
      </c>
      <c r="AF63" s="26">
        <f t="shared" ref="AF63:AF76" si="16">IF(AB63&gt;60,"Trừ 1/2 ngày lương",IF(AB63&gt;15,50000,IF(AB63&gt;6,30000,0)))</f>
        <v>0</v>
      </c>
      <c r="AG63" s="27" t="str">
        <f>IF(AC63="","",IF(COUNTIFS($AC$3:AC63,"Quên chấm công",$S$3:S63,S63)&gt;3,"Không chấm công do vi phạm quá 3 lần",IF(COUNTIFS($AC$3:AC63,"Quên chấm công",$S$3:S63,S63)&gt;2,"Trừ toàn bộ chuyên cần tháng do vi phạm lần 3",IF(COUNTIFS($AC$3:AC63,"Quên chấm công",$S$3:S63,S63)&gt;1,"Trừ 1/2 ngày lương",50000))))</f>
        <v/>
      </c>
      <c r="AH63" s="12" t="str">
        <f>IF(AF63=0,"",IF(COUNTIFS($AF$3:AF63,"&gt;0",$S$3:S63,S63)&gt;3,"Trừ toàn bộ chuyên cần tháng",""))</f>
        <v/>
      </c>
      <c r="AI63" s="96" t="s">
        <v>637</v>
      </c>
    </row>
    <row r="64" spans="1:35" x14ac:dyDescent="0.25">
      <c r="A64" s="4" t="s">
        <v>363</v>
      </c>
      <c r="B64" s="1" t="s">
        <v>364</v>
      </c>
      <c r="C64" s="1" t="s">
        <v>19</v>
      </c>
      <c r="D64" s="1" t="s">
        <v>26</v>
      </c>
      <c r="E64" s="1" t="s">
        <v>21</v>
      </c>
      <c r="F64" s="1" t="s">
        <v>22</v>
      </c>
      <c r="G64" s="1" t="s">
        <v>12</v>
      </c>
      <c r="H64" s="1" t="s">
        <v>23</v>
      </c>
      <c r="I64" s="1" t="s">
        <v>23</v>
      </c>
      <c r="J64" s="1" t="s">
        <v>24</v>
      </c>
      <c r="K64" s="1" t="s">
        <v>24</v>
      </c>
      <c r="L64" s="1" t="s">
        <v>25</v>
      </c>
      <c r="M64" s="1" t="s">
        <v>24</v>
      </c>
      <c r="N64" s="1" t="s">
        <v>24</v>
      </c>
      <c r="O64" s="1" t="s">
        <v>24</v>
      </c>
      <c r="P64" s="1" t="s">
        <v>24</v>
      </c>
      <c r="Q64" s="1" t="s">
        <v>24</v>
      </c>
      <c r="R64" s="85" t="str">
        <f t="shared" si="14"/>
        <v>6245902</v>
      </c>
      <c r="S64" t="str">
        <f>VLOOKUP(A64,Data_NV!$A:$C,3,0)</f>
        <v>Nguyễn Thị Út Hương</v>
      </c>
      <c r="T64" t="str">
        <f>VLOOKUP(A64,Data_NV!$A:$E,4,0)</f>
        <v>Kế toán - Văn phòng</v>
      </c>
      <c r="U64" s="82">
        <f>DATEVALUE(Table2[[#This Row],[Ngày]])</f>
        <v>45902</v>
      </c>
      <c r="V64" t="str">
        <f>VLOOKUP(A64,Data_NV!$A:$E,5,0)</f>
        <v>Đang làm việc</v>
      </c>
      <c r="W64" s="10">
        <f>VLOOKUP(A64,Data_NV!$A:$I,8,0)</f>
        <v>0.33333333333333331</v>
      </c>
      <c r="X64" s="10">
        <f>VLOOKUP(A64,Data_NV!$A:$I,9,0)</f>
        <v>0.70833333333333337</v>
      </c>
      <c r="Y64" s="10">
        <f>IFERROR(TIMEVALUE(Table2[[#This Row],[Vào]]),0)</f>
        <v>0</v>
      </c>
      <c r="Z64" s="10">
        <f>IFERROR(TIMEVALUE(Table2[[#This Row],[Ra]]),0)</f>
        <v>0</v>
      </c>
      <c r="AA64" s="95" t="s">
        <v>623</v>
      </c>
      <c r="AB64" s="12">
        <f t="shared" si="15"/>
        <v>0</v>
      </c>
      <c r="AC64" s="12" t="str">
        <f>IF(VLOOKUP(A64,Data_NV!$A:$I,7,0)="Không","",IF(OR(AND(Y64=0,Z64=0),AND(Y64&lt;&gt;0,Z64&lt;&gt;0)),"","Quên chấm công"))</f>
        <v/>
      </c>
      <c r="AD64" s="12">
        <f>IF(VLOOKUP(A64,Data_NV!$A:$I,7,0)="Không",0,IF(AND(Y64=0,Z64=0),0,IF(X64&lt;=Z64,0,ROUNDDOWN((X64-Z64)*24*60,0))))</f>
        <v>0</v>
      </c>
      <c r="AE64" s="12">
        <f>IF(VLOOKUP(A64,Data_NV!$A:$I,6,0)="Không",0,IF(Z64&lt;=X64,0,ROUNDDOWN((Z64-X64)*24*60,0)))</f>
        <v>0</v>
      </c>
      <c r="AF64" s="26">
        <f t="shared" si="16"/>
        <v>0</v>
      </c>
      <c r="AG64" s="27" t="str">
        <f>IF(AC64="","",IF(COUNTIFS($AC$3:AC64,"Quên chấm công",$S$3:S64,S64)&gt;3,"Không chấm công do vi phạm quá 3 lần",IF(COUNTIFS($AC$3:AC64,"Quên chấm công",$S$3:S64,S64)&gt;2,"Trừ toàn bộ chuyên cần tháng do vi phạm lần 3",IF(COUNTIFS($AC$3:AC64,"Quên chấm công",$S$3:S64,S64)&gt;1,"Trừ 1/2 ngày lương",50000))))</f>
        <v/>
      </c>
      <c r="AH64" s="12" t="str">
        <f>IF(AF64=0,"",IF(COUNTIFS($AF$3:AF64,"&gt;0",$S$3:S64,S64)&gt;3,"Trừ toàn bộ chuyên cần tháng",""))</f>
        <v/>
      </c>
      <c r="AI64" s="96" t="s">
        <v>637</v>
      </c>
    </row>
    <row r="65" spans="1:35" x14ac:dyDescent="0.25">
      <c r="A65" s="4" t="s">
        <v>363</v>
      </c>
      <c r="B65" s="1" t="s">
        <v>364</v>
      </c>
      <c r="C65" s="1" t="s">
        <v>19</v>
      </c>
      <c r="D65" s="1" t="s">
        <v>27</v>
      </c>
      <c r="E65" s="1" t="s">
        <v>21</v>
      </c>
      <c r="F65" s="1" t="s">
        <v>22</v>
      </c>
      <c r="G65" s="1" t="s">
        <v>12</v>
      </c>
      <c r="H65" s="1" t="s">
        <v>23</v>
      </c>
      <c r="I65" s="1" t="s">
        <v>23</v>
      </c>
      <c r="J65" s="1" t="s">
        <v>24</v>
      </c>
      <c r="K65" s="1" t="s">
        <v>24</v>
      </c>
      <c r="L65" s="1" t="s">
        <v>25</v>
      </c>
      <c r="M65" s="1" t="s">
        <v>24</v>
      </c>
      <c r="N65" s="1" t="s">
        <v>24</v>
      </c>
      <c r="O65" s="1" t="s">
        <v>24</v>
      </c>
      <c r="P65" s="1" t="s">
        <v>24</v>
      </c>
      <c r="Q65" s="1" t="s">
        <v>24</v>
      </c>
      <c r="R65" s="85" t="str">
        <f t="shared" si="14"/>
        <v>6245903</v>
      </c>
      <c r="S65" t="str">
        <f>VLOOKUP(A65,Data_NV!$A:$C,3,0)</f>
        <v>Nguyễn Thị Út Hương</v>
      </c>
      <c r="T65" t="str">
        <f>VLOOKUP(A65,Data_NV!$A:$E,4,0)</f>
        <v>Kế toán - Văn phòng</v>
      </c>
      <c r="U65" s="82">
        <f>DATEVALUE(Table2[[#This Row],[Ngày]])</f>
        <v>45903</v>
      </c>
      <c r="V65" t="str">
        <f>VLOOKUP(A65,Data_NV!$A:$E,5,0)</f>
        <v>Đang làm việc</v>
      </c>
      <c r="W65" s="10">
        <f>VLOOKUP(A65,Data_NV!$A:$I,8,0)</f>
        <v>0.33333333333333331</v>
      </c>
      <c r="X65" s="10">
        <f>VLOOKUP(A65,Data_NV!$A:$I,9,0)</f>
        <v>0.70833333333333337</v>
      </c>
      <c r="Y65" s="10">
        <f>IFERROR(TIMEVALUE(Table2[[#This Row],[Vào]]),0)</f>
        <v>0</v>
      </c>
      <c r="Z65" s="10">
        <f>IFERROR(TIMEVALUE(Table2[[#This Row],[Ra]]),0)</f>
        <v>0</v>
      </c>
      <c r="AA65" t="str">
        <f t="shared" ref="AA65:AA76" si="17">IF(TEXT($U65,"ddd")="CN","Chủ nhật",IF(OR(AND(Y65=0,Z65=0),AG65="Không chấm công do vi phạm quá 3 lần"),"",IF(OR(AG65="Trừ 1/2 ngày lương",AF65="Trừ 1/2 ngày lương",AB65&gt;=60),"1/2","x")))</f>
        <v/>
      </c>
      <c r="AB65" s="12">
        <f t="shared" si="15"/>
        <v>0</v>
      </c>
      <c r="AC65" s="12" t="str">
        <f>IF(VLOOKUP(A65,Data_NV!$A:$I,7,0)="Không","",IF(OR(AND(Y65=0,Z65=0),AND(Y65&lt;&gt;0,Z65&lt;&gt;0)),"","Quên chấm công"))</f>
        <v/>
      </c>
      <c r="AD65" s="12">
        <f>IF(VLOOKUP(A65,Data_NV!$A:$I,7,0)="Không",0,IF(AND(Y65=0,Z65=0),0,IF(X65&lt;=Z65,0,ROUNDDOWN((X65-Z65)*24*60,0))))</f>
        <v>0</v>
      </c>
      <c r="AE65" s="12">
        <f>IF(VLOOKUP(A65,Data_NV!$A:$I,6,0)="Không",0,IF(Z65&lt;=X65,0,ROUNDDOWN((Z65-X65)*24*60,0)))</f>
        <v>0</v>
      </c>
      <c r="AF65" s="26">
        <f t="shared" si="16"/>
        <v>0</v>
      </c>
      <c r="AG65" s="27" t="str">
        <f>IF(AC65="","",IF(COUNTIFS($AC$3:AC65,"Quên chấm công",$S$3:S65,S65)&gt;3,"Không chấm công do vi phạm quá 3 lần",IF(COUNTIFS($AC$3:AC65,"Quên chấm công",$S$3:S65,S65)&gt;2,"Trừ toàn bộ chuyên cần tháng do vi phạm lần 3",IF(COUNTIFS($AC$3:AC65,"Quên chấm công",$S$3:S65,S65)&gt;1,"Trừ 1/2 ngày lương",50000))))</f>
        <v/>
      </c>
      <c r="AH65" s="12" t="str">
        <f>IF(AF65=0,"",IF(COUNTIFS($AF$3:AF65,"&gt;0",$S$3:S65,S65)&gt;3,"Trừ toàn bộ chuyên cần tháng",""))</f>
        <v/>
      </c>
      <c r="AI65" s="12"/>
    </row>
    <row r="66" spans="1:35" x14ac:dyDescent="0.25">
      <c r="A66" s="4" t="s">
        <v>363</v>
      </c>
      <c r="B66" s="1" t="s">
        <v>364</v>
      </c>
      <c r="C66" s="1" t="s">
        <v>19</v>
      </c>
      <c r="D66" s="1" t="s">
        <v>30</v>
      </c>
      <c r="E66" s="1" t="s">
        <v>21</v>
      </c>
      <c r="F66" s="1" t="s">
        <v>22</v>
      </c>
      <c r="G66" s="1" t="s">
        <v>10</v>
      </c>
      <c r="H66" s="1" t="s">
        <v>365</v>
      </c>
      <c r="I66" s="1" t="s">
        <v>366</v>
      </c>
      <c r="J66" s="1" t="s">
        <v>231</v>
      </c>
      <c r="K66" s="1" t="s">
        <v>229</v>
      </c>
      <c r="L66" s="1" t="s">
        <v>109</v>
      </c>
      <c r="M66" s="1" t="s">
        <v>229</v>
      </c>
      <c r="N66" s="1" t="s">
        <v>24</v>
      </c>
      <c r="O66" s="1" t="s">
        <v>322</v>
      </c>
      <c r="P66" s="1" t="s">
        <v>24</v>
      </c>
      <c r="Q66" s="1" t="s">
        <v>24</v>
      </c>
      <c r="R66" s="85" t="str">
        <f t="shared" si="14"/>
        <v>6245904</v>
      </c>
      <c r="S66" t="str">
        <f>VLOOKUP(A66,Data_NV!$A:$C,3,0)</f>
        <v>Nguyễn Thị Út Hương</v>
      </c>
      <c r="T66" t="str">
        <f>VLOOKUP(A66,Data_NV!$A:$E,4,0)</f>
        <v>Kế toán - Văn phòng</v>
      </c>
      <c r="U66" s="82">
        <f>DATEVALUE(Table2[[#This Row],[Ngày]])</f>
        <v>45904</v>
      </c>
      <c r="V66" t="str">
        <f>VLOOKUP(A66,Data_NV!$A:$E,5,0)</f>
        <v>Đang làm việc</v>
      </c>
      <c r="W66" s="10">
        <f>VLOOKUP(A66,Data_NV!$A:$I,8,0)</f>
        <v>0.33333333333333331</v>
      </c>
      <c r="X66" s="10">
        <f>VLOOKUP(A66,Data_NV!$A:$I,9,0)</f>
        <v>0.70833333333333337</v>
      </c>
      <c r="Y66" s="10">
        <f>IFERROR(TIMEVALUE(Table2[[#This Row],[Vào]]),0)</f>
        <v>0.34734953703703703</v>
      </c>
      <c r="Z66" s="10">
        <f>IFERROR(TIMEVALUE(Table2[[#This Row],[Ra]]),0)</f>
        <v>0.72075231481481483</v>
      </c>
      <c r="AA66" t="str">
        <f t="shared" si="17"/>
        <v>x</v>
      </c>
      <c r="AB66" s="12">
        <f t="shared" si="15"/>
        <v>20</v>
      </c>
      <c r="AC66" s="12" t="str">
        <f>IF(VLOOKUP(A66,Data_NV!$A:$I,7,0)="Không","",IF(OR(AND(Y66=0,Z66=0),AND(Y66&lt;&gt;0,Z66&lt;&gt;0)),"","Quên chấm công"))</f>
        <v/>
      </c>
      <c r="AD66" s="12">
        <f>IF(VLOOKUP(A66,Data_NV!$A:$I,7,0)="Không",0,IF(AND(Y66=0,Z66=0),0,IF(X66&lt;=Z66,0,ROUNDDOWN((X66-Z66)*24*60,0))))</f>
        <v>0</v>
      </c>
      <c r="AE66" s="12">
        <f>IF(VLOOKUP(A66,Data_NV!$A:$I,6,0)="Không",0,IF(Z66&lt;=X66,0,ROUNDDOWN((Z66-X66)*24*60,0)))</f>
        <v>17</v>
      </c>
      <c r="AF66" s="26">
        <f t="shared" si="16"/>
        <v>50000</v>
      </c>
      <c r="AG66" s="27" t="str">
        <f>IF(AC66="","",IF(COUNTIFS($AC$3:AC66,"Quên chấm công",$S$3:S66,S66)&gt;3,"Không chấm công do vi phạm quá 3 lần",IF(COUNTIFS($AC$3:AC66,"Quên chấm công",$S$3:S66,S66)&gt;2,"Trừ toàn bộ chuyên cần tháng do vi phạm lần 3",IF(COUNTIFS($AC$3:AC66,"Quên chấm công",$S$3:S66,S66)&gt;1,"Trừ 1/2 ngày lương",50000))))</f>
        <v/>
      </c>
      <c r="AH66" s="12" t="str">
        <f>IF(AF66=0,"",IF(COUNTIFS($AF$3:AF66,"&gt;0",$S$3:S66,S66)&gt;3,"Trừ toàn bộ chuyên cần tháng",""))</f>
        <v/>
      </c>
      <c r="AI66" s="12"/>
    </row>
    <row r="67" spans="1:35" x14ac:dyDescent="0.25">
      <c r="A67" s="4" t="s">
        <v>363</v>
      </c>
      <c r="B67" s="1" t="s">
        <v>364</v>
      </c>
      <c r="C67" s="1" t="s">
        <v>19</v>
      </c>
      <c r="D67" s="1" t="s">
        <v>31</v>
      </c>
      <c r="E67" s="1" t="s">
        <v>21</v>
      </c>
      <c r="F67" s="1" t="s">
        <v>22</v>
      </c>
      <c r="G67" s="1" t="s">
        <v>10</v>
      </c>
      <c r="H67" s="1" t="s">
        <v>367</v>
      </c>
      <c r="I67" s="1" t="s">
        <v>368</v>
      </c>
      <c r="J67" s="1" t="s">
        <v>328</v>
      </c>
      <c r="K67" s="1" t="s">
        <v>369</v>
      </c>
      <c r="L67" s="1" t="s">
        <v>24</v>
      </c>
      <c r="M67" s="1" t="s">
        <v>25</v>
      </c>
      <c r="N67" s="1" t="s">
        <v>24</v>
      </c>
      <c r="O67" s="1" t="s">
        <v>322</v>
      </c>
      <c r="P67" s="1" t="s">
        <v>24</v>
      </c>
      <c r="Q67" s="1" t="s">
        <v>24</v>
      </c>
      <c r="R67" s="85" t="str">
        <f t="shared" si="14"/>
        <v>6245905</v>
      </c>
      <c r="S67" t="str">
        <f>VLOOKUP(A67,Data_NV!$A:$C,3,0)</f>
        <v>Nguyễn Thị Út Hương</v>
      </c>
      <c r="T67" t="str">
        <f>VLOOKUP(A67,Data_NV!$A:$E,4,0)</f>
        <v>Kế toán - Văn phòng</v>
      </c>
      <c r="U67" s="82">
        <f>DATEVALUE(Table2[[#This Row],[Ngày]])</f>
        <v>45905</v>
      </c>
      <c r="V67" t="str">
        <f>VLOOKUP(A67,Data_NV!$A:$E,5,0)</f>
        <v>Đang làm việc</v>
      </c>
      <c r="W67" s="10">
        <f>VLOOKUP(A67,Data_NV!$A:$I,8,0)</f>
        <v>0.33333333333333331</v>
      </c>
      <c r="X67" s="10">
        <f>VLOOKUP(A67,Data_NV!$A:$I,9,0)</f>
        <v>0.70833333333333337</v>
      </c>
      <c r="Y67" s="10">
        <f>IFERROR(TIMEVALUE(Table2[[#This Row],[Vào]]),0)</f>
        <v>0.34480324074074076</v>
      </c>
      <c r="Z67" s="10">
        <f>IFERROR(TIMEVALUE(Table2[[#This Row],[Ra]]),0)</f>
        <v>0.72050925925925924</v>
      </c>
      <c r="AA67" t="str">
        <f t="shared" si="17"/>
        <v>x</v>
      </c>
      <c r="AB67" s="12">
        <f t="shared" si="15"/>
        <v>16</v>
      </c>
      <c r="AC67" s="12" t="str">
        <f>IF(VLOOKUP(A67,Data_NV!$A:$I,7,0)="Không","",IF(OR(AND(Y67=0,Z67=0),AND(Y67&lt;&gt;0,Z67&lt;&gt;0)),"","Quên chấm công"))</f>
        <v/>
      </c>
      <c r="AD67" s="12">
        <f>IF(VLOOKUP(A67,Data_NV!$A:$I,7,0)="Không",0,IF(AND(Y67=0,Z67=0),0,IF(X67&lt;=Z67,0,ROUNDDOWN((X67-Z67)*24*60,0))))</f>
        <v>0</v>
      </c>
      <c r="AE67" s="12">
        <f>IF(VLOOKUP(A67,Data_NV!$A:$I,6,0)="Không",0,IF(Z67&lt;=X67,0,ROUNDDOWN((Z67-X67)*24*60,0)))</f>
        <v>17</v>
      </c>
      <c r="AF67" s="26">
        <f t="shared" si="16"/>
        <v>50000</v>
      </c>
      <c r="AG67" s="27" t="str">
        <f>IF(AC67="","",IF(COUNTIFS($AC$3:AC67,"Quên chấm công",$S$3:S67,S67)&gt;3,"Không chấm công do vi phạm quá 3 lần",IF(COUNTIFS($AC$3:AC67,"Quên chấm công",$S$3:S67,S67)&gt;2,"Trừ toàn bộ chuyên cần tháng do vi phạm lần 3",IF(COUNTIFS($AC$3:AC67,"Quên chấm công",$S$3:S67,S67)&gt;1,"Trừ 1/2 ngày lương",50000))))</f>
        <v/>
      </c>
      <c r="AH67" s="12" t="str">
        <f>IF(AF67=0,"",IF(COUNTIFS($AF$3:AF67,"&gt;0",$S$3:S67,S67)&gt;3,"Trừ toàn bộ chuyên cần tháng",""))</f>
        <v/>
      </c>
      <c r="AI67" s="12"/>
    </row>
    <row r="68" spans="1:35" x14ac:dyDescent="0.25">
      <c r="A68" s="4" t="s">
        <v>363</v>
      </c>
      <c r="B68" s="1" t="s">
        <v>364</v>
      </c>
      <c r="C68" s="1" t="s">
        <v>19</v>
      </c>
      <c r="D68" s="1" t="s">
        <v>32</v>
      </c>
      <c r="E68" s="1" t="s">
        <v>21</v>
      </c>
      <c r="F68" s="1" t="s">
        <v>22</v>
      </c>
      <c r="G68" s="1" t="s">
        <v>28</v>
      </c>
      <c r="H68" s="1" t="s">
        <v>370</v>
      </c>
      <c r="I68" s="1" t="s">
        <v>371</v>
      </c>
      <c r="J68" s="1" t="s">
        <v>24</v>
      </c>
      <c r="K68" s="1" t="s">
        <v>372</v>
      </c>
      <c r="L68" s="1" t="s">
        <v>24</v>
      </c>
      <c r="M68" s="1" t="s">
        <v>25</v>
      </c>
      <c r="N68" s="1" t="s">
        <v>24</v>
      </c>
      <c r="O68" s="1" t="s">
        <v>373</v>
      </c>
      <c r="P68" s="1" t="s">
        <v>24</v>
      </c>
      <c r="Q68" s="1" t="s">
        <v>24</v>
      </c>
      <c r="R68" s="85" t="str">
        <f t="shared" si="14"/>
        <v>6245906</v>
      </c>
      <c r="S68" t="str">
        <f>VLOOKUP(A68,Data_NV!$A:$C,3,0)</f>
        <v>Nguyễn Thị Út Hương</v>
      </c>
      <c r="T68" t="str">
        <f>VLOOKUP(A68,Data_NV!$A:$E,4,0)</f>
        <v>Kế toán - Văn phòng</v>
      </c>
      <c r="U68" s="82">
        <f>DATEVALUE(Table2[[#This Row],[Ngày]])</f>
        <v>45906</v>
      </c>
      <c r="V68" t="str">
        <f>VLOOKUP(A68,Data_NV!$A:$E,5,0)</f>
        <v>Đang làm việc</v>
      </c>
      <c r="W68" s="10">
        <f>VLOOKUP(A68,Data_NV!$A:$I,8,0)</f>
        <v>0.33333333333333331</v>
      </c>
      <c r="X68" s="10">
        <f>VLOOKUP(A68,Data_NV!$A:$I,9,0)</f>
        <v>0.70833333333333337</v>
      </c>
      <c r="Y68" s="10">
        <f>IFERROR(TIMEVALUE(Table2[[#This Row],[Vào]]),0)</f>
        <v>0.32480324074074074</v>
      </c>
      <c r="Z68" s="10">
        <f>IFERROR(TIMEVALUE(Table2[[#This Row],[Ra]]),0)</f>
        <v>0.72471064814814812</v>
      </c>
      <c r="AA68" t="str">
        <f t="shared" si="17"/>
        <v>x</v>
      </c>
      <c r="AB68" s="12">
        <f t="shared" si="15"/>
        <v>0</v>
      </c>
      <c r="AC68" s="12" t="str">
        <f>IF(VLOOKUP(A68,Data_NV!$A:$I,7,0)="Không","",IF(OR(AND(Y68=0,Z68=0),AND(Y68&lt;&gt;0,Z68&lt;&gt;0)),"","Quên chấm công"))</f>
        <v/>
      </c>
      <c r="AD68" s="12">
        <f>IF(VLOOKUP(A68,Data_NV!$A:$I,7,0)="Không",0,IF(AND(Y68=0,Z68=0),0,IF(X68&lt;=Z68,0,ROUNDDOWN((X68-Z68)*24*60,0))))</f>
        <v>0</v>
      </c>
      <c r="AE68" s="12">
        <f>IF(VLOOKUP(A68,Data_NV!$A:$I,6,0)="Không",0,IF(Z68&lt;=X68,0,ROUNDDOWN((Z68-X68)*24*60,0)))</f>
        <v>23</v>
      </c>
      <c r="AF68" s="26">
        <f t="shared" si="16"/>
        <v>0</v>
      </c>
      <c r="AG68" s="27" t="str">
        <f>IF(AC68="","",IF(COUNTIFS($AC$3:AC68,"Quên chấm công",$S$3:S68,S68)&gt;3,"Không chấm công do vi phạm quá 3 lần",IF(COUNTIFS($AC$3:AC68,"Quên chấm công",$S$3:S68,S68)&gt;2,"Trừ toàn bộ chuyên cần tháng do vi phạm lần 3",IF(COUNTIFS($AC$3:AC68,"Quên chấm công",$S$3:S68,S68)&gt;1,"Trừ 1/2 ngày lương",50000))))</f>
        <v/>
      </c>
      <c r="AH68" s="12" t="str">
        <f>IF(AF68=0,"",IF(COUNTIFS($AF$3:AF68,"&gt;0",$S$3:S68,S68)&gt;3,"Trừ toàn bộ chuyên cần tháng",""))</f>
        <v/>
      </c>
      <c r="AI68" s="12"/>
    </row>
    <row r="69" spans="1:35" x14ac:dyDescent="0.25">
      <c r="A69" s="4" t="s">
        <v>363</v>
      </c>
      <c r="B69" s="1" t="s">
        <v>364</v>
      </c>
      <c r="C69" s="1" t="s">
        <v>19</v>
      </c>
      <c r="D69" s="1" t="s">
        <v>33</v>
      </c>
      <c r="E69" s="1" t="s">
        <v>21</v>
      </c>
      <c r="F69" s="1" t="s">
        <v>22</v>
      </c>
      <c r="G69" s="1" t="s">
        <v>12</v>
      </c>
      <c r="H69" s="1" t="s">
        <v>23</v>
      </c>
      <c r="I69" s="1" t="s">
        <v>23</v>
      </c>
      <c r="J69" s="1" t="s">
        <v>24</v>
      </c>
      <c r="K69" s="1" t="s">
        <v>24</v>
      </c>
      <c r="L69" s="1" t="s">
        <v>25</v>
      </c>
      <c r="M69" s="1" t="s">
        <v>24</v>
      </c>
      <c r="N69" s="1" t="s">
        <v>24</v>
      </c>
      <c r="O69" s="1" t="s">
        <v>24</v>
      </c>
      <c r="P69" s="1" t="s">
        <v>24</v>
      </c>
      <c r="Q69" s="1" t="s">
        <v>24</v>
      </c>
      <c r="R69" s="85" t="str">
        <f t="shared" si="14"/>
        <v>6245907</v>
      </c>
      <c r="S69" t="str">
        <f>VLOOKUP(A69,Data_NV!$A:$C,3,0)</f>
        <v>Nguyễn Thị Út Hương</v>
      </c>
      <c r="T69" t="str">
        <f>VLOOKUP(A69,Data_NV!$A:$E,4,0)</f>
        <v>Kế toán - Văn phòng</v>
      </c>
      <c r="U69" s="82">
        <f>DATEVALUE(Table2[[#This Row],[Ngày]])</f>
        <v>45907</v>
      </c>
      <c r="V69" t="str">
        <f>VLOOKUP(A69,Data_NV!$A:$E,5,0)</f>
        <v>Đang làm việc</v>
      </c>
      <c r="W69" s="10">
        <f>VLOOKUP(A69,Data_NV!$A:$I,8,0)</f>
        <v>0.33333333333333331</v>
      </c>
      <c r="X69" s="10">
        <f>VLOOKUP(A69,Data_NV!$A:$I,9,0)</f>
        <v>0.70833333333333337</v>
      </c>
      <c r="Y69" s="10">
        <f>IFERROR(TIMEVALUE(Table2[[#This Row],[Vào]]),0)</f>
        <v>0</v>
      </c>
      <c r="Z69" s="10">
        <f>IFERROR(TIMEVALUE(Table2[[#This Row],[Ra]]),0)</f>
        <v>0</v>
      </c>
      <c r="AA69" t="str">
        <f t="shared" si="17"/>
        <v>Chủ nhật</v>
      </c>
      <c r="AB69" s="12">
        <f t="shared" si="15"/>
        <v>0</v>
      </c>
      <c r="AC69" s="12" t="str">
        <f>IF(VLOOKUP(A69,Data_NV!$A:$I,7,0)="Không","",IF(OR(AND(Y69=0,Z69=0),AND(Y69&lt;&gt;0,Z69&lt;&gt;0)),"","Quên chấm công"))</f>
        <v/>
      </c>
      <c r="AD69" s="12">
        <f>IF(VLOOKUP(A69,Data_NV!$A:$I,7,0)="Không",0,IF(AND(Y69=0,Z69=0),0,IF(X69&lt;=Z69,0,ROUNDDOWN((X69-Z69)*24*60,0))))</f>
        <v>0</v>
      </c>
      <c r="AE69" s="12">
        <f>IF(VLOOKUP(A69,Data_NV!$A:$I,6,0)="Không",0,IF(Z69&lt;=X69,0,ROUNDDOWN((Z69-X69)*24*60,0)))</f>
        <v>0</v>
      </c>
      <c r="AF69" s="26">
        <f t="shared" si="16"/>
        <v>0</v>
      </c>
      <c r="AG69" s="27" t="str">
        <f>IF(AC69="","",IF(COUNTIFS($AC$3:AC69,"Quên chấm công",$S$3:S69,S69)&gt;3,"Không chấm công do vi phạm quá 3 lần",IF(COUNTIFS($AC$3:AC69,"Quên chấm công",$S$3:S69,S69)&gt;2,"Trừ toàn bộ chuyên cần tháng do vi phạm lần 3",IF(COUNTIFS($AC$3:AC69,"Quên chấm công",$S$3:S69,S69)&gt;1,"Trừ 1/2 ngày lương",50000))))</f>
        <v/>
      </c>
      <c r="AH69" s="12" t="str">
        <f>IF(AF69=0,"",IF(COUNTIFS($AF$3:AF69,"&gt;0",$S$3:S69,S69)&gt;3,"Trừ toàn bộ chuyên cần tháng",""))</f>
        <v/>
      </c>
      <c r="AI69" s="12"/>
    </row>
    <row r="70" spans="1:35" x14ac:dyDescent="0.25">
      <c r="A70" s="4" t="s">
        <v>363</v>
      </c>
      <c r="B70" s="1" t="s">
        <v>364</v>
      </c>
      <c r="C70" s="1" t="s">
        <v>19</v>
      </c>
      <c r="D70" s="1" t="s">
        <v>34</v>
      </c>
      <c r="E70" s="1" t="s">
        <v>21</v>
      </c>
      <c r="F70" s="1" t="s">
        <v>22</v>
      </c>
      <c r="G70" s="1" t="s">
        <v>10</v>
      </c>
      <c r="H70" s="1" t="s">
        <v>374</v>
      </c>
      <c r="I70" s="1" t="s">
        <v>375</v>
      </c>
      <c r="J70" s="1" t="s">
        <v>24</v>
      </c>
      <c r="K70" s="1" t="s">
        <v>93</v>
      </c>
      <c r="L70" s="1" t="s">
        <v>24</v>
      </c>
      <c r="M70" s="1" t="s">
        <v>25</v>
      </c>
      <c r="N70" s="1" t="s">
        <v>24</v>
      </c>
      <c r="O70" s="1" t="s">
        <v>208</v>
      </c>
      <c r="P70" s="1" t="s">
        <v>24</v>
      </c>
      <c r="Q70" s="1" t="s">
        <v>24</v>
      </c>
      <c r="R70" s="85" t="str">
        <f t="shared" si="14"/>
        <v>6245908</v>
      </c>
      <c r="S70" t="str">
        <f>VLOOKUP(A70,Data_NV!$A:$C,3,0)</f>
        <v>Nguyễn Thị Út Hương</v>
      </c>
      <c r="T70" t="str">
        <f>VLOOKUP(A70,Data_NV!$A:$E,4,0)</f>
        <v>Kế toán - Văn phòng</v>
      </c>
      <c r="U70" s="82">
        <f>DATEVALUE(Table2[[#This Row],[Ngày]])</f>
        <v>45908</v>
      </c>
      <c r="V70" t="str">
        <f>VLOOKUP(A70,Data_NV!$A:$E,5,0)</f>
        <v>Đang làm việc</v>
      </c>
      <c r="W70" s="10">
        <f>VLOOKUP(A70,Data_NV!$A:$I,8,0)</f>
        <v>0.33333333333333331</v>
      </c>
      <c r="X70" s="10">
        <f>VLOOKUP(A70,Data_NV!$A:$I,9,0)</f>
        <v>0.70833333333333337</v>
      </c>
      <c r="Y70" s="10">
        <f>IFERROR(TIMEVALUE(Table2[[#This Row],[Vào]]),0)</f>
        <v>0.3336689814814815</v>
      </c>
      <c r="Z70" s="10">
        <f>IFERROR(TIMEVALUE(Table2[[#This Row],[Ra]]),0)</f>
        <v>0.7351388888888889</v>
      </c>
      <c r="AA70" t="str">
        <f t="shared" si="17"/>
        <v>x</v>
      </c>
      <c r="AB70" s="12">
        <f t="shared" si="15"/>
        <v>0</v>
      </c>
      <c r="AC70" s="12" t="str">
        <f>IF(VLOOKUP(A70,Data_NV!$A:$I,7,0)="Không","",IF(OR(AND(Y70=0,Z70=0),AND(Y70&lt;&gt;0,Z70&lt;&gt;0)),"","Quên chấm công"))</f>
        <v/>
      </c>
      <c r="AD70" s="12">
        <f>IF(VLOOKUP(A70,Data_NV!$A:$I,7,0)="Không",0,IF(AND(Y70=0,Z70=0),0,IF(X70&lt;=Z70,0,ROUNDDOWN((X70-Z70)*24*60,0))))</f>
        <v>0</v>
      </c>
      <c r="AE70" s="12">
        <f>IF(VLOOKUP(A70,Data_NV!$A:$I,6,0)="Không",0,IF(Z70&lt;=X70,0,ROUNDDOWN((Z70-X70)*24*60,0)))</f>
        <v>38</v>
      </c>
      <c r="AF70" s="26">
        <f t="shared" si="16"/>
        <v>0</v>
      </c>
      <c r="AG70" s="27" t="str">
        <f>IF(AC70="","",IF(COUNTIFS($AC$3:AC70,"Quên chấm công",$S$3:S70,S70)&gt;3,"Không chấm công do vi phạm quá 3 lần",IF(COUNTIFS($AC$3:AC70,"Quên chấm công",$S$3:S70,S70)&gt;2,"Trừ toàn bộ chuyên cần tháng do vi phạm lần 3",IF(COUNTIFS($AC$3:AC70,"Quên chấm công",$S$3:S70,S70)&gt;1,"Trừ 1/2 ngày lương",50000))))</f>
        <v/>
      </c>
      <c r="AH70" s="12" t="str">
        <f>IF(AF70=0,"",IF(COUNTIFS($AF$3:AF70,"&gt;0",$S$3:S70,S70)&gt;3,"Trừ toàn bộ chuyên cần tháng",""))</f>
        <v/>
      </c>
      <c r="AI70" s="12"/>
    </row>
    <row r="71" spans="1:35" x14ac:dyDescent="0.25">
      <c r="A71" s="4" t="s">
        <v>363</v>
      </c>
      <c r="B71" s="1" t="s">
        <v>364</v>
      </c>
      <c r="C71" s="1" t="s">
        <v>19</v>
      </c>
      <c r="D71" s="1" t="s">
        <v>37</v>
      </c>
      <c r="E71" s="1" t="s">
        <v>21</v>
      </c>
      <c r="F71" s="1" t="s">
        <v>22</v>
      </c>
      <c r="G71" s="1" t="s">
        <v>10</v>
      </c>
      <c r="H71" s="1" t="s">
        <v>376</v>
      </c>
      <c r="I71" s="1" t="s">
        <v>377</v>
      </c>
      <c r="J71" s="1" t="s">
        <v>24</v>
      </c>
      <c r="K71" s="1" t="s">
        <v>196</v>
      </c>
      <c r="L71" s="1" t="s">
        <v>24</v>
      </c>
      <c r="M71" s="1" t="s">
        <v>25</v>
      </c>
      <c r="N71" s="1" t="s">
        <v>24</v>
      </c>
      <c r="O71" s="1" t="s">
        <v>197</v>
      </c>
      <c r="P71" s="1" t="s">
        <v>24</v>
      </c>
      <c r="Q71" s="1" t="s">
        <v>24</v>
      </c>
      <c r="R71" s="85" t="str">
        <f t="shared" si="14"/>
        <v>6245909</v>
      </c>
      <c r="S71" t="str">
        <f>VLOOKUP(A71,Data_NV!$A:$C,3,0)</f>
        <v>Nguyễn Thị Út Hương</v>
      </c>
      <c r="T71" t="str">
        <f>VLOOKUP(A71,Data_NV!$A:$E,4,0)</f>
        <v>Kế toán - Văn phòng</v>
      </c>
      <c r="U71" s="82">
        <f>DATEVALUE(Table2[[#This Row],[Ngày]])</f>
        <v>45909</v>
      </c>
      <c r="V71" t="str">
        <f>VLOOKUP(A71,Data_NV!$A:$E,5,0)</f>
        <v>Đang làm việc</v>
      </c>
      <c r="W71" s="10">
        <f>VLOOKUP(A71,Data_NV!$A:$I,8,0)</f>
        <v>0.33333333333333331</v>
      </c>
      <c r="X71" s="10">
        <f>VLOOKUP(A71,Data_NV!$A:$I,9,0)</f>
        <v>0.70833333333333337</v>
      </c>
      <c r="Y71" s="10">
        <f>IFERROR(TIMEVALUE(Table2[[#This Row],[Vào]]),0)</f>
        <v>0.33354166666666668</v>
      </c>
      <c r="Z71" s="10">
        <f>IFERROR(TIMEVALUE(Table2[[#This Row],[Ra]]),0)</f>
        <v>0.73888888888888893</v>
      </c>
      <c r="AA71" t="str">
        <f t="shared" si="17"/>
        <v>x</v>
      </c>
      <c r="AB71" s="12">
        <f t="shared" si="15"/>
        <v>0</v>
      </c>
      <c r="AC71" s="12" t="str">
        <f>IF(VLOOKUP(A71,Data_NV!$A:$I,7,0)="Không","",IF(OR(AND(Y71=0,Z71=0),AND(Y71&lt;&gt;0,Z71&lt;&gt;0)),"","Quên chấm công"))</f>
        <v/>
      </c>
      <c r="AD71" s="12">
        <f>IF(VLOOKUP(A71,Data_NV!$A:$I,7,0)="Không",0,IF(AND(Y71=0,Z71=0),0,IF(X71&lt;=Z71,0,ROUNDDOWN((X71-Z71)*24*60,0))))</f>
        <v>0</v>
      </c>
      <c r="AE71" s="12">
        <f>IF(VLOOKUP(A71,Data_NV!$A:$I,6,0)="Không",0,IF(Z71&lt;=X71,0,ROUNDDOWN((Z71-X71)*24*60,0)))</f>
        <v>44</v>
      </c>
      <c r="AF71" s="26">
        <f t="shared" si="16"/>
        <v>0</v>
      </c>
      <c r="AG71" s="27" t="str">
        <f>IF(AC71="","",IF(COUNTIFS($AC$3:AC71,"Quên chấm công",$S$3:S71,S71)&gt;3,"Không chấm công do vi phạm quá 3 lần",IF(COUNTIFS($AC$3:AC71,"Quên chấm công",$S$3:S71,S71)&gt;2,"Trừ toàn bộ chuyên cần tháng do vi phạm lần 3",IF(COUNTIFS($AC$3:AC71,"Quên chấm công",$S$3:S71,S71)&gt;1,"Trừ 1/2 ngày lương",50000))))</f>
        <v/>
      </c>
      <c r="AH71" s="12" t="str">
        <f>IF(AF71=0,"",IF(COUNTIFS($AF$3:AF71,"&gt;0",$S$3:S71,S71)&gt;3,"Trừ toàn bộ chuyên cần tháng",""))</f>
        <v/>
      </c>
      <c r="AI71" s="12"/>
    </row>
    <row r="72" spans="1:35" x14ac:dyDescent="0.25">
      <c r="A72" s="4" t="s">
        <v>363</v>
      </c>
      <c r="B72" s="1" t="s">
        <v>364</v>
      </c>
      <c r="C72" s="1" t="s">
        <v>19</v>
      </c>
      <c r="D72" s="1" t="s">
        <v>38</v>
      </c>
      <c r="E72" s="1" t="s">
        <v>21</v>
      </c>
      <c r="F72" s="1" t="s">
        <v>22</v>
      </c>
      <c r="G72" s="1" t="s">
        <v>28</v>
      </c>
      <c r="H72" s="1" t="s">
        <v>378</v>
      </c>
      <c r="I72" s="1" t="s">
        <v>379</v>
      </c>
      <c r="J72" s="1" t="s">
        <v>24</v>
      </c>
      <c r="K72" s="1" t="s">
        <v>196</v>
      </c>
      <c r="L72" s="1" t="s">
        <v>24</v>
      </c>
      <c r="M72" s="1" t="s">
        <v>25</v>
      </c>
      <c r="N72" s="1" t="s">
        <v>24</v>
      </c>
      <c r="O72" s="1" t="s">
        <v>197</v>
      </c>
      <c r="P72" s="1" t="s">
        <v>24</v>
      </c>
      <c r="Q72" s="1" t="s">
        <v>24</v>
      </c>
      <c r="R72" s="85" t="str">
        <f t="shared" si="14"/>
        <v>6245910</v>
      </c>
      <c r="S72" t="str">
        <f>VLOOKUP(A72,Data_NV!$A:$C,3,0)</f>
        <v>Nguyễn Thị Út Hương</v>
      </c>
      <c r="T72" t="str">
        <f>VLOOKUP(A72,Data_NV!$A:$E,4,0)</f>
        <v>Kế toán - Văn phòng</v>
      </c>
      <c r="U72" s="82">
        <f>DATEVALUE(Table2[[#This Row],[Ngày]])</f>
        <v>45910</v>
      </c>
      <c r="V72" t="str">
        <f>VLOOKUP(A72,Data_NV!$A:$E,5,0)</f>
        <v>Đang làm việc</v>
      </c>
      <c r="W72" s="10">
        <f>VLOOKUP(A72,Data_NV!$A:$I,8,0)</f>
        <v>0.33333333333333331</v>
      </c>
      <c r="X72" s="10">
        <f>VLOOKUP(A72,Data_NV!$A:$I,9,0)</f>
        <v>0.70833333333333337</v>
      </c>
      <c r="Y72" s="10">
        <f>IFERROR(TIMEVALUE(Table2[[#This Row],[Vào]]),0)</f>
        <v>0.33298611111111109</v>
      </c>
      <c r="Z72" s="10">
        <f>IFERROR(TIMEVALUE(Table2[[#This Row],[Ra]]),0)</f>
        <v>0.73872685185185183</v>
      </c>
      <c r="AA72" t="str">
        <f t="shared" si="17"/>
        <v>x</v>
      </c>
      <c r="AB72" s="12">
        <f t="shared" si="15"/>
        <v>0</v>
      </c>
      <c r="AC72" s="12" t="str">
        <f>IF(VLOOKUP(A72,Data_NV!$A:$I,7,0)="Không","",IF(OR(AND(Y72=0,Z72=0),AND(Y72&lt;&gt;0,Z72&lt;&gt;0)),"","Quên chấm công"))</f>
        <v/>
      </c>
      <c r="AD72" s="12">
        <f>IF(VLOOKUP(A72,Data_NV!$A:$I,7,0)="Không",0,IF(AND(Y72=0,Z72=0),0,IF(X72&lt;=Z72,0,ROUNDDOWN((X72-Z72)*24*60,0))))</f>
        <v>0</v>
      </c>
      <c r="AE72" s="12">
        <f>IF(VLOOKUP(A72,Data_NV!$A:$I,6,0)="Không",0,IF(Z72&lt;=X72,0,ROUNDDOWN((Z72-X72)*24*60,0)))</f>
        <v>43</v>
      </c>
      <c r="AF72" s="26">
        <f t="shared" si="16"/>
        <v>0</v>
      </c>
      <c r="AG72" s="27" t="str">
        <f>IF(AC72="","",IF(COUNTIFS($AC$3:AC72,"Quên chấm công",$S$3:S72,S72)&gt;3,"Không chấm công do vi phạm quá 3 lần",IF(COUNTIFS($AC$3:AC72,"Quên chấm công",$S$3:S72,S72)&gt;2,"Trừ toàn bộ chuyên cần tháng do vi phạm lần 3",IF(COUNTIFS($AC$3:AC72,"Quên chấm công",$S$3:S72,S72)&gt;1,"Trừ 1/2 ngày lương",50000))))</f>
        <v/>
      </c>
      <c r="AH72" s="12" t="str">
        <f>IF(AF72=0,"",IF(COUNTIFS($AF$3:AF72,"&gt;0",$S$3:S72,S72)&gt;3,"Trừ toàn bộ chuyên cần tháng",""))</f>
        <v/>
      </c>
      <c r="AI72" s="12"/>
    </row>
    <row r="73" spans="1:35" x14ac:dyDescent="0.25">
      <c r="A73" s="4" t="s">
        <v>363</v>
      </c>
      <c r="B73" s="1" t="s">
        <v>364</v>
      </c>
      <c r="C73" s="1" t="s">
        <v>19</v>
      </c>
      <c r="D73" s="1" t="s">
        <v>39</v>
      </c>
      <c r="E73" s="1" t="s">
        <v>21</v>
      </c>
      <c r="F73" s="1" t="s">
        <v>22</v>
      </c>
      <c r="G73" s="1" t="s">
        <v>10</v>
      </c>
      <c r="H73" s="1" t="s">
        <v>380</v>
      </c>
      <c r="I73" s="1" t="s">
        <v>381</v>
      </c>
      <c r="J73" s="1" t="s">
        <v>109</v>
      </c>
      <c r="K73" s="1" t="s">
        <v>111</v>
      </c>
      <c r="L73" s="1" t="s">
        <v>24</v>
      </c>
      <c r="M73" s="1" t="s">
        <v>25</v>
      </c>
      <c r="N73" s="1" t="s">
        <v>24</v>
      </c>
      <c r="O73" s="1" t="s">
        <v>197</v>
      </c>
      <c r="P73" s="1" t="s">
        <v>24</v>
      </c>
      <c r="Q73" s="1" t="s">
        <v>24</v>
      </c>
      <c r="R73" s="85" t="str">
        <f t="shared" si="14"/>
        <v>6245911</v>
      </c>
      <c r="S73" t="str">
        <f>VLOOKUP(A73,Data_NV!$A:$C,3,0)</f>
        <v>Nguyễn Thị Út Hương</v>
      </c>
      <c r="T73" t="str">
        <f>VLOOKUP(A73,Data_NV!$A:$E,4,0)</f>
        <v>Kế toán - Văn phòng</v>
      </c>
      <c r="U73" s="82">
        <f>DATEVALUE(Table2[[#This Row],[Ngày]])</f>
        <v>45911</v>
      </c>
      <c r="V73" t="str">
        <f>VLOOKUP(A73,Data_NV!$A:$E,5,0)</f>
        <v>Đang làm việc</v>
      </c>
      <c r="W73" s="10">
        <f>VLOOKUP(A73,Data_NV!$A:$I,8,0)</f>
        <v>0.33333333333333331</v>
      </c>
      <c r="X73" s="10">
        <f>VLOOKUP(A73,Data_NV!$A:$I,9,0)</f>
        <v>0.70833333333333337</v>
      </c>
      <c r="Y73" s="10">
        <f>IFERROR(TIMEVALUE(Table2[[#This Row],[Vào]]),0)</f>
        <v>0.3346412037037037</v>
      </c>
      <c r="Z73" s="10">
        <f>IFERROR(TIMEVALUE(Table2[[#This Row],[Ra]]),0)</f>
        <v>0.73903935185185188</v>
      </c>
      <c r="AA73" t="str">
        <f t="shared" si="17"/>
        <v>x</v>
      </c>
      <c r="AB73" s="12">
        <f t="shared" si="15"/>
        <v>1</v>
      </c>
      <c r="AC73" s="12" t="str">
        <f>IF(VLOOKUP(A73,Data_NV!$A:$I,7,0)="Không","",IF(OR(AND(Y73=0,Z73=0),AND(Y73&lt;&gt;0,Z73&lt;&gt;0)),"","Quên chấm công"))</f>
        <v/>
      </c>
      <c r="AD73" s="12">
        <f>IF(VLOOKUP(A73,Data_NV!$A:$I,7,0)="Không",0,IF(AND(Y73=0,Z73=0),0,IF(X73&lt;=Z73,0,ROUNDDOWN((X73-Z73)*24*60,0))))</f>
        <v>0</v>
      </c>
      <c r="AE73" s="12">
        <f>IF(VLOOKUP(A73,Data_NV!$A:$I,6,0)="Không",0,IF(Z73&lt;=X73,0,ROUNDDOWN((Z73-X73)*24*60,0)))</f>
        <v>44</v>
      </c>
      <c r="AF73" s="26">
        <f t="shared" si="16"/>
        <v>0</v>
      </c>
      <c r="AG73" s="27" t="str">
        <f>IF(AC73="","",IF(COUNTIFS($AC$3:AC73,"Quên chấm công",$S$3:S73,S73)&gt;3,"Không chấm công do vi phạm quá 3 lần",IF(COUNTIFS($AC$3:AC73,"Quên chấm công",$S$3:S73,S73)&gt;2,"Trừ toàn bộ chuyên cần tháng do vi phạm lần 3",IF(COUNTIFS($AC$3:AC73,"Quên chấm công",$S$3:S73,S73)&gt;1,"Trừ 1/2 ngày lương",50000))))</f>
        <v/>
      </c>
      <c r="AH73" s="12" t="str">
        <f>IF(AF73=0,"",IF(COUNTIFS($AF$3:AF73,"&gt;0",$S$3:S73,S73)&gt;3,"Trừ toàn bộ chuyên cần tháng",""))</f>
        <v/>
      </c>
      <c r="AI73" s="12"/>
    </row>
    <row r="74" spans="1:35" x14ac:dyDescent="0.25">
      <c r="A74" s="4" t="s">
        <v>363</v>
      </c>
      <c r="B74" s="1" t="s">
        <v>364</v>
      </c>
      <c r="C74" s="1" t="s">
        <v>19</v>
      </c>
      <c r="D74" s="1" t="s">
        <v>41</v>
      </c>
      <c r="E74" s="1" t="s">
        <v>21</v>
      </c>
      <c r="F74" s="1" t="s">
        <v>22</v>
      </c>
      <c r="G74" s="1" t="s">
        <v>10</v>
      </c>
      <c r="H74" s="1" t="s">
        <v>246</v>
      </c>
      <c r="I74" s="1" t="s">
        <v>382</v>
      </c>
      <c r="J74" s="1" t="s">
        <v>91</v>
      </c>
      <c r="K74" s="1" t="s">
        <v>72</v>
      </c>
      <c r="L74" s="1" t="s">
        <v>24</v>
      </c>
      <c r="M74" s="1" t="s">
        <v>25</v>
      </c>
      <c r="N74" s="1" t="s">
        <v>24</v>
      </c>
      <c r="O74" s="1" t="s">
        <v>68</v>
      </c>
      <c r="P74" s="1" t="s">
        <v>24</v>
      </c>
      <c r="Q74" s="1" t="s">
        <v>24</v>
      </c>
      <c r="R74" s="85" t="str">
        <f t="shared" si="14"/>
        <v>6245912</v>
      </c>
      <c r="S74" t="str">
        <f>VLOOKUP(A74,Data_NV!$A:$C,3,0)</f>
        <v>Nguyễn Thị Út Hương</v>
      </c>
      <c r="T74" t="str">
        <f>VLOOKUP(A74,Data_NV!$A:$E,4,0)</f>
        <v>Kế toán - Văn phòng</v>
      </c>
      <c r="U74" s="82">
        <f>DATEVALUE(Table2[[#This Row],[Ngày]])</f>
        <v>45912</v>
      </c>
      <c r="V74" t="str">
        <f>VLOOKUP(A74,Data_NV!$A:$E,5,0)</f>
        <v>Đang làm việc</v>
      </c>
      <c r="W74" s="10">
        <f>VLOOKUP(A74,Data_NV!$A:$I,8,0)</f>
        <v>0.33333333333333331</v>
      </c>
      <c r="X74" s="10">
        <f>VLOOKUP(A74,Data_NV!$A:$I,9,0)</f>
        <v>0.70833333333333337</v>
      </c>
      <c r="Y74" s="10">
        <f>IFERROR(TIMEVALUE(Table2[[#This Row],[Vào]]),0)</f>
        <v>0.33643518518518517</v>
      </c>
      <c r="Z74" s="10">
        <f>IFERROR(TIMEVALUE(Table2[[#This Row],[Ra]]),0)</f>
        <v>0.73623842592592592</v>
      </c>
      <c r="AA74" t="str">
        <f t="shared" si="17"/>
        <v>x</v>
      </c>
      <c r="AB74" s="12">
        <f t="shared" si="15"/>
        <v>4</v>
      </c>
      <c r="AC74" s="12" t="str">
        <f>IF(VLOOKUP(A74,Data_NV!$A:$I,7,0)="Không","",IF(OR(AND(Y74=0,Z74=0),AND(Y74&lt;&gt;0,Z74&lt;&gt;0)),"","Quên chấm công"))</f>
        <v/>
      </c>
      <c r="AD74" s="12">
        <f>IF(VLOOKUP(A74,Data_NV!$A:$I,7,0)="Không",0,IF(AND(Y74=0,Z74=0),0,IF(X74&lt;=Z74,0,ROUNDDOWN((X74-Z74)*24*60,0))))</f>
        <v>0</v>
      </c>
      <c r="AE74" s="12">
        <f>IF(VLOOKUP(A74,Data_NV!$A:$I,6,0)="Không",0,IF(Z74&lt;=X74,0,ROUNDDOWN((Z74-X74)*24*60,0)))</f>
        <v>40</v>
      </c>
      <c r="AF74" s="26">
        <f t="shared" si="16"/>
        <v>0</v>
      </c>
      <c r="AG74" s="27" t="str">
        <f>IF(AC74="","",IF(COUNTIFS($AC$3:AC74,"Quên chấm công",$S$3:S74,S74)&gt;3,"Không chấm công do vi phạm quá 3 lần",IF(COUNTIFS($AC$3:AC74,"Quên chấm công",$S$3:S74,S74)&gt;2,"Trừ toàn bộ chuyên cần tháng do vi phạm lần 3",IF(COUNTIFS($AC$3:AC74,"Quên chấm công",$S$3:S74,S74)&gt;1,"Trừ 1/2 ngày lương",50000))))</f>
        <v/>
      </c>
      <c r="AH74" s="12" t="str">
        <f>IF(AF74=0,"",IF(COUNTIFS($AF$3:AF74,"&gt;0",$S$3:S74,S74)&gt;3,"Trừ toàn bộ chuyên cần tháng",""))</f>
        <v/>
      </c>
      <c r="AI74" s="12"/>
    </row>
    <row r="75" spans="1:35" x14ac:dyDescent="0.25">
      <c r="A75" s="4" t="s">
        <v>363</v>
      </c>
      <c r="B75" s="1" t="s">
        <v>364</v>
      </c>
      <c r="C75" s="1" t="s">
        <v>19</v>
      </c>
      <c r="D75" s="1" t="s">
        <v>42</v>
      </c>
      <c r="E75" s="1" t="s">
        <v>21</v>
      </c>
      <c r="F75" s="1" t="s">
        <v>22</v>
      </c>
      <c r="G75" s="1" t="s">
        <v>10</v>
      </c>
      <c r="H75" s="1" t="s">
        <v>383</v>
      </c>
      <c r="I75" s="1" t="s">
        <v>384</v>
      </c>
      <c r="J75" s="1" t="s">
        <v>242</v>
      </c>
      <c r="K75" s="1" t="s">
        <v>385</v>
      </c>
      <c r="L75" s="1" t="s">
        <v>24</v>
      </c>
      <c r="M75" s="1" t="s">
        <v>25</v>
      </c>
      <c r="N75" s="1" t="s">
        <v>24</v>
      </c>
      <c r="O75" s="1" t="s">
        <v>102</v>
      </c>
      <c r="P75" s="1" t="s">
        <v>24</v>
      </c>
      <c r="Q75" s="1" t="s">
        <v>24</v>
      </c>
      <c r="R75" s="85" t="str">
        <f t="shared" si="14"/>
        <v>6245913</v>
      </c>
      <c r="S75" t="str">
        <f>VLOOKUP(A75,Data_NV!$A:$C,3,0)</f>
        <v>Nguyễn Thị Út Hương</v>
      </c>
      <c r="T75" t="str">
        <f>VLOOKUP(A75,Data_NV!$A:$E,4,0)</f>
        <v>Kế toán - Văn phòng</v>
      </c>
      <c r="U75" s="82">
        <f>DATEVALUE(Table2[[#This Row],[Ngày]])</f>
        <v>45913</v>
      </c>
      <c r="V75" t="str">
        <f>VLOOKUP(A75,Data_NV!$A:$E,5,0)</f>
        <v>Đang làm việc</v>
      </c>
      <c r="W75" s="10">
        <f>VLOOKUP(A75,Data_NV!$A:$I,8,0)</f>
        <v>0.33333333333333331</v>
      </c>
      <c r="X75" s="10">
        <f>VLOOKUP(A75,Data_NV!$A:$I,9,0)</f>
        <v>0.70833333333333337</v>
      </c>
      <c r="Y75" s="10">
        <f>IFERROR(TIMEVALUE(Table2[[#This Row],[Vào]]),0)</f>
        <v>0.33568287037037037</v>
      </c>
      <c r="Z75" s="10">
        <f>IFERROR(TIMEVALUE(Table2[[#This Row],[Ra]]),0)</f>
        <v>0.72565972222222219</v>
      </c>
      <c r="AA75" t="str">
        <f t="shared" si="17"/>
        <v>x</v>
      </c>
      <c r="AB75" s="12">
        <f t="shared" si="15"/>
        <v>3</v>
      </c>
      <c r="AC75" s="12" t="str">
        <f>IF(VLOOKUP(A75,Data_NV!$A:$I,7,0)="Không","",IF(OR(AND(Y75=0,Z75=0),AND(Y75&lt;&gt;0,Z75&lt;&gt;0)),"","Quên chấm công"))</f>
        <v/>
      </c>
      <c r="AD75" s="12">
        <f>IF(VLOOKUP(A75,Data_NV!$A:$I,7,0)="Không",0,IF(AND(Y75=0,Z75=0),0,IF(X75&lt;=Z75,0,ROUNDDOWN((X75-Z75)*24*60,0))))</f>
        <v>0</v>
      </c>
      <c r="AE75" s="12">
        <f>IF(VLOOKUP(A75,Data_NV!$A:$I,6,0)="Không",0,IF(Z75&lt;=X75,0,ROUNDDOWN((Z75-X75)*24*60,0)))</f>
        <v>24</v>
      </c>
      <c r="AF75" s="26">
        <f t="shared" si="16"/>
        <v>0</v>
      </c>
      <c r="AG75" s="27" t="str">
        <f>IF(AC75="","",IF(COUNTIFS($AC$3:AC75,"Quên chấm công",$S$3:S75,S75)&gt;3,"Không chấm công do vi phạm quá 3 lần",IF(COUNTIFS($AC$3:AC75,"Quên chấm công",$S$3:S75,S75)&gt;2,"Trừ toàn bộ chuyên cần tháng do vi phạm lần 3",IF(COUNTIFS($AC$3:AC75,"Quên chấm công",$S$3:S75,S75)&gt;1,"Trừ 1/2 ngày lương",50000))))</f>
        <v/>
      </c>
      <c r="AH75" s="12" t="str">
        <f>IF(AF75=0,"",IF(COUNTIFS($AF$3:AF75,"&gt;0",$S$3:S75,S75)&gt;3,"Trừ toàn bộ chuyên cần tháng",""))</f>
        <v/>
      </c>
      <c r="AI75" s="12"/>
    </row>
    <row r="76" spans="1:35" x14ac:dyDescent="0.25">
      <c r="A76" s="4" t="s">
        <v>363</v>
      </c>
      <c r="B76" s="1" t="s">
        <v>364</v>
      </c>
      <c r="C76" s="1" t="s">
        <v>19</v>
      </c>
      <c r="D76" s="1" t="s">
        <v>45</v>
      </c>
      <c r="E76" s="1" t="s">
        <v>21</v>
      </c>
      <c r="F76" s="1" t="s">
        <v>22</v>
      </c>
      <c r="G76" s="1" t="s">
        <v>12</v>
      </c>
      <c r="H76" s="1" t="s">
        <v>23</v>
      </c>
      <c r="I76" s="1" t="s">
        <v>23</v>
      </c>
      <c r="J76" s="1" t="s">
        <v>24</v>
      </c>
      <c r="K76" s="1" t="s">
        <v>24</v>
      </c>
      <c r="L76" s="1" t="s">
        <v>25</v>
      </c>
      <c r="M76" s="1" t="s">
        <v>24</v>
      </c>
      <c r="N76" s="1" t="s">
        <v>24</v>
      </c>
      <c r="O76" s="1" t="s">
        <v>24</v>
      </c>
      <c r="P76" s="1" t="s">
        <v>24</v>
      </c>
      <c r="Q76" s="1" t="s">
        <v>24</v>
      </c>
      <c r="R76" s="85" t="str">
        <f t="shared" si="14"/>
        <v>6245914</v>
      </c>
      <c r="S76" t="str">
        <f>VLOOKUP(A76,Data_NV!$A:$C,3,0)</f>
        <v>Nguyễn Thị Út Hương</v>
      </c>
      <c r="T76" t="str">
        <f>VLOOKUP(A76,Data_NV!$A:$E,4,0)</f>
        <v>Kế toán - Văn phòng</v>
      </c>
      <c r="U76" s="82">
        <f>DATEVALUE(Table2[[#This Row],[Ngày]])</f>
        <v>45914</v>
      </c>
      <c r="V76" t="str">
        <f>VLOOKUP(A76,Data_NV!$A:$E,5,0)</f>
        <v>Đang làm việc</v>
      </c>
      <c r="W76" s="10">
        <f>VLOOKUP(A76,Data_NV!$A:$I,8,0)</f>
        <v>0.33333333333333331</v>
      </c>
      <c r="X76" s="10">
        <f>VLOOKUP(A76,Data_NV!$A:$I,9,0)</f>
        <v>0.70833333333333337</v>
      </c>
      <c r="Y76" s="10">
        <f>IFERROR(TIMEVALUE(Table2[[#This Row],[Vào]]),0)</f>
        <v>0</v>
      </c>
      <c r="Z76" s="10">
        <f>IFERROR(TIMEVALUE(Table2[[#This Row],[Ra]]),0)</f>
        <v>0</v>
      </c>
      <c r="AA76" t="str">
        <f t="shared" si="17"/>
        <v>Chủ nhật</v>
      </c>
      <c r="AB76" s="12">
        <f t="shared" si="15"/>
        <v>0</v>
      </c>
      <c r="AC76" s="12" t="str">
        <f>IF(VLOOKUP(A76,Data_NV!$A:$I,7,0)="Không","",IF(OR(AND(Y76=0,Z76=0),AND(Y76&lt;&gt;0,Z76&lt;&gt;0)),"","Quên chấm công"))</f>
        <v/>
      </c>
      <c r="AD76" s="12">
        <f>IF(VLOOKUP(A76,Data_NV!$A:$I,7,0)="Không",0,IF(AND(Y76=0,Z76=0),0,IF(X76&lt;=Z76,0,ROUNDDOWN((X76-Z76)*24*60,0))))</f>
        <v>0</v>
      </c>
      <c r="AE76" s="12">
        <f>IF(VLOOKUP(A76,Data_NV!$A:$I,6,0)="Không",0,IF(Z76&lt;=X76,0,ROUNDDOWN((Z76-X76)*24*60,0)))</f>
        <v>0</v>
      </c>
      <c r="AF76" s="26">
        <f t="shared" si="16"/>
        <v>0</v>
      </c>
      <c r="AG76" s="27" t="str">
        <f>IF(AC76="","",IF(COUNTIFS($AC$3:AC76,"Quên chấm công",$S$3:S76,S76)&gt;3,"Không chấm công do vi phạm quá 3 lần",IF(COUNTIFS($AC$3:AC76,"Quên chấm công",$S$3:S76,S76)&gt;2,"Trừ toàn bộ chuyên cần tháng do vi phạm lần 3",IF(COUNTIFS($AC$3:AC76,"Quên chấm công",$S$3:S76,S76)&gt;1,"Trừ 1/2 ngày lương",50000))))</f>
        <v/>
      </c>
      <c r="AH76" s="12" t="str">
        <f>IF(AF76=0,"",IF(COUNTIFS($AF$3:AF76,"&gt;0",$S$3:S76,S76)&gt;3,"Trừ toàn bộ chuyên cần tháng",""))</f>
        <v/>
      </c>
      <c r="AI76" s="12"/>
    </row>
    <row r="77" spans="1:35" x14ac:dyDescent="0.25">
      <c r="A77" s="4" t="s">
        <v>363</v>
      </c>
      <c r="B77" s="1" t="s">
        <v>364</v>
      </c>
      <c r="C77" s="1" t="s">
        <v>19</v>
      </c>
      <c r="D77" s="1" t="s">
        <v>46</v>
      </c>
      <c r="E77" s="1" t="s">
        <v>21</v>
      </c>
      <c r="F77" s="1" t="s">
        <v>22</v>
      </c>
      <c r="G77" s="1" t="s">
        <v>28</v>
      </c>
      <c r="H77" s="1" t="s">
        <v>338</v>
      </c>
      <c r="I77" s="1" t="s">
        <v>386</v>
      </c>
      <c r="J77" s="1" t="s">
        <v>24</v>
      </c>
      <c r="K77" s="1" t="s">
        <v>196</v>
      </c>
      <c r="L77" s="1" t="s">
        <v>24</v>
      </c>
      <c r="M77" s="1" t="s">
        <v>25</v>
      </c>
      <c r="N77" s="1" t="s">
        <v>24</v>
      </c>
      <c r="O77" s="1" t="s">
        <v>197</v>
      </c>
      <c r="P77" s="1" t="s">
        <v>24</v>
      </c>
      <c r="Q77" s="1" t="s">
        <v>24</v>
      </c>
      <c r="R77" s="85" t="str">
        <f t="shared" ref="R77:R110" si="18">A77&amp;U77</f>
        <v>6245915</v>
      </c>
      <c r="S77" t="str">
        <f>VLOOKUP(A77,Data_NV!$A:$C,3,0)</f>
        <v>Nguyễn Thị Út Hương</v>
      </c>
      <c r="T77" t="str">
        <f>VLOOKUP(A77,Data_NV!$A:$E,4,0)</f>
        <v>Kế toán - Văn phòng</v>
      </c>
      <c r="U77" s="82">
        <f>DATEVALUE(Table2[[#This Row],[Ngày]])</f>
        <v>45915</v>
      </c>
      <c r="V77" t="str">
        <f>VLOOKUP(A77,Data_NV!$A:$E,5,0)</f>
        <v>Đang làm việc</v>
      </c>
      <c r="W77" s="10">
        <f>VLOOKUP(A77,Data_NV!$A:$I,8,0)</f>
        <v>0.33333333333333331</v>
      </c>
      <c r="X77" s="10">
        <f>VLOOKUP(A77,Data_NV!$A:$I,9,0)</f>
        <v>0.70833333333333337</v>
      </c>
      <c r="Y77" s="10">
        <f>IFERROR(TIMEVALUE(Table2[[#This Row],[Vào]]),0)</f>
        <v>0.33244212962962966</v>
      </c>
      <c r="Z77" s="10">
        <f>IFERROR(TIMEVALUE(Table2[[#This Row],[Ra]]),0)</f>
        <v>0.7391550925925926</v>
      </c>
      <c r="AA77" t="str">
        <f t="shared" ref="AA77:AA110" si="19">IF(TEXT($U77,"ddd")="CN","Chủ nhật",IF(OR(AND(Y77=0,Z77=0),AG77="Không chấm công do vi phạm quá 3 lần"),"",IF(OR(AG77="Trừ 1/2 ngày lương",AF77="Trừ 1/2 ngày lương",AB77&gt;=60),"1/2","x")))</f>
        <v>x</v>
      </c>
      <c r="AB77" s="12">
        <f t="shared" si="15"/>
        <v>0</v>
      </c>
      <c r="AC77" s="12" t="str">
        <f>IF(VLOOKUP(A77,Data_NV!$A:$I,7,0)="Không","",IF(OR(AND(Y77=0,Z77=0),AND(Y77&lt;&gt;0,Z77&lt;&gt;0)),"","Quên chấm công"))</f>
        <v/>
      </c>
      <c r="AD77" s="12">
        <f>IF(VLOOKUP(A77,Data_NV!$A:$I,7,0)="Không",0,IF(AND(Y77=0,Z77=0),0,IF(X77&lt;=Z77,0,ROUNDDOWN((X77-Z77)*24*60,0))))</f>
        <v>0</v>
      </c>
      <c r="AE77" s="12">
        <f>IF(VLOOKUP(A77,Data_NV!$A:$I,6,0)="Không",0,IF(Z77&lt;=X77,0,ROUNDDOWN((Z77-X77)*24*60,0)))</f>
        <v>44</v>
      </c>
      <c r="AF77" s="26">
        <f t="shared" ref="AF77:AF110" si="20">IF(AB77&gt;60,"Trừ 1/2 ngày lương",IF(AB77&gt;15,50000,IF(AB77&gt;6,30000,0)))</f>
        <v>0</v>
      </c>
      <c r="AG77" s="27" t="str">
        <f>IF(AC77="","",IF(COUNTIFS($AC$3:AC77,"Quên chấm công",$S$3:S77,S77)&gt;3,"Không chấm công do vi phạm quá 3 lần",IF(COUNTIFS($AC$3:AC77,"Quên chấm công",$S$3:S77,S77)&gt;2,"Trừ toàn bộ chuyên cần tháng do vi phạm lần 3",IF(COUNTIFS($AC$3:AC77,"Quên chấm công",$S$3:S77,S77)&gt;1,"Trừ 1/2 ngày lương",50000))))</f>
        <v/>
      </c>
      <c r="AH77" s="12" t="str">
        <f>IF(AF77=0,"",IF(COUNTIFS($AF$3:AF77,"&gt;0",$S$3:S77,S77)&gt;3,"Trừ toàn bộ chuyên cần tháng",""))</f>
        <v/>
      </c>
      <c r="AI77" s="12"/>
    </row>
    <row r="78" spans="1:35" x14ac:dyDescent="0.25">
      <c r="A78" s="4" t="s">
        <v>363</v>
      </c>
      <c r="B78" s="1" t="s">
        <v>364</v>
      </c>
      <c r="C78" s="1" t="s">
        <v>19</v>
      </c>
      <c r="D78" s="1" t="s">
        <v>47</v>
      </c>
      <c r="E78" s="1" t="s">
        <v>21</v>
      </c>
      <c r="F78" s="1" t="s">
        <v>351</v>
      </c>
      <c r="G78" s="1" t="s">
        <v>28</v>
      </c>
      <c r="H78" s="1" t="s">
        <v>228</v>
      </c>
      <c r="I78" s="1" t="s">
        <v>387</v>
      </c>
      <c r="J78" s="1" t="s">
        <v>24</v>
      </c>
      <c r="K78" s="1" t="s">
        <v>388</v>
      </c>
      <c r="L78" s="1" t="s">
        <v>24</v>
      </c>
      <c r="M78" s="1" t="s">
        <v>352</v>
      </c>
      <c r="N78" s="1" t="s">
        <v>24</v>
      </c>
      <c r="O78" s="1" t="s">
        <v>24</v>
      </c>
      <c r="P78" s="1" t="s">
        <v>24</v>
      </c>
      <c r="Q78" s="1" t="s">
        <v>24</v>
      </c>
      <c r="R78" s="85" t="str">
        <f t="shared" si="18"/>
        <v>6245916</v>
      </c>
      <c r="S78" t="str">
        <f>VLOOKUP(A78,Data_NV!$A:$C,3,0)</f>
        <v>Nguyễn Thị Út Hương</v>
      </c>
      <c r="T78" t="str">
        <f>VLOOKUP(A78,Data_NV!$A:$E,4,0)</f>
        <v>Kế toán - Văn phòng</v>
      </c>
      <c r="U78" s="82">
        <f>DATEVALUE(Table2[[#This Row],[Ngày]])</f>
        <v>45916</v>
      </c>
      <c r="V78" t="str">
        <f>VLOOKUP(A78,Data_NV!$A:$E,5,0)</f>
        <v>Đang làm việc</v>
      </c>
      <c r="W78" s="10">
        <f>VLOOKUP(A78,Data_NV!$A:$I,8,0)</f>
        <v>0.33333333333333331</v>
      </c>
      <c r="X78" s="10">
        <f>VLOOKUP(A78,Data_NV!$A:$I,9,0)</f>
        <v>0.70833333333333337</v>
      </c>
      <c r="Y78" s="10">
        <f>IFERROR(TIMEVALUE(Table2[[#This Row],[Vào]]),0)</f>
        <v>0.33114583333333331</v>
      </c>
      <c r="Z78" s="10">
        <f>IFERROR(TIMEVALUE(Table2[[#This Row],[Ra]]),0)</f>
        <v>0.50446759259259255</v>
      </c>
      <c r="AA78" t="str">
        <f t="shared" si="19"/>
        <v>x</v>
      </c>
      <c r="AB78" s="12">
        <f t="shared" si="15"/>
        <v>0</v>
      </c>
      <c r="AC78" s="12" t="str">
        <f>IF(VLOOKUP(A78,Data_NV!$A:$I,7,0)="Không","",IF(OR(AND(Y78=0,Z78=0),AND(Y78&lt;&gt;0,Z78&lt;&gt;0)),"","Quên chấm công"))</f>
        <v/>
      </c>
      <c r="AD78" s="12">
        <f>IF(VLOOKUP(A78,Data_NV!$A:$I,7,0)="Không",0,IF(AND(Y78=0,Z78=0),0,IF(X78&lt;=Z78,0,ROUNDDOWN((X78-Z78)*24*60,0))))</f>
        <v>293</v>
      </c>
      <c r="AE78" s="12">
        <f>IF(VLOOKUP(A78,Data_NV!$A:$I,6,0)="Không",0,IF(Z78&lt;=X78,0,ROUNDDOWN((Z78-X78)*24*60,0)))</f>
        <v>0</v>
      </c>
      <c r="AF78" s="26">
        <f t="shared" si="20"/>
        <v>0</v>
      </c>
      <c r="AG78" s="27" t="str">
        <f>IF(AC78="","",IF(COUNTIFS($AC$3:AC78,"Quên chấm công",$S$3:S78,S78)&gt;3,"Không chấm công do vi phạm quá 3 lần",IF(COUNTIFS($AC$3:AC78,"Quên chấm công",$S$3:S78,S78)&gt;2,"Trừ toàn bộ chuyên cần tháng do vi phạm lần 3",IF(COUNTIFS($AC$3:AC78,"Quên chấm công",$S$3:S78,S78)&gt;1,"Trừ 1/2 ngày lương",50000))))</f>
        <v/>
      </c>
      <c r="AH78" s="12" t="str">
        <f>IF(AF78=0,"",IF(COUNTIFS($AF$3:AF78,"&gt;0",$S$3:S78,S78)&gt;3,"Trừ toàn bộ chuyên cần tháng",""))</f>
        <v/>
      </c>
      <c r="AI78" s="12"/>
    </row>
    <row r="79" spans="1:35" x14ac:dyDescent="0.25">
      <c r="A79" s="4" t="s">
        <v>363</v>
      </c>
      <c r="B79" s="1" t="s">
        <v>364</v>
      </c>
      <c r="C79" s="1" t="s">
        <v>19</v>
      </c>
      <c r="D79" s="1" t="s">
        <v>48</v>
      </c>
      <c r="E79" s="1" t="s">
        <v>21</v>
      </c>
      <c r="F79" s="1" t="s">
        <v>22</v>
      </c>
      <c r="G79" s="1" t="s">
        <v>28</v>
      </c>
      <c r="H79" s="1" t="s">
        <v>389</v>
      </c>
      <c r="I79" s="1" t="s">
        <v>390</v>
      </c>
      <c r="J79" s="1" t="s">
        <v>24</v>
      </c>
      <c r="K79" s="1" t="s">
        <v>207</v>
      </c>
      <c r="L79" s="1" t="s">
        <v>24</v>
      </c>
      <c r="M79" s="1" t="s">
        <v>25</v>
      </c>
      <c r="N79" s="1" t="s">
        <v>24</v>
      </c>
      <c r="O79" s="1" t="s">
        <v>208</v>
      </c>
      <c r="P79" s="1" t="s">
        <v>24</v>
      </c>
      <c r="Q79" s="1" t="s">
        <v>24</v>
      </c>
      <c r="R79" s="85" t="str">
        <f t="shared" si="18"/>
        <v>6245917</v>
      </c>
      <c r="S79" t="str">
        <f>VLOOKUP(A79,Data_NV!$A:$C,3,0)</f>
        <v>Nguyễn Thị Út Hương</v>
      </c>
      <c r="T79" t="str">
        <f>VLOOKUP(A79,Data_NV!$A:$E,4,0)</f>
        <v>Kế toán - Văn phòng</v>
      </c>
      <c r="U79" s="82">
        <f>DATEVALUE(Table2[[#This Row],[Ngày]])</f>
        <v>45917</v>
      </c>
      <c r="V79" t="str">
        <f>VLOOKUP(A79,Data_NV!$A:$E,5,0)</f>
        <v>Đang làm việc</v>
      </c>
      <c r="W79" s="10">
        <f>VLOOKUP(A79,Data_NV!$A:$I,8,0)</f>
        <v>0.33333333333333331</v>
      </c>
      <c r="X79" s="10">
        <f>VLOOKUP(A79,Data_NV!$A:$I,9,0)</f>
        <v>0.70833333333333337</v>
      </c>
      <c r="Y79" s="10">
        <f>IFERROR(TIMEVALUE(Table2[[#This Row],[Vào]]),0)</f>
        <v>0.33171296296296299</v>
      </c>
      <c r="Z79" s="10">
        <f>IFERROR(TIMEVALUE(Table2[[#This Row],[Ra]]),0)</f>
        <v>0.73524305555555558</v>
      </c>
      <c r="AA79" t="str">
        <f t="shared" si="19"/>
        <v>x</v>
      </c>
      <c r="AB79" s="12">
        <f t="shared" si="15"/>
        <v>0</v>
      </c>
      <c r="AC79" s="12" t="str">
        <f>IF(VLOOKUP(A79,Data_NV!$A:$I,7,0)="Không","",IF(OR(AND(Y79=0,Z79=0),AND(Y79&lt;&gt;0,Z79&lt;&gt;0)),"","Quên chấm công"))</f>
        <v/>
      </c>
      <c r="AD79" s="12">
        <f>IF(VLOOKUP(A79,Data_NV!$A:$I,7,0)="Không",0,IF(AND(Y79=0,Z79=0),0,IF(X79&lt;=Z79,0,ROUNDDOWN((X79-Z79)*24*60,0))))</f>
        <v>0</v>
      </c>
      <c r="AE79" s="12">
        <f>IF(VLOOKUP(A79,Data_NV!$A:$I,6,0)="Không",0,IF(Z79&lt;=X79,0,ROUNDDOWN((Z79-X79)*24*60,0)))</f>
        <v>38</v>
      </c>
      <c r="AF79" s="26">
        <f t="shared" si="20"/>
        <v>0</v>
      </c>
      <c r="AG79" s="27" t="str">
        <f>IF(AC79="","",IF(COUNTIFS($AC$3:AC79,"Quên chấm công",$S$3:S79,S79)&gt;3,"Không chấm công do vi phạm quá 3 lần",IF(COUNTIFS($AC$3:AC79,"Quên chấm công",$S$3:S79,S79)&gt;2,"Trừ toàn bộ chuyên cần tháng do vi phạm lần 3",IF(COUNTIFS($AC$3:AC79,"Quên chấm công",$S$3:S79,S79)&gt;1,"Trừ 1/2 ngày lương",50000))))</f>
        <v/>
      </c>
      <c r="AH79" s="12" t="str">
        <f>IF(AF79=0,"",IF(COUNTIFS($AF$3:AF79,"&gt;0",$S$3:S79,S79)&gt;3,"Trừ toàn bộ chuyên cần tháng",""))</f>
        <v/>
      </c>
      <c r="AI79" s="12"/>
    </row>
    <row r="80" spans="1:35" x14ac:dyDescent="0.25">
      <c r="A80" s="4" t="s">
        <v>363</v>
      </c>
      <c r="B80" s="1" t="s">
        <v>364</v>
      </c>
      <c r="C80" s="1" t="s">
        <v>19</v>
      </c>
      <c r="D80" s="1" t="s">
        <v>50</v>
      </c>
      <c r="E80" s="1" t="s">
        <v>21</v>
      </c>
      <c r="F80" s="1" t="s">
        <v>22</v>
      </c>
      <c r="G80" s="1" t="s">
        <v>28</v>
      </c>
      <c r="H80" s="1" t="s">
        <v>391</v>
      </c>
      <c r="I80" s="1" t="s">
        <v>392</v>
      </c>
      <c r="J80" s="1" t="s">
        <v>24</v>
      </c>
      <c r="K80" s="1" t="s">
        <v>393</v>
      </c>
      <c r="L80" s="1" t="s">
        <v>24</v>
      </c>
      <c r="M80" s="1" t="s">
        <v>25</v>
      </c>
      <c r="N80" s="1" t="s">
        <v>24</v>
      </c>
      <c r="O80" s="1" t="s">
        <v>226</v>
      </c>
      <c r="P80" s="1" t="s">
        <v>24</v>
      </c>
      <c r="Q80" s="1" t="s">
        <v>24</v>
      </c>
      <c r="R80" s="85" t="str">
        <f t="shared" si="18"/>
        <v>6245918</v>
      </c>
      <c r="S80" t="str">
        <f>VLOOKUP(A80,Data_NV!$A:$C,3,0)</f>
        <v>Nguyễn Thị Út Hương</v>
      </c>
      <c r="T80" t="str">
        <f>VLOOKUP(A80,Data_NV!$A:$E,4,0)</f>
        <v>Kế toán - Văn phòng</v>
      </c>
      <c r="U80" s="82">
        <f>DATEVALUE(Table2[[#This Row],[Ngày]])</f>
        <v>45918</v>
      </c>
      <c r="V80" t="str">
        <f>VLOOKUP(A80,Data_NV!$A:$E,5,0)</f>
        <v>Đang làm việc</v>
      </c>
      <c r="W80" s="10">
        <f>VLOOKUP(A80,Data_NV!$A:$I,8,0)</f>
        <v>0.33333333333333331</v>
      </c>
      <c r="X80" s="10">
        <f>VLOOKUP(A80,Data_NV!$A:$I,9,0)</f>
        <v>0.70833333333333337</v>
      </c>
      <c r="Y80" s="10">
        <f>IFERROR(TIMEVALUE(Table2[[#This Row],[Vào]]),0)</f>
        <v>0.3308564814814815</v>
      </c>
      <c r="Z80" s="10">
        <f>IFERROR(TIMEVALUE(Table2[[#This Row],[Ra]]),0)</f>
        <v>0.72956018518518517</v>
      </c>
      <c r="AA80" t="str">
        <f t="shared" si="19"/>
        <v>x</v>
      </c>
      <c r="AB80" s="12">
        <f t="shared" si="15"/>
        <v>0</v>
      </c>
      <c r="AC80" s="12" t="str">
        <f>IF(VLOOKUP(A80,Data_NV!$A:$I,7,0)="Không","",IF(OR(AND(Y80=0,Z80=0),AND(Y80&lt;&gt;0,Z80&lt;&gt;0)),"","Quên chấm công"))</f>
        <v/>
      </c>
      <c r="AD80" s="12">
        <f>IF(VLOOKUP(A80,Data_NV!$A:$I,7,0)="Không",0,IF(AND(Y80=0,Z80=0),0,IF(X80&lt;=Z80,0,ROUNDDOWN((X80-Z80)*24*60,0))))</f>
        <v>0</v>
      </c>
      <c r="AE80" s="12">
        <f>IF(VLOOKUP(A80,Data_NV!$A:$I,6,0)="Không",0,IF(Z80&lt;=X80,0,ROUNDDOWN((Z80-X80)*24*60,0)))</f>
        <v>30</v>
      </c>
      <c r="AF80" s="26">
        <f t="shared" si="20"/>
        <v>0</v>
      </c>
      <c r="AG80" s="27" t="str">
        <f>IF(AC80="","",IF(COUNTIFS($AC$3:AC80,"Quên chấm công",$S$3:S80,S80)&gt;3,"Không chấm công do vi phạm quá 3 lần",IF(COUNTIFS($AC$3:AC80,"Quên chấm công",$S$3:S80,S80)&gt;2,"Trừ toàn bộ chuyên cần tháng do vi phạm lần 3",IF(COUNTIFS($AC$3:AC80,"Quên chấm công",$S$3:S80,S80)&gt;1,"Trừ 1/2 ngày lương",50000))))</f>
        <v/>
      </c>
      <c r="AH80" s="12" t="str">
        <f>IF(AF80=0,"",IF(COUNTIFS($AF$3:AF80,"&gt;0",$S$3:S80,S80)&gt;3,"Trừ toàn bộ chuyên cần tháng",""))</f>
        <v/>
      </c>
      <c r="AI80" s="12"/>
    </row>
    <row r="81" spans="1:35" x14ac:dyDescent="0.25">
      <c r="A81" s="4" t="s">
        <v>363</v>
      </c>
      <c r="B81" s="1" t="s">
        <v>364</v>
      </c>
      <c r="C81" s="1" t="s">
        <v>19</v>
      </c>
      <c r="D81" s="1" t="s">
        <v>51</v>
      </c>
      <c r="E81" s="1" t="s">
        <v>21</v>
      </c>
      <c r="F81" s="1" t="s">
        <v>22</v>
      </c>
      <c r="G81" s="1" t="s">
        <v>28</v>
      </c>
      <c r="H81" s="1" t="s">
        <v>394</v>
      </c>
      <c r="I81" s="1" t="s">
        <v>395</v>
      </c>
      <c r="J81" s="1" t="s">
        <v>24</v>
      </c>
      <c r="K81" s="1" t="s">
        <v>396</v>
      </c>
      <c r="L81" s="1" t="s">
        <v>24</v>
      </c>
      <c r="M81" s="1" t="s">
        <v>25</v>
      </c>
      <c r="N81" s="1" t="s">
        <v>24</v>
      </c>
      <c r="O81" s="1" t="s">
        <v>168</v>
      </c>
      <c r="P81" s="1" t="s">
        <v>24</v>
      </c>
      <c r="Q81" s="1" t="s">
        <v>24</v>
      </c>
      <c r="R81" s="85" t="str">
        <f t="shared" si="18"/>
        <v>6245919</v>
      </c>
      <c r="S81" t="str">
        <f>VLOOKUP(A81,Data_NV!$A:$C,3,0)</f>
        <v>Nguyễn Thị Út Hương</v>
      </c>
      <c r="T81" t="str">
        <f>VLOOKUP(A81,Data_NV!$A:$E,4,0)</f>
        <v>Kế toán - Văn phòng</v>
      </c>
      <c r="U81" s="82">
        <f>DATEVALUE(Table2[[#This Row],[Ngày]])</f>
        <v>45919</v>
      </c>
      <c r="V81" t="str">
        <f>VLOOKUP(A81,Data_NV!$A:$E,5,0)</f>
        <v>Đang làm việc</v>
      </c>
      <c r="W81" s="10">
        <f>VLOOKUP(A81,Data_NV!$A:$I,8,0)</f>
        <v>0.33333333333333331</v>
      </c>
      <c r="X81" s="10">
        <f>VLOOKUP(A81,Data_NV!$A:$I,9,0)</f>
        <v>0.70833333333333337</v>
      </c>
      <c r="Y81" s="10">
        <f>IFERROR(TIMEVALUE(Table2[[#This Row],[Vào]]),0)</f>
        <v>0.33148148148148149</v>
      </c>
      <c r="Z81" s="10">
        <f>IFERROR(TIMEVALUE(Table2[[#This Row],[Ra]]),0)</f>
        <v>0.73413194444444441</v>
      </c>
      <c r="AA81" t="str">
        <f t="shared" si="19"/>
        <v>x</v>
      </c>
      <c r="AB81" s="12">
        <f t="shared" si="15"/>
        <v>0</v>
      </c>
      <c r="AC81" s="12" t="str">
        <f>IF(VLOOKUP(A81,Data_NV!$A:$I,7,0)="Không","",IF(OR(AND(Y81=0,Z81=0),AND(Y81&lt;&gt;0,Z81&lt;&gt;0)),"","Quên chấm công"))</f>
        <v/>
      </c>
      <c r="AD81" s="12">
        <f>IF(VLOOKUP(A81,Data_NV!$A:$I,7,0)="Không",0,IF(AND(Y81=0,Z81=0),0,IF(X81&lt;=Z81,0,ROUNDDOWN((X81-Z81)*24*60,0))))</f>
        <v>0</v>
      </c>
      <c r="AE81" s="12">
        <f>IF(VLOOKUP(A81,Data_NV!$A:$I,6,0)="Không",0,IF(Z81&lt;=X81,0,ROUNDDOWN((Z81-X81)*24*60,0)))</f>
        <v>37</v>
      </c>
      <c r="AF81" s="26">
        <f t="shared" si="20"/>
        <v>0</v>
      </c>
      <c r="AG81" s="27" t="str">
        <f>IF(AC81="","",IF(COUNTIFS($AC$3:AC81,"Quên chấm công",$S$3:S81,S81)&gt;3,"Không chấm công do vi phạm quá 3 lần",IF(COUNTIFS($AC$3:AC81,"Quên chấm công",$S$3:S81,S81)&gt;2,"Trừ toàn bộ chuyên cần tháng do vi phạm lần 3",IF(COUNTIFS($AC$3:AC81,"Quên chấm công",$S$3:S81,S81)&gt;1,"Trừ 1/2 ngày lương",50000))))</f>
        <v/>
      </c>
      <c r="AH81" s="12" t="str">
        <f>IF(AF81=0,"",IF(COUNTIFS($AF$3:AF81,"&gt;0",$S$3:S81,S81)&gt;3,"Trừ toàn bộ chuyên cần tháng",""))</f>
        <v/>
      </c>
      <c r="AI81" s="12"/>
    </row>
    <row r="82" spans="1:35" x14ac:dyDescent="0.25">
      <c r="A82" s="4" t="s">
        <v>363</v>
      </c>
      <c r="B82" s="1" t="s">
        <v>364</v>
      </c>
      <c r="C82" s="1" t="s">
        <v>19</v>
      </c>
      <c r="D82" s="1" t="s">
        <v>54</v>
      </c>
      <c r="E82" s="1" t="s">
        <v>21</v>
      </c>
      <c r="F82" s="1" t="s">
        <v>22</v>
      </c>
      <c r="G82" s="1" t="s">
        <v>28</v>
      </c>
      <c r="H82" s="1" t="s">
        <v>353</v>
      </c>
      <c r="I82" s="1" t="s">
        <v>397</v>
      </c>
      <c r="J82" s="1" t="s">
        <v>24</v>
      </c>
      <c r="K82" s="1" t="s">
        <v>244</v>
      </c>
      <c r="L82" s="1" t="s">
        <v>24</v>
      </c>
      <c r="M82" s="1" t="s">
        <v>25</v>
      </c>
      <c r="N82" s="1" t="s">
        <v>24</v>
      </c>
      <c r="O82" s="1" t="s">
        <v>334</v>
      </c>
      <c r="P82" s="1" t="s">
        <v>24</v>
      </c>
      <c r="Q82" s="1" t="s">
        <v>24</v>
      </c>
      <c r="R82" s="85" t="str">
        <f t="shared" si="18"/>
        <v>6245920</v>
      </c>
      <c r="S82" t="str">
        <f>VLOOKUP(A82,Data_NV!$A:$C,3,0)</f>
        <v>Nguyễn Thị Út Hương</v>
      </c>
      <c r="T82" t="str">
        <f>VLOOKUP(A82,Data_NV!$A:$E,4,0)</f>
        <v>Kế toán - Văn phòng</v>
      </c>
      <c r="U82" s="82">
        <f>DATEVALUE(Table2[[#This Row],[Ngày]])</f>
        <v>45920</v>
      </c>
      <c r="V82" t="str">
        <f>VLOOKUP(A82,Data_NV!$A:$E,5,0)</f>
        <v>Đang làm việc</v>
      </c>
      <c r="W82" s="10">
        <f>VLOOKUP(A82,Data_NV!$A:$I,8,0)</f>
        <v>0.33333333333333331</v>
      </c>
      <c r="X82" s="10">
        <f>VLOOKUP(A82,Data_NV!$A:$I,9,0)</f>
        <v>0.70833333333333337</v>
      </c>
      <c r="Y82" s="10">
        <f>IFERROR(TIMEVALUE(Table2[[#This Row],[Vào]]),0)</f>
        <v>0.32989583333333333</v>
      </c>
      <c r="Z82" s="10">
        <f>IFERROR(TIMEVALUE(Table2[[#This Row],[Ra]]),0)</f>
        <v>0.73053240740740744</v>
      </c>
      <c r="AA82" t="str">
        <f t="shared" si="19"/>
        <v>x</v>
      </c>
      <c r="AB82" s="12">
        <f t="shared" si="15"/>
        <v>0</v>
      </c>
      <c r="AC82" s="12" t="str">
        <f>IF(VLOOKUP(A82,Data_NV!$A:$I,7,0)="Không","",IF(OR(AND(Y82=0,Z82=0),AND(Y82&lt;&gt;0,Z82&lt;&gt;0)),"","Quên chấm công"))</f>
        <v/>
      </c>
      <c r="AD82" s="12">
        <f>IF(VLOOKUP(A82,Data_NV!$A:$I,7,0)="Không",0,IF(AND(Y82=0,Z82=0),0,IF(X82&lt;=Z82,0,ROUNDDOWN((X82-Z82)*24*60,0))))</f>
        <v>0</v>
      </c>
      <c r="AE82" s="12">
        <f>IF(VLOOKUP(A82,Data_NV!$A:$I,6,0)="Không",0,IF(Z82&lt;=X82,0,ROUNDDOWN((Z82-X82)*24*60,0)))</f>
        <v>31</v>
      </c>
      <c r="AF82" s="26">
        <f t="shared" si="20"/>
        <v>0</v>
      </c>
      <c r="AG82" s="27" t="str">
        <f>IF(AC82="","",IF(COUNTIFS($AC$3:AC82,"Quên chấm công",$S$3:S82,S82)&gt;3,"Không chấm công do vi phạm quá 3 lần",IF(COUNTIFS($AC$3:AC82,"Quên chấm công",$S$3:S82,S82)&gt;2,"Trừ toàn bộ chuyên cần tháng do vi phạm lần 3",IF(COUNTIFS($AC$3:AC82,"Quên chấm công",$S$3:S82,S82)&gt;1,"Trừ 1/2 ngày lương",50000))))</f>
        <v/>
      </c>
      <c r="AH82" s="12" t="str">
        <f>IF(AF82=0,"",IF(COUNTIFS($AF$3:AF82,"&gt;0",$S$3:S82,S82)&gt;3,"Trừ toàn bộ chuyên cần tháng",""))</f>
        <v/>
      </c>
      <c r="AI82" s="12"/>
    </row>
    <row r="83" spans="1:35" x14ac:dyDescent="0.25">
      <c r="A83" s="4" t="s">
        <v>363</v>
      </c>
      <c r="B83" s="1" t="s">
        <v>364</v>
      </c>
      <c r="C83" s="1" t="s">
        <v>19</v>
      </c>
      <c r="D83" s="1" t="s">
        <v>57</v>
      </c>
      <c r="E83" s="1" t="s">
        <v>21</v>
      </c>
      <c r="F83" s="1" t="s">
        <v>22</v>
      </c>
      <c r="G83" s="1" t="s">
        <v>12</v>
      </c>
      <c r="H83" s="1" t="s">
        <v>23</v>
      </c>
      <c r="I83" s="1" t="s">
        <v>23</v>
      </c>
      <c r="J83" s="1" t="s">
        <v>24</v>
      </c>
      <c r="K83" s="1" t="s">
        <v>24</v>
      </c>
      <c r="L83" s="1" t="s">
        <v>25</v>
      </c>
      <c r="M83" s="1" t="s">
        <v>24</v>
      </c>
      <c r="N83" s="1" t="s">
        <v>24</v>
      </c>
      <c r="O83" s="1" t="s">
        <v>24</v>
      </c>
      <c r="P83" s="1" t="s">
        <v>24</v>
      </c>
      <c r="Q83" s="1" t="s">
        <v>24</v>
      </c>
      <c r="R83" s="85" t="str">
        <f t="shared" si="18"/>
        <v>6245921</v>
      </c>
      <c r="S83" t="str">
        <f>VLOOKUP(A83,Data_NV!$A:$C,3,0)</f>
        <v>Nguyễn Thị Út Hương</v>
      </c>
      <c r="T83" t="str">
        <f>VLOOKUP(A83,Data_NV!$A:$E,4,0)</f>
        <v>Kế toán - Văn phòng</v>
      </c>
      <c r="U83" s="82">
        <f>DATEVALUE(Table2[[#This Row],[Ngày]])</f>
        <v>45921</v>
      </c>
      <c r="V83" t="str">
        <f>VLOOKUP(A83,Data_NV!$A:$E,5,0)</f>
        <v>Đang làm việc</v>
      </c>
      <c r="W83" s="10">
        <f>VLOOKUP(A83,Data_NV!$A:$I,8,0)</f>
        <v>0.33333333333333331</v>
      </c>
      <c r="X83" s="10">
        <f>VLOOKUP(A83,Data_NV!$A:$I,9,0)</f>
        <v>0.70833333333333337</v>
      </c>
      <c r="Y83" s="10">
        <f>IFERROR(TIMEVALUE(Table2[[#This Row],[Vào]]),0)</f>
        <v>0</v>
      </c>
      <c r="Z83" s="10">
        <f>IFERROR(TIMEVALUE(Table2[[#This Row],[Ra]]),0)</f>
        <v>0</v>
      </c>
      <c r="AA83" t="str">
        <f t="shared" si="19"/>
        <v>Chủ nhật</v>
      </c>
      <c r="AB83" s="12">
        <f t="shared" si="15"/>
        <v>0</v>
      </c>
      <c r="AC83" s="12" t="str">
        <f>IF(VLOOKUP(A83,Data_NV!$A:$I,7,0)="Không","",IF(OR(AND(Y83=0,Z83=0),AND(Y83&lt;&gt;0,Z83&lt;&gt;0)),"","Quên chấm công"))</f>
        <v/>
      </c>
      <c r="AD83" s="12">
        <f>IF(VLOOKUP(A83,Data_NV!$A:$I,7,0)="Không",0,IF(AND(Y83=0,Z83=0),0,IF(X83&lt;=Z83,0,ROUNDDOWN((X83-Z83)*24*60,0))))</f>
        <v>0</v>
      </c>
      <c r="AE83" s="12">
        <f>IF(VLOOKUP(A83,Data_NV!$A:$I,6,0)="Không",0,IF(Z83&lt;=X83,0,ROUNDDOWN((Z83-X83)*24*60,0)))</f>
        <v>0</v>
      </c>
      <c r="AF83" s="26">
        <f t="shared" si="20"/>
        <v>0</v>
      </c>
      <c r="AG83" s="27" t="str">
        <f>IF(AC83="","",IF(COUNTIFS($AC$3:AC83,"Quên chấm công",$S$3:S83,S83)&gt;3,"Không chấm công do vi phạm quá 3 lần",IF(COUNTIFS($AC$3:AC83,"Quên chấm công",$S$3:S83,S83)&gt;2,"Trừ toàn bộ chuyên cần tháng do vi phạm lần 3",IF(COUNTIFS($AC$3:AC83,"Quên chấm công",$S$3:S83,S83)&gt;1,"Trừ 1/2 ngày lương",50000))))</f>
        <v/>
      </c>
      <c r="AH83" s="12" t="str">
        <f>IF(AF83=0,"",IF(COUNTIFS($AF$3:AF83,"&gt;0",$S$3:S83,S83)&gt;3,"Trừ toàn bộ chuyên cần tháng",""))</f>
        <v/>
      </c>
      <c r="AI83" s="12"/>
    </row>
    <row r="84" spans="1:35" x14ac:dyDescent="0.25">
      <c r="A84" s="4" t="s">
        <v>363</v>
      </c>
      <c r="B84" s="1" t="s">
        <v>364</v>
      </c>
      <c r="C84" s="1" t="s">
        <v>19</v>
      </c>
      <c r="D84" s="1" t="s">
        <v>58</v>
      </c>
      <c r="E84" s="1" t="s">
        <v>21</v>
      </c>
      <c r="F84" s="1" t="s">
        <v>22</v>
      </c>
      <c r="G84" s="1" t="s">
        <v>28</v>
      </c>
      <c r="H84" s="1" t="s">
        <v>398</v>
      </c>
      <c r="I84" s="1" t="s">
        <v>399</v>
      </c>
      <c r="J84" s="1" t="s">
        <v>24</v>
      </c>
      <c r="K84" s="1" t="s">
        <v>43</v>
      </c>
      <c r="L84" s="1" t="s">
        <v>24</v>
      </c>
      <c r="M84" s="1" t="s">
        <v>25</v>
      </c>
      <c r="N84" s="1" t="s">
        <v>24</v>
      </c>
      <c r="O84" s="1" t="s">
        <v>44</v>
      </c>
      <c r="P84" s="1" t="s">
        <v>24</v>
      </c>
      <c r="Q84" s="1" t="s">
        <v>24</v>
      </c>
      <c r="R84" s="85" t="str">
        <f t="shared" si="18"/>
        <v>6245922</v>
      </c>
      <c r="S84" t="str">
        <f>VLOOKUP(A84,Data_NV!$A:$C,3,0)</f>
        <v>Nguyễn Thị Út Hương</v>
      </c>
      <c r="T84" t="str">
        <f>VLOOKUP(A84,Data_NV!$A:$E,4,0)</f>
        <v>Kế toán - Văn phòng</v>
      </c>
      <c r="U84" s="82">
        <f>DATEVALUE(Table2[[#This Row],[Ngày]])</f>
        <v>45922</v>
      </c>
      <c r="V84" t="str">
        <f>VLOOKUP(A84,Data_NV!$A:$E,5,0)</f>
        <v>Đang làm việc</v>
      </c>
      <c r="W84" s="10">
        <f>VLOOKUP(A84,Data_NV!$A:$I,8,0)</f>
        <v>0.33333333333333331</v>
      </c>
      <c r="X84" s="10">
        <f>VLOOKUP(A84,Data_NV!$A:$I,9,0)</f>
        <v>0.70833333333333337</v>
      </c>
      <c r="Y84" s="10">
        <f>IFERROR(TIMEVALUE(Table2[[#This Row],[Vào]]),0)</f>
        <v>0.33050925925925928</v>
      </c>
      <c r="Z84" s="10">
        <f>IFERROR(TIMEVALUE(Table2[[#This Row],[Ra]]),0)</f>
        <v>0.74677083333333338</v>
      </c>
      <c r="AA84" t="str">
        <f t="shared" si="19"/>
        <v>x</v>
      </c>
      <c r="AB84" s="12">
        <f t="shared" si="15"/>
        <v>0</v>
      </c>
      <c r="AC84" s="12" t="str">
        <f>IF(VLOOKUP(A84,Data_NV!$A:$I,7,0)="Không","",IF(OR(AND(Y84=0,Z84=0),AND(Y84&lt;&gt;0,Z84&lt;&gt;0)),"","Quên chấm công"))</f>
        <v/>
      </c>
      <c r="AD84" s="12">
        <f>IF(VLOOKUP(A84,Data_NV!$A:$I,7,0)="Không",0,IF(AND(Y84=0,Z84=0),0,IF(X84&lt;=Z84,0,ROUNDDOWN((X84-Z84)*24*60,0))))</f>
        <v>0</v>
      </c>
      <c r="AE84" s="12">
        <f>IF(VLOOKUP(A84,Data_NV!$A:$I,6,0)="Không",0,IF(Z84&lt;=X84,0,ROUNDDOWN((Z84-X84)*24*60,0)))</f>
        <v>55</v>
      </c>
      <c r="AF84" s="26">
        <f t="shared" si="20"/>
        <v>0</v>
      </c>
      <c r="AG84" s="27" t="str">
        <f>IF(AC84="","",IF(COUNTIFS($AC$3:AC84,"Quên chấm công",$S$3:S84,S84)&gt;3,"Không chấm công do vi phạm quá 3 lần",IF(COUNTIFS($AC$3:AC84,"Quên chấm công",$S$3:S84,S84)&gt;2,"Trừ toàn bộ chuyên cần tháng do vi phạm lần 3",IF(COUNTIFS($AC$3:AC84,"Quên chấm công",$S$3:S84,S84)&gt;1,"Trừ 1/2 ngày lương",50000))))</f>
        <v/>
      </c>
      <c r="AH84" s="12" t="str">
        <f>IF(AF84=0,"",IF(COUNTIFS($AF$3:AF84,"&gt;0",$S$3:S84,S84)&gt;3,"Trừ toàn bộ chuyên cần tháng",""))</f>
        <v/>
      </c>
      <c r="AI84" s="12"/>
    </row>
    <row r="85" spans="1:35" x14ac:dyDescent="0.25">
      <c r="A85" s="4" t="s">
        <v>363</v>
      </c>
      <c r="B85" s="1" t="s">
        <v>364</v>
      </c>
      <c r="C85" s="1" t="s">
        <v>19</v>
      </c>
      <c r="D85" s="1" t="s">
        <v>59</v>
      </c>
      <c r="E85" s="1" t="s">
        <v>21</v>
      </c>
      <c r="F85" s="1" t="s">
        <v>22</v>
      </c>
      <c r="G85" s="1" t="s">
        <v>28</v>
      </c>
      <c r="H85" s="1" t="s">
        <v>400</v>
      </c>
      <c r="I85" s="1" t="s">
        <v>401</v>
      </c>
      <c r="J85" s="1" t="s">
        <v>24</v>
      </c>
      <c r="K85" s="1" t="s">
        <v>95</v>
      </c>
      <c r="L85" s="1" t="s">
        <v>24</v>
      </c>
      <c r="M85" s="1" t="s">
        <v>25</v>
      </c>
      <c r="N85" s="1" t="s">
        <v>24</v>
      </c>
      <c r="O85" s="1" t="s">
        <v>89</v>
      </c>
      <c r="P85" s="1" t="s">
        <v>24</v>
      </c>
      <c r="Q85" s="1" t="s">
        <v>24</v>
      </c>
      <c r="R85" s="85" t="str">
        <f t="shared" si="18"/>
        <v>6245923</v>
      </c>
      <c r="S85" t="str">
        <f>VLOOKUP(A85,Data_NV!$A:$C,3,0)</f>
        <v>Nguyễn Thị Út Hương</v>
      </c>
      <c r="T85" t="str">
        <f>VLOOKUP(A85,Data_NV!$A:$E,4,0)</f>
        <v>Kế toán - Văn phòng</v>
      </c>
      <c r="U85" s="82">
        <f>DATEVALUE(Table2[[#This Row],[Ngày]])</f>
        <v>45923</v>
      </c>
      <c r="V85" t="str">
        <f>VLOOKUP(A85,Data_NV!$A:$E,5,0)</f>
        <v>Đang làm việc</v>
      </c>
      <c r="W85" s="10">
        <f>VLOOKUP(A85,Data_NV!$A:$I,8,0)</f>
        <v>0.33333333333333331</v>
      </c>
      <c r="X85" s="10">
        <f>VLOOKUP(A85,Data_NV!$A:$I,9,0)</f>
        <v>0.70833333333333337</v>
      </c>
      <c r="Y85" s="10">
        <f>IFERROR(TIMEVALUE(Table2[[#This Row],[Vào]]),0)</f>
        <v>0.33131944444444444</v>
      </c>
      <c r="Z85" s="10">
        <f>IFERROR(TIMEVALUE(Table2[[#This Row],[Ra]]),0)</f>
        <v>0.71574074074074079</v>
      </c>
      <c r="AA85" t="str">
        <f t="shared" si="19"/>
        <v>x</v>
      </c>
      <c r="AB85" s="12">
        <f t="shared" si="15"/>
        <v>0</v>
      </c>
      <c r="AC85" s="12" t="str">
        <f>IF(VLOOKUP(A85,Data_NV!$A:$I,7,0)="Không","",IF(OR(AND(Y85=0,Z85=0),AND(Y85&lt;&gt;0,Z85&lt;&gt;0)),"","Quên chấm công"))</f>
        <v/>
      </c>
      <c r="AD85" s="12">
        <f>IF(VLOOKUP(A85,Data_NV!$A:$I,7,0)="Không",0,IF(AND(Y85=0,Z85=0),0,IF(X85&lt;=Z85,0,ROUNDDOWN((X85-Z85)*24*60,0))))</f>
        <v>0</v>
      </c>
      <c r="AE85" s="12">
        <f>IF(VLOOKUP(A85,Data_NV!$A:$I,6,0)="Không",0,IF(Z85&lt;=X85,0,ROUNDDOWN((Z85-X85)*24*60,0)))</f>
        <v>10</v>
      </c>
      <c r="AF85" s="26">
        <f t="shared" si="20"/>
        <v>0</v>
      </c>
      <c r="AG85" s="27" t="str">
        <f>IF(AC85="","",IF(COUNTIFS($AC$3:AC85,"Quên chấm công",$S$3:S85,S85)&gt;3,"Không chấm công do vi phạm quá 3 lần",IF(COUNTIFS($AC$3:AC85,"Quên chấm công",$S$3:S85,S85)&gt;2,"Trừ toàn bộ chuyên cần tháng do vi phạm lần 3",IF(COUNTIFS($AC$3:AC85,"Quên chấm công",$S$3:S85,S85)&gt;1,"Trừ 1/2 ngày lương",50000))))</f>
        <v/>
      </c>
      <c r="AH85" s="12" t="str">
        <f>IF(AF85=0,"",IF(COUNTIFS($AF$3:AF85,"&gt;0",$S$3:S85,S85)&gt;3,"Trừ toàn bộ chuyên cần tháng",""))</f>
        <v/>
      </c>
      <c r="AI85" s="12"/>
    </row>
    <row r="86" spans="1:35" x14ac:dyDescent="0.25">
      <c r="A86" s="4" t="s">
        <v>363</v>
      </c>
      <c r="B86" s="1" t="s">
        <v>364</v>
      </c>
      <c r="C86" s="1" t="s">
        <v>19</v>
      </c>
      <c r="D86" s="1" t="s">
        <v>62</v>
      </c>
      <c r="E86" s="1" t="s">
        <v>21</v>
      </c>
      <c r="F86" s="1" t="s">
        <v>22</v>
      </c>
      <c r="G86" s="1" t="s">
        <v>10</v>
      </c>
      <c r="H86" s="1" t="s">
        <v>402</v>
      </c>
      <c r="I86" s="1" t="s">
        <v>403</v>
      </c>
      <c r="J86" s="1" t="s">
        <v>119</v>
      </c>
      <c r="K86" s="1" t="s">
        <v>111</v>
      </c>
      <c r="L86" s="1" t="s">
        <v>24</v>
      </c>
      <c r="M86" s="1" t="s">
        <v>25</v>
      </c>
      <c r="N86" s="1" t="s">
        <v>24</v>
      </c>
      <c r="O86" s="1" t="s">
        <v>40</v>
      </c>
      <c r="P86" s="1" t="s">
        <v>24</v>
      </c>
      <c r="Q86" s="1" t="s">
        <v>24</v>
      </c>
      <c r="R86" s="85" t="str">
        <f t="shared" si="18"/>
        <v>6245924</v>
      </c>
      <c r="S86" t="str">
        <f>VLOOKUP(A86,Data_NV!$A:$C,3,0)</f>
        <v>Nguyễn Thị Út Hương</v>
      </c>
      <c r="T86" t="str">
        <f>VLOOKUP(A86,Data_NV!$A:$E,4,0)</f>
        <v>Kế toán - Văn phòng</v>
      </c>
      <c r="U86" s="82">
        <f>DATEVALUE(Table2[[#This Row],[Ngày]])</f>
        <v>45924</v>
      </c>
      <c r="V86" t="str">
        <f>VLOOKUP(A86,Data_NV!$A:$E,5,0)</f>
        <v>Đang làm việc</v>
      </c>
      <c r="W86" s="10">
        <f>VLOOKUP(A86,Data_NV!$A:$I,8,0)</f>
        <v>0.33333333333333331</v>
      </c>
      <c r="X86" s="10">
        <f>VLOOKUP(A86,Data_NV!$A:$I,9,0)</f>
        <v>0.70833333333333337</v>
      </c>
      <c r="Y86" s="10">
        <f>IFERROR(TIMEVALUE(Table2[[#This Row],[Vào]]),0)</f>
        <v>0.33373842592592595</v>
      </c>
      <c r="Z86" s="10">
        <f>IFERROR(TIMEVALUE(Table2[[#This Row],[Ra]]),0)</f>
        <v>0.73769675925925926</v>
      </c>
      <c r="AA86" t="str">
        <f t="shared" si="19"/>
        <v>x</v>
      </c>
      <c r="AB86" s="12">
        <f t="shared" si="15"/>
        <v>0</v>
      </c>
      <c r="AC86" s="12" t="str">
        <f>IF(VLOOKUP(A86,Data_NV!$A:$I,7,0)="Không","",IF(OR(AND(Y86=0,Z86=0),AND(Y86&lt;&gt;0,Z86&lt;&gt;0)),"","Quên chấm công"))</f>
        <v/>
      </c>
      <c r="AD86" s="12">
        <f>IF(VLOOKUP(A86,Data_NV!$A:$I,7,0)="Không",0,IF(AND(Y86=0,Z86=0),0,IF(X86&lt;=Z86,0,ROUNDDOWN((X86-Z86)*24*60,0))))</f>
        <v>0</v>
      </c>
      <c r="AE86" s="12">
        <f>IF(VLOOKUP(A86,Data_NV!$A:$I,6,0)="Không",0,IF(Z86&lt;=X86,0,ROUNDDOWN((Z86-X86)*24*60,0)))</f>
        <v>42</v>
      </c>
      <c r="AF86" s="26">
        <f t="shared" si="20"/>
        <v>0</v>
      </c>
      <c r="AG86" s="27" t="str">
        <f>IF(AC86="","",IF(COUNTIFS($AC$3:AC86,"Quên chấm công",$S$3:S86,S86)&gt;3,"Không chấm công do vi phạm quá 3 lần",IF(COUNTIFS($AC$3:AC86,"Quên chấm công",$S$3:S86,S86)&gt;2,"Trừ toàn bộ chuyên cần tháng do vi phạm lần 3",IF(COUNTIFS($AC$3:AC86,"Quên chấm công",$S$3:S86,S86)&gt;1,"Trừ 1/2 ngày lương",50000))))</f>
        <v/>
      </c>
      <c r="AH86" s="12" t="str">
        <f>IF(AF86=0,"",IF(COUNTIFS($AF$3:AF86,"&gt;0",$S$3:S86,S86)&gt;3,"Trừ toàn bộ chuyên cần tháng",""))</f>
        <v/>
      </c>
      <c r="AI86" s="12"/>
    </row>
    <row r="87" spans="1:35" x14ac:dyDescent="0.25">
      <c r="A87" s="4" t="s">
        <v>363</v>
      </c>
      <c r="B87" s="1" t="s">
        <v>364</v>
      </c>
      <c r="C87" s="1" t="s">
        <v>19</v>
      </c>
      <c r="D87" s="1" t="s">
        <v>65</v>
      </c>
      <c r="E87" s="1" t="s">
        <v>21</v>
      </c>
      <c r="F87" s="1" t="s">
        <v>22</v>
      </c>
      <c r="G87" s="1" t="s">
        <v>28</v>
      </c>
      <c r="H87" s="1" t="s">
        <v>404</v>
      </c>
      <c r="I87" s="1" t="s">
        <v>405</v>
      </c>
      <c r="J87" s="1" t="s">
        <v>24</v>
      </c>
      <c r="K87" s="1" t="s">
        <v>207</v>
      </c>
      <c r="L87" s="1" t="s">
        <v>24</v>
      </c>
      <c r="M87" s="1" t="s">
        <v>25</v>
      </c>
      <c r="N87" s="1" t="s">
        <v>24</v>
      </c>
      <c r="O87" s="1" t="s">
        <v>208</v>
      </c>
      <c r="P87" s="1" t="s">
        <v>24</v>
      </c>
      <c r="Q87" s="1" t="s">
        <v>24</v>
      </c>
      <c r="R87" s="85" t="str">
        <f t="shared" si="18"/>
        <v>6245925</v>
      </c>
      <c r="S87" t="str">
        <f>VLOOKUP(A87,Data_NV!$A:$C,3,0)</f>
        <v>Nguyễn Thị Út Hương</v>
      </c>
      <c r="T87" t="str">
        <f>VLOOKUP(A87,Data_NV!$A:$E,4,0)</f>
        <v>Kế toán - Văn phòng</v>
      </c>
      <c r="U87" s="82">
        <f>DATEVALUE(Table2[[#This Row],[Ngày]])</f>
        <v>45925</v>
      </c>
      <c r="V87" t="str">
        <f>VLOOKUP(A87,Data_NV!$A:$E,5,0)</f>
        <v>Đang làm việc</v>
      </c>
      <c r="W87" s="10">
        <f>VLOOKUP(A87,Data_NV!$A:$I,8,0)</f>
        <v>0.33333333333333331</v>
      </c>
      <c r="X87" s="10">
        <f>VLOOKUP(A87,Data_NV!$A:$I,9,0)</f>
        <v>0.70833333333333337</v>
      </c>
      <c r="Y87" s="10">
        <f>IFERROR(TIMEVALUE(Table2[[#This Row],[Vào]]),0)</f>
        <v>0.32697916666666665</v>
      </c>
      <c r="Z87" s="10">
        <f>IFERROR(TIMEVALUE(Table2[[#This Row],[Ra]]),0)</f>
        <v>0.73559027777777775</v>
      </c>
      <c r="AA87" t="str">
        <f t="shared" si="19"/>
        <v>x</v>
      </c>
      <c r="AB87" s="12">
        <f t="shared" si="15"/>
        <v>0</v>
      </c>
      <c r="AC87" s="12" t="str">
        <f>IF(VLOOKUP(A87,Data_NV!$A:$I,7,0)="Không","",IF(OR(AND(Y87=0,Z87=0),AND(Y87&lt;&gt;0,Z87&lt;&gt;0)),"","Quên chấm công"))</f>
        <v/>
      </c>
      <c r="AD87" s="12">
        <f>IF(VLOOKUP(A87,Data_NV!$A:$I,7,0)="Không",0,IF(AND(Y87=0,Z87=0),0,IF(X87&lt;=Z87,0,ROUNDDOWN((X87-Z87)*24*60,0))))</f>
        <v>0</v>
      </c>
      <c r="AE87" s="12">
        <f>IF(VLOOKUP(A87,Data_NV!$A:$I,6,0)="Không",0,IF(Z87&lt;=X87,0,ROUNDDOWN((Z87-X87)*24*60,0)))</f>
        <v>39</v>
      </c>
      <c r="AF87" s="26">
        <f t="shared" si="20"/>
        <v>0</v>
      </c>
      <c r="AG87" s="27" t="str">
        <f>IF(AC87="","",IF(COUNTIFS($AC$3:AC87,"Quên chấm công",$S$3:S87,S87)&gt;3,"Không chấm công do vi phạm quá 3 lần",IF(COUNTIFS($AC$3:AC87,"Quên chấm công",$S$3:S87,S87)&gt;2,"Trừ toàn bộ chuyên cần tháng do vi phạm lần 3",IF(COUNTIFS($AC$3:AC87,"Quên chấm công",$S$3:S87,S87)&gt;1,"Trừ 1/2 ngày lương",50000))))</f>
        <v/>
      </c>
      <c r="AH87" s="12" t="str">
        <f>IF(AF87=0,"",IF(COUNTIFS($AF$3:AF87,"&gt;0",$S$3:S87,S87)&gt;3,"Trừ toàn bộ chuyên cần tháng",""))</f>
        <v/>
      </c>
      <c r="AI87" s="12"/>
    </row>
    <row r="88" spans="1:35" x14ac:dyDescent="0.25">
      <c r="A88" s="4" t="s">
        <v>363</v>
      </c>
      <c r="B88" s="1" t="s">
        <v>364</v>
      </c>
      <c r="C88" s="1" t="s">
        <v>19</v>
      </c>
      <c r="D88" s="1" t="s">
        <v>66</v>
      </c>
      <c r="E88" s="1" t="s">
        <v>21</v>
      </c>
      <c r="F88" s="1" t="s">
        <v>22</v>
      </c>
      <c r="G88" s="1" t="s">
        <v>28</v>
      </c>
      <c r="H88" s="1" t="s">
        <v>406</v>
      </c>
      <c r="I88" s="1" t="s">
        <v>407</v>
      </c>
      <c r="J88" s="1" t="s">
        <v>24</v>
      </c>
      <c r="K88" s="1" t="s">
        <v>408</v>
      </c>
      <c r="L88" s="1" t="s">
        <v>24</v>
      </c>
      <c r="M88" s="1" t="s">
        <v>25</v>
      </c>
      <c r="N88" s="1" t="s">
        <v>24</v>
      </c>
      <c r="O88" s="1" t="s">
        <v>158</v>
      </c>
      <c r="P88" s="1" t="s">
        <v>24</v>
      </c>
      <c r="Q88" s="1" t="s">
        <v>24</v>
      </c>
      <c r="R88" s="85" t="str">
        <f t="shared" si="18"/>
        <v>6245926</v>
      </c>
      <c r="S88" t="str">
        <f>VLOOKUP(A88,Data_NV!$A:$C,3,0)</f>
        <v>Nguyễn Thị Út Hương</v>
      </c>
      <c r="T88" t="str">
        <f>VLOOKUP(A88,Data_NV!$A:$E,4,0)</f>
        <v>Kế toán - Văn phòng</v>
      </c>
      <c r="U88" s="82">
        <f>DATEVALUE(Table2[[#This Row],[Ngày]])</f>
        <v>45926</v>
      </c>
      <c r="V88" t="str">
        <f>VLOOKUP(A88,Data_NV!$A:$E,5,0)</f>
        <v>Đang làm việc</v>
      </c>
      <c r="W88" s="10">
        <f>VLOOKUP(A88,Data_NV!$A:$I,8,0)</f>
        <v>0.33333333333333331</v>
      </c>
      <c r="X88" s="10">
        <f>VLOOKUP(A88,Data_NV!$A:$I,9,0)</f>
        <v>0.70833333333333337</v>
      </c>
      <c r="Y88" s="10">
        <f>IFERROR(TIMEVALUE(Table2[[#This Row],[Vào]]),0)</f>
        <v>0.33250000000000002</v>
      </c>
      <c r="Z88" s="10">
        <f>IFERROR(TIMEVALUE(Table2[[#This Row],[Ra]]),0)</f>
        <v>0.73142361111111109</v>
      </c>
      <c r="AA88" t="str">
        <f t="shared" si="19"/>
        <v>x</v>
      </c>
      <c r="AB88" s="12">
        <f t="shared" si="15"/>
        <v>0</v>
      </c>
      <c r="AC88" s="12" t="str">
        <f>IF(VLOOKUP(A88,Data_NV!$A:$I,7,0)="Không","",IF(OR(AND(Y88=0,Z88=0),AND(Y88&lt;&gt;0,Z88&lt;&gt;0)),"","Quên chấm công"))</f>
        <v/>
      </c>
      <c r="AD88" s="12">
        <f>IF(VLOOKUP(A88,Data_NV!$A:$I,7,0)="Không",0,IF(AND(Y88=0,Z88=0),0,IF(X88&lt;=Z88,0,ROUNDDOWN((X88-Z88)*24*60,0))))</f>
        <v>0</v>
      </c>
      <c r="AE88" s="12">
        <f>IF(VLOOKUP(A88,Data_NV!$A:$I,6,0)="Không",0,IF(Z88&lt;=X88,0,ROUNDDOWN((Z88-X88)*24*60,0)))</f>
        <v>33</v>
      </c>
      <c r="AF88" s="26">
        <f t="shared" si="20"/>
        <v>0</v>
      </c>
      <c r="AG88" s="27" t="str">
        <f>IF(AC88="","",IF(COUNTIFS($AC$3:AC88,"Quên chấm công",$S$3:S88,S88)&gt;3,"Không chấm công do vi phạm quá 3 lần",IF(COUNTIFS($AC$3:AC88,"Quên chấm công",$S$3:S88,S88)&gt;2,"Trừ toàn bộ chuyên cần tháng do vi phạm lần 3",IF(COUNTIFS($AC$3:AC88,"Quên chấm công",$S$3:S88,S88)&gt;1,"Trừ 1/2 ngày lương",50000))))</f>
        <v/>
      </c>
      <c r="AH88" s="12" t="str">
        <f>IF(AF88=0,"",IF(COUNTIFS($AF$3:AF88,"&gt;0",$S$3:S88,S88)&gt;3,"Trừ toàn bộ chuyên cần tháng",""))</f>
        <v/>
      </c>
      <c r="AI88" s="12"/>
    </row>
    <row r="89" spans="1:35" x14ac:dyDescent="0.25">
      <c r="A89" s="4" t="s">
        <v>363</v>
      </c>
      <c r="B89" s="1" t="s">
        <v>364</v>
      </c>
      <c r="C89" s="1" t="s">
        <v>19</v>
      </c>
      <c r="D89" s="1" t="s">
        <v>67</v>
      </c>
      <c r="E89" s="1" t="s">
        <v>21</v>
      </c>
      <c r="F89" s="1" t="s">
        <v>22</v>
      </c>
      <c r="G89" s="1" t="s">
        <v>10</v>
      </c>
      <c r="H89" s="1" t="s">
        <v>339</v>
      </c>
      <c r="I89" s="1" t="s">
        <v>409</v>
      </c>
      <c r="J89" s="1" t="s">
        <v>24</v>
      </c>
      <c r="K89" s="1" t="s">
        <v>408</v>
      </c>
      <c r="L89" s="1" t="s">
        <v>24</v>
      </c>
      <c r="M89" s="1" t="s">
        <v>25</v>
      </c>
      <c r="N89" s="1" t="s">
        <v>24</v>
      </c>
      <c r="O89" s="1" t="s">
        <v>410</v>
      </c>
      <c r="P89" s="1" t="s">
        <v>24</v>
      </c>
      <c r="Q89" s="1" t="s">
        <v>24</v>
      </c>
      <c r="R89" s="85" t="str">
        <f t="shared" si="18"/>
        <v>6245927</v>
      </c>
      <c r="S89" t="str">
        <f>VLOOKUP(A89,Data_NV!$A:$C,3,0)</f>
        <v>Nguyễn Thị Út Hương</v>
      </c>
      <c r="T89" t="str">
        <f>VLOOKUP(A89,Data_NV!$A:$E,4,0)</f>
        <v>Kế toán - Văn phòng</v>
      </c>
      <c r="U89" s="82">
        <f>DATEVALUE(Table2[[#This Row],[Ngày]])</f>
        <v>45927</v>
      </c>
      <c r="V89" t="str">
        <f>VLOOKUP(A89,Data_NV!$A:$E,5,0)</f>
        <v>Đang làm việc</v>
      </c>
      <c r="W89" s="10">
        <f>VLOOKUP(A89,Data_NV!$A:$I,8,0)</f>
        <v>0.33333333333333331</v>
      </c>
      <c r="X89" s="10">
        <f>VLOOKUP(A89,Data_NV!$A:$I,9,0)</f>
        <v>0.70833333333333337</v>
      </c>
      <c r="Y89" s="10">
        <f>IFERROR(TIMEVALUE(Table2[[#This Row],[Vào]]),0)</f>
        <v>0.3336574074074074</v>
      </c>
      <c r="Z89" s="10">
        <f>IFERROR(TIMEVALUE(Table2[[#This Row],[Ra]]),0)</f>
        <v>0.73162037037037042</v>
      </c>
      <c r="AA89" t="str">
        <f t="shared" si="19"/>
        <v>x</v>
      </c>
      <c r="AB89" s="12">
        <f t="shared" si="15"/>
        <v>0</v>
      </c>
      <c r="AC89" s="12" t="str">
        <f>IF(VLOOKUP(A89,Data_NV!$A:$I,7,0)="Không","",IF(OR(AND(Y89=0,Z89=0),AND(Y89&lt;&gt;0,Z89&lt;&gt;0)),"","Quên chấm công"))</f>
        <v/>
      </c>
      <c r="AD89" s="12">
        <f>IF(VLOOKUP(A89,Data_NV!$A:$I,7,0)="Không",0,IF(AND(Y89=0,Z89=0),0,IF(X89&lt;=Z89,0,ROUNDDOWN((X89-Z89)*24*60,0))))</f>
        <v>0</v>
      </c>
      <c r="AE89" s="12">
        <f>IF(VLOOKUP(A89,Data_NV!$A:$I,6,0)="Không",0,IF(Z89&lt;=X89,0,ROUNDDOWN((Z89-X89)*24*60,0)))</f>
        <v>33</v>
      </c>
      <c r="AF89" s="26">
        <f t="shared" si="20"/>
        <v>0</v>
      </c>
      <c r="AG89" s="27" t="str">
        <f>IF(AC89="","",IF(COUNTIFS($AC$3:AC89,"Quên chấm công",$S$3:S89,S89)&gt;3,"Không chấm công do vi phạm quá 3 lần",IF(COUNTIFS($AC$3:AC89,"Quên chấm công",$S$3:S89,S89)&gt;2,"Trừ toàn bộ chuyên cần tháng do vi phạm lần 3",IF(COUNTIFS($AC$3:AC89,"Quên chấm công",$S$3:S89,S89)&gt;1,"Trừ 1/2 ngày lương",50000))))</f>
        <v/>
      </c>
      <c r="AH89" s="12" t="str">
        <f>IF(AF89=0,"",IF(COUNTIFS($AF$3:AF89,"&gt;0",$S$3:S89,S89)&gt;3,"Trừ toàn bộ chuyên cần tháng",""))</f>
        <v/>
      </c>
      <c r="AI89" s="12"/>
    </row>
    <row r="90" spans="1:35" x14ac:dyDescent="0.25">
      <c r="A90" s="4" t="s">
        <v>363</v>
      </c>
      <c r="B90" s="1" t="s">
        <v>364</v>
      </c>
      <c r="C90" s="1" t="s">
        <v>19</v>
      </c>
      <c r="D90" s="1" t="s">
        <v>69</v>
      </c>
      <c r="E90" s="1" t="s">
        <v>21</v>
      </c>
      <c r="F90" s="1" t="s">
        <v>22</v>
      </c>
      <c r="G90" s="1" t="s">
        <v>12</v>
      </c>
      <c r="H90" s="1" t="s">
        <v>23</v>
      </c>
      <c r="I90" s="1" t="s">
        <v>23</v>
      </c>
      <c r="J90" s="1" t="s">
        <v>24</v>
      </c>
      <c r="K90" s="1" t="s">
        <v>24</v>
      </c>
      <c r="L90" s="1" t="s">
        <v>25</v>
      </c>
      <c r="M90" s="1" t="s">
        <v>24</v>
      </c>
      <c r="N90" s="1" t="s">
        <v>24</v>
      </c>
      <c r="O90" s="1" t="s">
        <v>24</v>
      </c>
      <c r="P90" s="1" t="s">
        <v>24</v>
      </c>
      <c r="Q90" s="1" t="s">
        <v>24</v>
      </c>
      <c r="R90" s="85" t="str">
        <f t="shared" si="18"/>
        <v>6245928</v>
      </c>
      <c r="S90" t="str">
        <f>VLOOKUP(A90,Data_NV!$A:$C,3,0)</f>
        <v>Nguyễn Thị Út Hương</v>
      </c>
      <c r="T90" t="str">
        <f>VLOOKUP(A90,Data_NV!$A:$E,4,0)</f>
        <v>Kế toán - Văn phòng</v>
      </c>
      <c r="U90" s="82">
        <f>DATEVALUE(Table2[[#This Row],[Ngày]])</f>
        <v>45928</v>
      </c>
      <c r="V90" t="str">
        <f>VLOOKUP(A90,Data_NV!$A:$E,5,0)</f>
        <v>Đang làm việc</v>
      </c>
      <c r="W90" s="10">
        <f>VLOOKUP(A90,Data_NV!$A:$I,8,0)</f>
        <v>0.33333333333333331</v>
      </c>
      <c r="X90" s="10">
        <f>VLOOKUP(A90,Data_NV!$A:$I,9,0)</f>
        <v>0.70833333333333337</v>
      </c>
      <c r="Y90" s="10">
        <f>IFERROR(TIMEVALUE(Table2[[#This Row],[Vào]]),0)</f>
        <v>0</v>
      </c>
      <c r="Z90" s="10">
        <f>IFERROR(TIMEVALUE(Table2[[#This Row],[Ra]]),0)</f>
        <v>0</v>
      </c>
      <c r="AA90" t="str">
        <f t="shared" si="19"/>
        <v>Chủ nhật</v>
      </c>
      <c r="AB90" s="12">
        <f t="shared" si="15"/>
        <v>0</v>
      </c>
      <c r="AC90" s="12" t="str">
        <f>IF(VLOOKUP(A90,Data_NV!$A:$I,7,0)="Không","",IF(OR(AND(Y90=0,Z90=0),AND(Y90&lt;&gt;0,Z90&lt;&gt;0)),"","Quên chấm công"))</f>
        <v/>
      </c>
      <c r="AD90" s="12">
        <f>IF(VLOOKUP(A90,Data_NV!$A:$I,7,0)="Không",0,IF(AND(Y90=0,Z90=0),0,IF(X90&lt;=Z90,0,ROUNDDOWN((X90-Z90)*24*60,0))))</f>
        <v>0</v>
      </c>
      <c r="AE90" s="12">
        <f>IF(VLOOKUP(A90,Data_NV!$A:$I,6,0)="Không",0,IF(Z90&lt;=X90,0,ROUNDDOWN((Z90-X90)*24*60,0)))</f>
        <v>0</v>
      </c>
      <c r="AF90" s="26">
        <f t="shared" si="20"/>
        <v>0</v>
      </c>
      <c r="AG90" s="27" t="str">
        <f>IF(AC90="","",IF(COUNTIFS($AC$3:AC90,"Quên chấm công",$S$3:S90,S90)&gt;3,"Không chấm công do vi phạm quá 3 lần",IF(COUNTIFS($AC$3:AC90,"Quên chấm công",$S$3:S90,S90)&gt;2,"Trừ toàn bộ chuyên cần tháng do vi phạm lần 3",IF(COUNTIFS($AC$3:AC90,"Quên chấm công",$S$3:S90,S90)&gt;1,"Trừ 1/2 ngày lương",50000))))</f>
        <v/>
      </c>
      <c r="AH90" s="12" t="str">
        <f>IF(AF90=0,"",IF(COUNTIFS($AF$3:AF90,"&gt;0",$S$3:S90,S90)&gt;3,"Trừ toàn bộ chuyên cần tháng",""))</f>
        <v/>
      </c>
      <c r="AI90" s="12"/>
    </row>
    <row r="91" spans="1:35" x14ac:dyDescent="0.25">
      <c r="A91" s="4" t="s">
        <v>363</v>
      </c>
      <c r="B91" s="1" t="s">
        <v>364</v>
      </c>
      <c r="C91" s="1" t="s">
        <v>19</v>
      </c>
      <c r="D91" s="1" t="s">
        <v>70</v>
      </c>
      <c r="E91" s="1" t="s">
        <v>21</v>
      </c>
      <c r="F91" s="1" t="s">
        <v>22</v>
      </c>
      <c r="G91" s="1" t="s">
        <v>10</v>
      </c>
      <c r="H91" s="1" t="s">
        <v>411</v>
      </c>
      <c r="I91" s="1" t="s">
        <v>412</v>
      </c>
      <c r="J91" s="1" t="s">
        <v>328</v>
      </c>
      <c r="K91" s="1" t="s">
        <v>345</v>
      </c>
      <c r="L91" s="1" t="s">
        <v>24</v>
      </c>
      <c r="M91" s="1" t="s">
        <v>25</v>
      </c>
      <c r="N91" s="1" t="s">
        <v>24</v>
      </c>
      <c r="O91" s="1" t="s">
        <v>158</v>
      </c>
      <c r="P91" s="1" t="s">
        <v>24</v>
      </c>
      <c r="Q91" s="1" t="s">
        <v>24</v>
      </c>
      <c r="R91" s="85" t="str">
        <f t="shared" si="18"/>
        <v>6245929</v>
      </c>
      <c r="S91" t="str">
        <f>VLOOKUP(A91,Data_NV!$A:$C,3,0)</f>
        <v>Nguyễn Thị Út Hương</v>
      </c>
      <c r="T91" t="str">
        <f>VLOOKUP(A91,Data_NV!$A:$E,4,0)</f>
        <v>Kế toán - Văn phòng</v>
      </c>
      <c r="U91" s="82">
        <f>DATEVALUE(Table2[[#This Row],[Ngày]])</f>
        <v>45929</v>
      </c>
      <c r="V91" t="str">
        <f>VLOOKUP(A91,Data_NV!$A:$E,5,0)</f>
        <v>Đang làm việc</v>
      </c>
      <c r="W91" s="10">
        <f>VLOOKUP(A91,Data_NV!$A:$I,8,0)</f>
        <v>0.33333333333333331</v>
      </c>
      <c r="X91" s="10">
        <f>VLOOKUP(A91,Data_NV!$A:$I,9,0)</f>
        <v>0.70833333333333337</v>
      </c>
      <c r="Y91" s="10">
        <f>IFERROR(TIMEVALUE(Table2[[#This Row],[Vào]]),0)</f>
        <v>0.34505787037037039</v>
      </c>
      <c r="Z91" s="10">
        <f>IFERROR(TIMEVALUE(Table2[[#This Row],[Ra]]),0)</f>
        <v>0.73141203703703705</v>
      </c>
      <c r="AA91" t="str">
        <f t="shared" si="19"/>
        <v>x</v>
      </c>
      <c r="AB91" s="12">
        <f t="shared" si="15"/>
        <v>16</v>
      </c>
      <c r="AC91" s="12" t="str">
        <f>IF(VLOOKUP(A91,Data_NV!$A:$I,7,0)="Không","",IF(OR(AND(Y91=0,Z91=0),AND(Y91&lt;&gt;0,Z91&lt;&gt;0)),"","Quên chấm công"))</f>
        <v/>
      </c>
      <c r="AD91" s="12">
        <f>IF(VLOOKUP(A91,Data_NV!$A:$I,7,0)="Không",0,IF(AND(Y91=0,Z91=0),0,IF(X91&lt;=Z91,0,ROUNDDOWN((X91-Z91)*24*60,0))))</f>
        <v>0</v>
      </c>
      <c r="AE91" s="12">
        <f>IF(VLOOKUP(A91,Data_NV!$A:$I,6,0)="Không",0,IF(Z91&lt;=X91,0,ROUNDDOWN((Z91-X91)*24*60,0)))</f>
        <v>33</v>
      </c>
      <c r="AF91" s="26">
        <f t="shared" si="20"/>
        <v>50000</v>
      </c>
      <c r="AG91" s="27" t="str">
        <f>IF(AC91="","",IF(COUNTIFS($AC$3:AC91,"Quên chấm công",$S$3:S91,S91)&gt;3,"Không chấm công do vi phạm quá 3 lần",IF(COUNTIFS($AC$3:AC91,"Quên chấm công",$S$3:S91,S91)&gt;2,"Trừ toàn bộ chuyên cần tháng do vi phạm lần 3",IF(COUNTIFS($AC$3:AC91,"Quên chấm công",$S$3:S91,S91)&gt;1,"Trừ 1/2 ngày lương",50000))))</f>
        <v/>
      </c>
      <c r="AH91" s="12" t="str">
        <f>IF(AF91=0,"",IF(COUNTIFS($AF$3:AF91,"&gt;0",$S$3:S91,S91)&gt;3,"Trừ toàn bộ chuyên cần tháng",""))</f>
        <v/>
      </c>
      <c r="AI91" s="12"/>
    </row>
    <row r="92" spans="1:35" x14ac:dyDescent="0.25">
      <c r="A92" s="4" t="s">
        <v>363</v>
      </c>
      <c r="B92" s="1" t="s">
        <v>364</v>
      </c>
      <c r="C92" s="1" t="s">
        <v>19</v>
      </c>
      <c r="D92" s="1" t="s">
        <v>71</v>
      </c>
      <c r="E92" s="1" t="s">
        <v>21</v>
      </c>
      <c r="F92" s="1" t="s">
        <v>22</v>
      </c>
      <c r="G92" s="1" t="s">
        <v>28</v>
      </c>
      <c r="H92" s="1" t="s">
        <v>413</v>
      </c>
      <c r="I92" s="1" t="s">
        <v>414</v>
      </c>
      <c r="J92" s="1" t="s">
        <v>24</v>
      </c>
      <c r="K92" s="1" t="s">
        <v>345</v>
      </c>
      <c r="L92" s="1" t="s">
        <v>24</v>
      </c>
      <c r="M92" s="1" t="s">
        <v>25</v>
      </c>
      <c r="N92" s="1" t="s">
        <v>24</v>
      </c>
      <c r="O92" s="1" t="s">
        <v>346</v>
      </c>
      <c r="P92" s="1" t="s">
        <v>24</v>
      </c>
      <c r="Q92" s="1" t="s">
        <v>24</v>
      </c>
      <c r="R92" s="85" t="str">
        <f t="shared" si="18"/>
        <v>6245930</v>
      </c>
      <c r="S92" t="str">
        <f>VLOOKUP(A92,Data_NV!$A:$C,3,0)</f>
        <v>Nguyễn Thị Út Hương</v>
      </c>
      <c r="T92" t="str">
        <f>VLOOKUP(A92,Data_NV!$A:$E,4,0)</f>
        <v>Kế toán - Văn phòng</v>
      </c>
      <c r="U92" s="82">
        <f>DATEVALUE(Table2[[#This Row],[Ngày]])</f>
        <v>45930</v>
      </c>
      <c r="V92" t="str">
        <f>VLOOKUP(A92,Data_NV!$A:$E,5,0)</f>
        <v>Đang làm việc</v>
      </c>
      <c r="W92" s="10">
        <f>VLOOKUP(A92,Data_NV!$A:$I,8,0)</f>
        <v>0.33333333333333331</v>
      </c>
      <c r="X92" s="10">
        <f>VLOOKUP(A92,Data_NV!$A:$I,9,0)</f>
        <v>0.70833333333333337</v>
      </c>
      <c r="Y92" s="10">
        <f>IFERROR(TIMEVALUE(Table2[[#This Row],[Vào]]),0)</f>
        <v>0.33269675925925923</v>
      </c>
      <c r="Z92" s="10">
        <f>IFERROR(TIMEVALUE(Table2[[#This Row],[Ra]]),0)</f>
        <v>0.7193518518518518</v>
      </c>
      <c r="AA92" t="str">
        <f t="shared" si="19"/>
        <v>x</v>
      </c>
      <c r="AB92" s="12">
        <f t="shared" si="15"/>
        <v>0</v>
      </c>
      <c r="AC92" s="12" t="str">
        <f>IF(VLOOKUP(A92,Data_NV!$A:$I,7,0)="Không","",IF(OR(AND(Y92=0,Z92=0),AND(Y92&lt;&gt;0,Z92&lt;&gt;0)),"","Quên chấm công"))</f>
        <v/>
      </c>
      <c r="AD92" s="12">
        <f>IF(VLOOKUP(A92,Data_NV!$A:$I,7,0)="Không",0,IF(AND(Y92=0,Z92=0),0,IF(X92&lt;=Z92,0,ROUNDDOWN((X92-Z92)*24*60,0))))</f>
        <v>0</v>
      </c>
      <c r="AE92" s="12">
        <f>IF(VLOOKUP(A92,Data_NV!$A:$I,6,0)="Không",0,IF(Z92&lt;=X92,0,ROUNDDOWN((Z92-X92)*24*60,0)))</f>
        <v>15</v>
      </c>
      <c r="AF92" s="26">
        <f t="shared" si="20"/>
        <v>0</v>
      </c>
      <c r="AG92" s="27" t="str">
        <f>IF(AC92="","",IF(COUNTIFS($AC$3:AC92,"Quên chấm công",$S$3:S92,S92)&gt;3,"Không chấm công do vi phạm quá 3 lần",IF(COUNTIFS($AC$3:AC92,"Quên chấm công",$S$3:S92,S92)&gt;2,"Trừ toàn bộ chuyên cần tháng do vi phạm lần 3",IF(COUNTIFS($AC$3:AC92,"Quên chấm công",$S$3:S92,S92)&gt;1,"Trừ 1/2 ngày lương",50000))))</f>
        <v/>
      </c>
      <c r="AH92" s="12" t="str">
        <f>IF(AF92=0,"",IF(COUNTIFS($AF$3:AF92,"&gt;0",$S$3:S92,S92)&gt;3,"Trừ toàn bộ chuyên cần tháng",""))</f>
        <v/>
      </c>
      <c r="AI92" s="12"/>
    </row>
    <row r="93" spans="1:35" x14ac:dyDescent="0.25">
      <c r="A93" s="4" t="s">
        <v>417</v>
      </c>
      <c r="B93" s="1" t="s">
        <v>418</v>
      </c>
      <c r="C93" s="1" t="s">
        <v>19</v>
      </c>
      <c r="D93" s="1" t="s">
        <v>20</v>
      </c>
      <c r="E93" s="1" t="s">
        <v>21</v>
      </c>
      <c r="F93" s="1" t="s">
        <v>22</v>
      </c>
      <c r="G93" s="1" t="s">
        <v>12</v>
      </c>
      <c r="H93" s="1" t="s">
        <v>23</v>
      </c>
      <c r="I93" s="1" t="s">
        <v>23</v>
      </c>
      <c r="J93" s="1" t="s">
        <v>24</v>
      </c>
      <c r="K93" s="1" t="s">
        <v>24</v>
      </c>
      <c r="L93" s="1" t="s">
        <v>25</v>
      </c>
      <c r="M93" s="1" t="s">
        <v>24</v>
      </c>
      <c r="N93" s="1" t="s">
        <v>24</v>
      </c>
      <c r="O93" s="1" t="s">
        <v>24</v>
      </c>
      <c r="P93" s="1" t="s">
        <v>24</v>
      </c>
      <c r="Q93" s="1" t="s">
        <v>24</v>
      </c>
      <c r="R93" s="85" t="str">
        <f t="shared" si="18"/>
        <v>6445901</v>
      </c>
      <c r="S93" t="str">
        <f>VLOOKUP(A93,Data_NV!$A:$C,3,0)</f>
        <v>Đoàn Thị Thanh Hương</v>
      </c>
      <c r="T93" t="str">
        <f>VLOOKUP(A93,Data_NV!$A:$E,4,0)</f>
        <v>Kế toán - Văn phòng</v>
      </c>
      <c r="U93" s="82">
        <f>DATEVALUE(Table2[[#This Row],[Ngày]])</f>
        <v>45901</v>
      </c>
      <c r="V93" t="str">
        <f>VLOOKUP(A93,Data_NV!$A:$E,5,0)</f>
        <v>Đang làm việc</v>
      </c>
      <c r="W93" s="10">
        <f>VLOOKUP(A93,Data_NV!$A:$I,8,0)</f>
        <v>0.33333333333333331</v>
      </c>
      <c r="X93" s="10">
        <f>VLOOKUP(A93,Data_NV!$A:$I,9,0)</f>
        <v>0.70833333333333337</v>
      </c>
      <c r="Y93" s="10">
        <f>IFERROR(TIMEVALUE(Table2[[#This Row],[Vào]]),0)</f>
        <v>0</v>
      </c>
      <c r="Z93" s="10">
        <f>IFERROR(TIMEVALUE(Table2[[#This Row],[Ra]]),0)</f>
        <v>0</v>
      </c>
      <c r="AA93" s="95" t="s">
        <v>623</v>
      </c>
      <c r="AB93" s="12">
        <f t="shared" ref="AB93:AB122" si="21">IF(Y93&lt;=W93,0,ROUNDDOWN((Y93-W93)*24*60,0))</f>
        <v>0</v>
      </c>
      <c r="AC93" s="12" t="str">
        <f>IF(VLOOKUP(A93,Data_NV!$A:$I,7,0)="Không","",IF(OR(AND(Y93=0,Z93=0),AND(Y93&lt;&gt;0,Z93&lt;&gt;0)),"","Quên chấm công"))</f>
        <v/>
      </c>
      <c r="AD93" s="12">
        <f>IF(VLOOKUP(A93,Data_NV!$A:$I,7,0)="Không",0,IF(AND(Y93=0,Z93=0),0,IF(X93&lt;=Z93,0,ROUNDDOWN((X93-Z93)*24*60,0))))</f>
        <v>0</v>
      </c>
      <c r="AE93" s="12">
        <f>IF(VLOOKUP(A93,Data_NV!$A:$I,6,0)="Không",0,IF(Z93&lt;=X93,0,ROUNDDOWN((Z93-X93)*24*60,0)))</f>
        <v>0</v>
      </c>
      <c r="AF93" s="26">
        <f t="shared" si="20"/>
        <v>0</v>
      </c>
      <c r="AG93" s="27" t="str">
        <f>IF(AC93="","",IF(COUNTIFS($AC$3:AC93,"Quên chấm công",$S$3:S93,S93)&gt;3,"Không chấm công do vi phạm quá 3 lần",IF(COUNTIFS($AC$3:AC93,"Quên chấm công",$S$3:S93,S93)&gt;2,"Trừ toàn bộ chuyên cần tháng do vi phạm lần 3",IF(COUNTIFS($AC$3:AC93,"Quên chấm công",$S$3:S93,S93)&gt;1,"Trừ 1/2 ngày lương",50000))))</f>
        <v/>
      </c>
      <c r="AH93" s="12" t="str">
        <f>IF(AF93=0,"",IF(COUNTIFS($AF$3:AF93,"&gt;0",$S$3:S93,S93)&gt;3,"Trừ toàn bộ chuyên cần tháng",""))</f>
        <v/>
      </c>
      <c r="AI93" s="96" t="s">
        <v>637</v>
      </c>
    </row>
    <row r="94" spans="1:35" x14ac:dyDescent="0.25">
      <c r="A94" s="4" t="s">
        <v>417</v>
      </c>
      <c r="B94" s="1" t="s">
        <v>418</v>
      </c>
      <c r="C94" s="1" t="s">
        <v>19</v>
      </c>
      <c r="D94" s="1" t="s">
        <v>26</v>
      </c>
      <c r="E94" s="1" t="s">
        <v>21</v>
      </c>
      <c r="F94" s="1" t="s">
        <v>22</v>
      </c>
      <c r="G94" s="1" t="s">
        <v>12</v>
      </c>
      <c r="H94" s="1" t="s">
        <v>23</v>
      </c>
      <c r="I94" s="1" t="s">
        <v>23</v>
      </c>
      <c r="J94" s="1" t="s">
        <v>24</v>
      </c>
      <c r="K94" s="1" t="s">
        <v>24</v>
      </c>
      <c r="L94" s="1" t="s">
        <v>25</v>
      </c>
      <c r="M94" s="1" t="s">
        <v>24</v>
      </c>
      <c r="N94" s="1" t="s">
        <v>24</v>
      </c>
      <c r="O94" s="1" t="s">
        <v>24</v>
      </c>
      <c r="P94" s="1" t="s">
        <v>24</v>
      </c>
      <c r="Q94" s="1" t="s">
        <v>24</v>
      </c>
      <c r="R94" s="85" t="str">
        <f t="shared" si="18"/>
        <v>6445902</v>
      </c>
      <c r="S94" t="str">
        <f>VLOOKUP(A94,Data_NV!$A:$C,3,0)</f>
        <v>Đoàn Thị Thanh Hương</v>
      </c>
      <c r="T94" t="str">
        <f>VLOOKUP(A94,Data_NV!$A:$E,4,0)</f>
        <v>Kế toán - Văn phòng</v>
      </c>
      <c r="U94" s="82">
        <f>DATEVALUE(Table2[[#This Row],[Ngày]])</f>
        <v>45902</v>
      </c>
      <c r="V94" t="str">
        <f>VLOOKUP(A94,Data_NV!$A:$E,5,0)</f>
        <v>Đang làm việc</v>
      </c>
      <c r="W94" s="10">
        <f>VLOOKUP(A94,Data_NV!$A:$I,8,0)</f>
        <v>0.33333333333333331</v>
      </c>
      <c r="X94" s="10">
        <f>VLOOKUP(A94,Data_NV!$A:$I,9,0)</f>
        <v>0.70833333333333337</v>
      </c>
      <c r="Y94" s="10">
        <f>IFERROR(TIMEVALUE(Table2[[#This Row],[Vào]]),0)</f>
        <v>0</v>
      </c>
      <c r="Z94" s="10">
        <f>IFERROR(TIMEVALUE(Table2[[#This Row],[Ra]]),0)</f>
        <v>0</v>
      </c>
      <c r="AA94" s="95" t="s">
        <v>623</v>
      </c>
      <c r="AB94" s="12">
        <f t="shared" si="21"/>
        <v>0</v>
      </c>
      <c r="AC94" s="12" t="str">
        <f>IF(VLOOKUP(A94,Data_NV!$A:$I,7,0)="Không","",IF(OR(AND(Y94=0,Z94=0),AND(Y94&lt;&gt;0,Z94&lt;&gt;0)),"","Quên chấm công"))</f>
        <v/>
      </c>
      <c r="AD94" s="12">
        <f>IF(VLOOKUP(A94,Data_NV!$A:$I,7,0)="Không",0,IF(AND(Y94=0,Z94=0),0,IF(X94&lt;=Z94,0,ROUNDDOWN((X94-Z94)*24*60,0))))</f>
        <v>0</v>
      </c>
      <c r="AE94" s="12">
        <f>IF(VLOOKUP(A94,Data_NV!$A:$I,6,0)="Không",0,IF(Z94&lt;=X94,0,ROUNDDOWN((Z94-X94)*24*60,0)))</f>
        <v>0</v>
      </c>
      <c r="AF94" s="26">
        <f t="shared" si="20"/>
        <v>0</v>
      </c>
      <c r="AG94" s="27" t="str">
        <f>IF(AC94="","",IF(COUNTIFS($AC$3:AC94,"Quên chấm công",$S$3:S94,S94)&gt;3,"Không chấm công do vi phạm quá 3 lần",IF(COUNTIFS($AC$3:AC94,"Quên chấm công",$S$3:S94,S94)&gt;2,"Trừ toàn bộ chuyên cần tháng do vi phạm lần 3",IF(COUNTIFS($AC$3:AC94,"Quên chấm công",$S$3:S94,S94)&gt;1,"Trừ 1/2 ngày lương",50000))))</f>
        <v/>
      </c>
      <c r="AH94" s="12" t="str">
        <f>IF(AF94=0,"",IF(COUNTIFS($AF$3:AF94,"&gt;0",$S$3:S94,S94)&gt;3,"Trừ toàn bộ chuyên cần tháng",""))</f>
        <v/>
      </c>
      <c r="AI94" s="96" t="s">
        <v>637</v>
      </c>
    </row>
    <row r="95" spans="1:35" x14ac:dyDescent="0.25">
      <c r="A95" s="4" t="s">
        <v>417</v>
      </c>
      <c r="B95" s="1" t="s">
        <v>418</v>
      </c>
      <c r="C95" s="1" t="s">
        <v>19</v>
      </c>
      <c r="D95" s="1" t="s">
        <v>27</v>
      </c>
      <c r="E95" s="1" t="s">
        <v>21</v>
      </c>
      <c r="F95" s="1" t="s">
        <v>22</v>
      </c>
      <c r="G95" s="1" t="s">
        <v>10</v>
      </c>
      <c r="H95" s="1" t="s">
        <v>419</v>
      </c>
      <c r="I95" s="1" t="s">
        <v>420</v>
      </c>
      <c r="J95" s="1" t="s">
        <v>241</v>
      </c>
      <c r="K95" s="1" t="s">
        <v>49</v>
      </c>
      <c r="L95" s="1" t="s">
        <v>24</v>
      </c>
      <c r="M95" s="1" t="s">
        <v>25</v>
      </c>
      <c r="N95" s="1" t="s">
        <v>24</v>
      </c>
      <c r="O95" s="1" t="s">
        <v>204</v>
      </c>
      <c r="P95" s="1" t="s">
        <v>24</v>
      </c>
      <c r="Q95" s="1" t="s">
        <v>24</v>
      </c>
      <c r="R95" s="85" t="str">
        <f t="shared" si="18"/>
        <v>6445903</v>
      </c>
      <c r="S95" t="str">
        <f>VLOOKUP(A95,Data_NV!$A:$C,3,0)</f>
        <v>Đoàn Thị Thanh Hương</v>
      </c>
      <c r="T95" t="str">
        <f>VLOOKUP(A95,Data_NV!$A:$E,4,0)</f>
        <v>Kế toán - Văn phòng</v>
      </c>
      <c r="U95" s="82">
        <f>DATEVALUE(Table2[[#This Row],[Ngày]])</f>
        <v>45903</v>
      </c>
      <c r="V95" t="str">
        <f>VLOOKUP(A95,Data_NV!$A:$E,5,0)</f>
        <v>Đang làm việc</v>
      </c>
      <c r="W95" s="10">
        <f>VLOOKUP(A95,Data_NV!$A:$I,8,0)</f>
        <v>0.33333333333333331</v>
      </c>
      <c r="X95" s="10">
        <f>VLOOKUP(A95,Data_NV!$A:$I,9,0)</f>
        <v>0.70833333333333337</v>
      </c>
      <c r="Y95" s="10">
        <f>IFERROR(TIMEVALUE(Table2[[#This Row],[Vào]]),0)</f>
        <v>0.33649305555555553</v>
      </c>
      <c r="Z95" s="10">
        <f>IFERROR(TIMEVALUE(Table2[[#This Row],[Ra]]),0)</f>
        <v>0.77668981481481481</v>
      </c>
      <c r="AA95" t="str">
        <f t="shared" si="19"/>
        <v>x</v>
      </c>
      <c r="AB95" s="12">
        <f t="shared" si="21"/>
        <v>4</v>
      </c>
      <c r="AC95" s="12" t="str">
        <f>IF(VLOOKUP(A95,Data_NV!$A:$I,7,0)="Không","",IF(OR(AND(Y95=0,Z95=0),AND(Y95&lt;&gt;0,Z95&lt;&gt;0)),"","Quên chấm công"))</f>
        <v/>
      </c>
      <c r="AD95" s="12">
        <f>IF(VLOOKUP(A95,Data_NV!$A:$I,7,0)="Không",0,IF(AND(Y95=0,Z95=0),0,IF(X95&lt;=Z95,0,ROUNDDOWN((X95-Z95)*24*60,0))))</f>
        <v>0</v>
      </c>
      <c r="AE95" s="12">
        <f>IF(VLOOKUP(A95,Data_NV!$A:$I,6,0)="Không",0,IF(Z95&lt;=X95,0,ROUNDDOWN((Z95-X95)*24*60,0)))</f>
        <v>98</v>
      </c>
      <c r="AF95" s="26">
        <f t="shared" si="20"/>
        <v>0</v>
      </c>
      <c r="AG95" s="27" t="str">
        <f>IF(AC95="","",IF(COUNTIFS($AC$3:AC95,"Quên chấm công",$S$3:S95,S95)&gt;3,"Không chấm công do vi phạm quá 3 lần",IF(COUNTIFS($AC$3:AC95,"Quên chấm công",$S$3:S95,S95)&gt;2,"Trừ toàn bộ chuyên cần tháng do vi phạm lần 3",IF(COUNTIFS($AC$3:AC95,"Quên chấm công",$S$3:S95,S95)&gt;1,"Trừ 1/2 ngày lương",50000))))</f>
        <v/>
      </c>
      <c r="AH95" s="12" t="str">
        <f>IF(AF95=0,"",IF(COUNTIFS($AF$3:AF95,"&gt;0",$S$3:S95,S95)&gt;3,"Trừ toàn bộ chuyên cần tháng",""))</f>
        <v/>
      </c>
      <c r="AI95" s="12"/>
    </row>
    <row r="96" spans="1:35" x14ac:dyDescent="0.25">
      <c r="A96" s="4" t="s">
        <v>417</v>
      </c>
      <c r="B96" s="1" t="s">
        <v>418</v>
      </c>
      <c r="C96" s="1" t="s">
        <v>19</v>
      </c>
      <c r="D96" s="1" t="s">
        <v>30</v>
      </c>
      <c r="E96" s="1" t="s">
        <v>21</v>
      </c>
      <c r="F96" s="1" t="s">
        <v>22</v>
      </c>
      <c r="G96" s="1" t="s">
        <v>12</v>
      </c>
      <c r="H96" s="1" t="s">
        <v>23</v>
      </c>
      <c r="I96" s="1" t="s">
        <v>23</v>
      </c>
      <c r="J96" s="1" t="s">
        <v>24</v>
      </c>
      <c r="K96" s="1" t="s">
        <v>24</v>
      </c>
      <c r="L96" s="1" t="s">
        <v>25</v>
      </c>
      <c r="M96" s="1" t="s">
        <v>24</v>
      </c>
      <c r="N96" s="1" t="s">
        <v>24</v>
      </c>
      <c r="O96" s="1" t="s">
        <v>24</v>
      </c>
      <c r="P96" s="1" t="s">
        <v>24</v>
      </c>
      <c r="Q96" s="1" t="s">
        <v>24</v>
      </c>
      <c r="R96" s="85" t="str">
        <f t="shared" si="18"/>
        <v>6445904</v>
      </c>
      <c r="S96" t="str">
        <f>VLOOKUP(A96,Data_NV!$A:$C,3,0)</f>
        <v>Đoàn Thị Thanh Hương</v>
      </c>
      <c r="T96" t="str">
        <f>VLOOKUP(A96,Data_NV!$A:$E,4,0)</f>
        <v>Kế toán - Văn phòng</v>
      </c>
      <c r="U96" s="82">
        <f>DATEVALUE(Table2[[#This Row],[Ngày]])</f>
        <v>45904</v>
      </c>
      <c r="V96" t="str">
        <f>VLOOKUP(A96,Data_NV!$A:$E,5,0)</f>
        <v>Đang làm việc</v>
      </c>
      <c r="W96" s="10">
        <f>VLOOKUP(A96,Data_NV!$A:$I,8,0)</f>
        <v>0.33333333333333331</v>
      </c>
      <c r="X96" s="10">
        <f>VLOOKUP(A96,Data_NV!$A:$I,9,0)</f>
        <v>0.70833333333333337</v>
      </c>
      <c r="Y96" s="10">
        <f>IFERROR(TIMEVALUE(Table2[[#This Row],[Vào]]),0)</f>
        <v>0</v>
      </c>
      <c r="Z96" s="10">
        <f>IFERROR(TIMEVALUE(Table2[[#This Row],[Ra]]),0)</f>
        <v>0</v>
      </c>
      <c r="AA96" t="str">
        <f t="shared" si="19"/>
        <v/>
      </c>
      <c r="AB96" s="12">
        <f t="shared" si="21"/>
        <v>0</v>
      </c>
      <c r="AC96" s="12" t="str">
        <f>IF(VLOOKUP(A96,Data_NV!$A:$I,7,0)="Không","",IF(OR(AND(Y96=0,Z96=0),AND(Y96&lt;&gt;0,Z96&lt;&gt;0)),"","Quên chấm công"))</f>
        <v/>
      </c>
      <c r="AD96" s="12">
        <f>IF(VLOOKUP(A96,Data_NV!$A:$I,7,0)="Không",0,IF(AND(Y96=0,Z96=0),0,IF(X96&lt;=Z96,0,ROUNDDOWN((X96-Z96)*24*60,0))))</f>
        <v>0</v>
      </c>
      <c r="AE96" s="12">
        <f>IF(VLOOKUP(A96,Data_NV!$A:$I,6,0)="Không",0,IF(Z96&lt;=X96,0,ROUNDDOWN((Z96-X96)*24*60,0)))</f>
        <v>0</v>
      </c>
      <c r="AF96" s="26">
        <f t="shared" si="20"/>
        <v>0</v>
      </c>
      <c r="AG96" s="27" t="str">
        <f>IF(AC96="","",IF(COUNTIFS($AC$3:AC96,"Quên chấm công",$S$3:S96,S96)&gt;3,"Không chấm công do vi phạm quá 3 lần",IF(COUNTIFS($AC$3:AC96,"Quên chấm công",$S$3:S96,S96)&gt;2,"Trừ toàn bộ chuyên cần tháng do vi phạm lần 3",IF(COUNTIFS($AC$3:AC96,"Quên chấm công",$S$3:S96,S96)&gt;1,"Trừ 1/2 ngày lương",50000))))</f>
        <v/>
      </c>
      <c r="AH96" s="12" t="str">
        <f>IF(AF96=0,"",IF(COUNTIFS($AF$3:AF96,"&gt;0",$S$3:S96,S96)&gt;3,"Trừ toàn bộ chuyên cần tháng",""))</f>
        <v/>
      </c>
      <c r="AI96" s="12"/>
    </row>
    <row r="97" spans="1:35" x14ac:dyDescent="0.25">
      <c r="A97" s="4" t="s">
        <v>417</v>
      </c>
      <c r="B97" s="1" t="s">
        <v>418</v>
      </c>
      <c r="C97" s="1" t="s">
        <v>19</v>
      </c>
      <c r="D97" s="1" t="s">
        <v>31</v>
      </c>
      <c r="E97" s="1" t="s">
        <v>21</v>
      </c>
      <c r="F97" s="1" t="s">
        <v>22</v>
      </c>
      <c r="G97" s="1" t="s">
        <v>10</v>
      </c>
      <c r="H97" s="1" t="s">
        <v>421</v>
      </c>
      <c r="I97" s="1" t="s">
        <v>422</v>
      </c>
      <c r="J97" s="1" t="s">
        <v>90</v>
      </c>
      <c r="K97" s="1" t="s">
        <v>60</v>
      </c>
      <c r="L97" s="1" t="s">
        <v>24</v>
      </c>
      <c r="M97" s="1" t="s">
        <v>25</v>
      </c>
      <c r="N97" s="1" t="s">
        <v>24</v>
      </c>
      <c r="O97" s="1" t="s">
        <v>287</v>
      </c>
      <c r="P97" s="1" t="s">
        <v>24</v>
      </c>
      <c r="Q97" s="1" t="s">
        <v>24</v>
      </c>
      <c r="R97" s="85" t="str">
        <f t="shared" si="18"/>
        <v>6445905</v>
      </c>
      <c r="S97" t="str">
        <f>VLOOKUP(A97,Data_NV!$A:$C,3,0)</f>
        <v>Đoàn Thị Thanh Hương</v>
      </c>
      <c r="T97" t="str">
        <f>VLOOKUP(A97,Data_NV!$A:$E,4,0)</f>
        <v>Kế toán - Văn phòng</v>
      </c>
      <c r="U97" s="82">
        <f>DATEVALUE(Table2[[#This Row],[Ngày]])</f>
        <v>45905</v>
      </c>
      <c r="V97" t="str">
        <f>VLOOKUP(A97,Data_NV!$A:$E,5,0)</f>
        <v>Đang làm việc</v>
      </c>
      <c r="W97" s="10">
        <f>VLOOKUP(A97,Data_NV!$A:$I,8,0)</f>
        <v>0.33333333333333331</v>
      </c>
      <c r="X97" s="10">
        <f>VLOOKUP(A97,Data_NV!$A:$I,9,0)</f>
        <v>0.70833333333333337</v>
      </c>
      <c r="Y97" s="10">
        <f>IFERROR(TIMEVALUE(Table2[[#This Row],[Vào]]),0)</f>
        <v>0.33850694444444446</v>
      </c>
      <c r="Z97" s="10">
        <f>IFERROR(TIMEVALUE(Table2[[#This Row],[Ra]]),0)</f>
        <v>0.78399305555555554</v>
      </c>
      <c r="AA97" t="str">
        <f t="shared" si="19"/>
        <v>x</v>
      </c>
      <c r="AB97" s="12">
        <f t="shared" si="21"/>
        <v>7</v>
      </c>
      <c r="AC97" s="12" t="str">
        <f>IF(VLOOKUP(A97,Data_NV!$A:$I,7,0)="Không","",IF(OR(AND(Y97=0,Z97=0),AND(Y97&lt;&gt;0,Z97&lt;&gt;0)),"","Quên chấm công"))</f>
        <v/>
      </c>
      <c r="AD97" s="12">
        <f>IF(VLOOKUP(A97,Data_NV!$A:$I,7,0)="Không",0,IF(AND(Y97=0,Z97=0),0,IF(X97&lt;=Z97,0,ROUNDDOWN((X97-Z97)*24*60,0))))</f>
        <v>0</v>
      </c>
      <c r="AE97" s="12">
        <f>IF(VLOOKUP(A97,Data_NV!$A:$I,6,0)="Không",0,IF(Z97&lt;=X97,0,ROUNDDOWN((Z97-X97)*24*60,0)))</f>
        <v>108</v>
      </c>
      <c r="AF97" s="26">
        <f t="shared" si="20"/>
        <v>30000</v>
      </c>
      <c r="AG97" s="27" t="str">
        <f>IF(AC97="","",IF(COUNTIFS($AC$3:AC97,"Quên chấm công",$S$3:S97,S97)&gt;3,"Không chấm công do vi phạm quá 3 lần",IF(COUNTIFS($AC$3:AC97,"Quên chấm công",$S$3:S97,S97)&gt;2,"Trừ toàn bộ chuyên cần tháng do vi phạm lần 3",IF(COUNTIFS($AC$3:AC97,"Quên chấm công",$S$3:S97,S97)&gt;1,"Trừ 1/2 ngày lương",50000))))</f>
        <v/>
      </c>
      <c r="AH97" s="12" t="str">
        <f>IF(AF97=0,"",IF(COUNTIFS($AF$3:AF97,"&gt;0",$S$3:S97,S97)&gt;3,"Trừ toàn bộ chuyên cần tháng",""))</f>
        <v/>
      </c>
      <c r="AI97" s="12"/>
    </row>
    <row r="98" spans="1:35" x14ac:dyDescent="0.25">
      <c r="A98" s="4" t="s">
        <v>417</v>
      </c>
      <c r="B98" s="1" t="s">
        <v>418</v>
      </c>
      <c r="C98" s="1" t="s">
        <v>19</v>
      </c>
      <c r="D98" s="1" t="s">
        <v>32</v>
      </c>
      <c r="E98" s="1" t="s">
        <v>21</v>
      </c>
      <c r="F98" s="1" t="s">
        <v>22</v>
      </c>
      <c r="G98" s="1" t="s">
        <v>28</v>
      </c>
      <c r="H98" s="1" t="s">
        <v>347</v>
      </c>
      <c r="I98" s="1" t="s">
        <v>423</v>
      </c>
      <c r="J98" s="1" t="s">
        <v>24</v>
      </c>
      <c r="K98" s="1" t="s">
        <v>205</v>
      </c>
      <c r="L98" s="1" t="s">
        <v>24</v>
      </c>
      <c r="M98" s="1" t="s">
        <v>25</v>
      </c>
      <c r="N98" s="1" t="s">
        <v>24</v>
      </c>
      <c r="O98" s="1" t="s">
        <v>206</v>
      </c>
      <c r="P98" s="1" t="s">
        <v>24</v>
      </c>
      <c r="Q98" s="1" t="s">
        <v>24</v>
      </c>
      <c r="R98" s="85" t="str">
        <f t="shared" si="18"/>
        <v>6445906</v>
      </c>
      <c r="S98" t="str">
        <f>VLOOKUP(A98,Data_NV!$A:$C,3,0)</f>
        <v>Đoàn Thị Thanh Hương</v>
      </c>
      <c r="T98" t="str">
        <f>VLOOKUP(A98,Data_NV!$A:$E,4,0)</f>
        <v>Kế toán - Văn phòng</v>
      </c>
      <c r="U98" s="82">
        <f>DATEVALUE(Table2[[#This Row],[Ngày]])</f>
        <v>45906</v>
      </c>
      <c r="V98" t="str">
        <f>VLOOKUP(A98,Data_NV!$A:$E,5,0)</f>
        <v>Đang làm việc</v>
      </c>
      <c r="W98" s="10">
        <f>VLOOKUP(A98,Data_NV!$A:$I,8,0)</f>
        <v>0.33333333333333331</v>
      </c>
      <c r="X98" s="10">
        <f>VLOOKUP(A98,Data_NV!$A:$I,9,0)</f>
        <v>0.70833333333333337</v>
      </c>
      <c r="Y98" s="10">
        <f>IFERROR(TIMEVALUE(Table2[[#This Row],[Vào]]),0)</f>
        <v>0.33086805555555554</v>
      </c>
      <c r="Z98" s="10">
        <f>IFERROR(TIMEVALUE(Table2[[#This Row],[Ra]]),0)</f>
        <v>0.7863310185185185</v>
      </c>
      <c r="AA98" t="str">
        <f t="shared" si="19"/>
        <v>x</v>
      </c>
      <c r="AB98" s="12">
        <f t="shared" si="21"/>
        <v>0</v>
      </c>
      <c r="AC98" s="12" t="str">
        <f>IF(VLOOKUP(A98,Data_NV!$A:$I,7,0)="Không","",IF(OR(AND(Y98=0,Z98=0),AND(Y98&lt;&gt;0,Z98&lt;&gt;0)),"","Quên chấm công"))</f>
        <v/>
      </c>
      <c r="AD98" s="12">
        <f>IF(VLOOKUP(A98,Data_NV!$A:$I,7,0)="Không",0,IF(AND(Y98=0,Z98=0),0,IF(X98&lt;=Z98,0,ROUNDDOWN((X98-Z98)*24*60,0))))</f>
        <v>0</v>
      </c>
      <c r="AE98" s="12">
        <f>IF(VLOOKUP(A98,Data_NV!$A:$I,6,0)="Không",0,IF(Z98&lt;=X98,0,ROUNDDOWN((Z98-X98)*24*60,0)))</f>
        <v>112</v>
      </c>
      <c r="AF98" s="26">
        <f t="shared" si="20"/>
        <v>0</v>
      </c>
      <c r="AG98" s="27" t="str">
        <f>IF(AC98="","",IF(COUNTIFS($AC$3:AC98,"Quên chấm công",$S$3:S98,S98)&gt;3,"Không chấm công do vi phạm quá 3 lần",IF(COUNTIFS($AC$3:AC98,"Quên chấm công",$S$3:S98,S98)&gt;2,"Trừ toàn bộ chuyên cần tháng do vi phạm lần 3",IF(COUNTIFS($AC$3:AC98,"Quên chấm công",$S$3:S98,S98)&gt;1,"Trừ 1/2 ngày lương",50000))))</f>
        <v/>
      </c>
      <c r="AH98" s="12" t="str">
        <f>IF(AF98=0,"",IF(COUNTIFS($AF$3:AF98,"&gt;0",$S$3:S98,S98)&gt;3,"Trừ toàn bộ chuyên cần tháng",""))</f>
        <v/>
      </c>
      <c r="AI98" s="12"/>
    </row>
    <row r="99" spans="1:35" x14ac:dyDescent="0.25">
      <c r="A99" s="4" t="s">
        <v>417</v>
      </c>
      <c r="B99" s="1" t="s">
        <v>418</v>
      </c>
      <c r="C99" s="1" t="s">
        <v>19</v>
      </c>
      <c r="D99" s="1" t="s">
        <v>33</v>
      </c>
      <c r="E99" s="1" t="s">
        <v>21</v>
      </c>
      <c r="F99" s="1" t="s">
        <v>22</v>
      </c>
      <c r="G99" s="1" t="s">
        <v>12</v>
      </c>
      <c r="H99" s="1" t="s">
        <v>23</v>
      </c>
      <c r="I99" s="1" t="s">
        <v>23</v>
      </c>
      <c r="J99" s="1" t="s">
        <v>24</v>
      </c>
      <c r="K99" s="1" t="s">
        <v>24</v>
      </c>
      <c r="L99" s="1" t="s">
        <v>25</v>
      </c>
      <c r="M99" s="1" t="s">
        <v>24</v>
      </c>
      <c r="N99" s="1" t="s">
        <v>24</v>
      </c>
      <c r="O99" s="1" t="s">
        <v>24</v>
      </c>
      <c r="P99" s="1" t="s">
        <v>24</v>
      </c>
      <c r="Q99" s="1" t="s">
        <v>24</v>
      </c>
      <c r="R99" s="85" t="str">
        <f t="shared" si="18"/>
        <v>6445907</v>
      </c>
      <c r="S99" t="str">
        <f>VLOOKUP(A99,Data_NV!$A:$C,3,0)</f>
        <v>Đoàn Thị Thanh Hương</v>
      </c>
      <c r="T99" t="str">
        <f>VLOOKUP(A99,Data_NV!$A:$E,4,0)</f>
        <v>Kế toán - Văn phòng</v>
      </c>
      <c r="U99" s="82">
        <f>DATEVALUE(Table2[[#This Row],[Ngày]])</f>
        <v>45907</v>
      </c>
      <c r="V99" t="str">
        <f>VLOOKUP(A99,Data_NV!$A:$E,5,0)</f>
        <v>Đang làm việc</v>
      </c>
      <c r="W99" s="10">
        <f>VLOOKUP(A99,Data_NV!$A:$I,8,0)</f>
        <v>0.33333333333333331</v>
      </c>
      <c r="X99" s="10">
        <f>VLOOKUP(A99,Data_NV!$A:$I,9,0)</f>
        <v>0.70833333333333337</v>
      </c>
      <c r="Y99" s="10">
        <f>IFERROR(TIMEVALUE(Table2[[#This Row],[Vào]]),0)</f>
        <v>0</v>
      </c>
      <c r="Z99" s="10">
        <f>IFERROR(TIMEVALUE(Table2[[#This Row],[Ra]]),0)</f>
        <v>0</v>
      </c>
      <c r="AA99" t="str">
        <f t="shared" si="19"/>
        <v>Chủ nhật</v>
      </c>
      <c r="AB99" s="12">
        <f t="shared" si="21"/>
        <v>0</v>
      </c>
      <c r="AC99" s="12" t="str">
        <f>IF(VLOOKUP(A99,Data_NV!$A:$I,7,0)="Không","",IF(OR(AND(Y99=0,Z99=0),AND(Y99&lt;&gt;0,Z99&lt;&gt;0)),"","Quên chấm công"))</f>
        <v/>
      </c>
      <c r="AD99" s="12">
        <f>IF(VLOOKUP(A99,Data_NV!$A:$I,7,0)="Không",0,IF(AND(Y99=0,Z99=0),0,IF(X99&lt;=Z99,0,ROUNDDOWN((X99-Z99)*24*60,0))))</f>
        <v>0</v>
      </c>
      <c r="AE99" s="12">
        <f>IF(VLOOKUP(A99,Data_NV!$A:$I,6,0)="Không",0,IF(Z99&lt;=X99,0,ROUNDDOWN((Z99-X99)*24*60,0)))</f>
        <v>0</v>
      </c>
      <c r="AF99" s="26">
        <f t="shared" si="20"/>
        <v>0</v>
      </c>
      <c r="AG99" s="27" t="str">
        <f>IF(AC99="","",IF(COUNTIFS($AC$3:AC99,"Quên chấm công",$S$3:S99,S99)&gt;3,"Không chấm công do vi phạm quá 3 lần",IF(COUNTIFS($AC$3:AC99,"Quên chấm công",$S$3:S99,S99)&gt;2,"Trừ toàn bộ chuyên cần tháng do vi phạm lần 3",IF(COUNTIFS($AC$3:AC99,"Quên chấm công",$S$3:S99,S99)&gt;1,"Trừ 1/2 ngày lương",50000))))</f>
        <v/>
      </c>
      <c r="AH99" s="12" t="str">
        <f>IF(AF99=0,"",IF(COUNTIFS($AF$3:AF99,"&gt;0",$S$3:S99,S99)&gt;3,"Trừ toàn bộ chuyên cần tháng",""))</f>
        <v/>
      </c>
      <c r="AI99" s="12"/>
    </row>
    <row r="100" spans="1:35" x14ac:dyDescent="0.25">
      <c r="A100" s="4" t="s">
        <v>417</v>
      </c>
      <c r="B100" s="1" t="s">
        <v>418</v>
      </c>
      <c r="C100" s="1" t="s">
        <v>19</v>
      </c>
      <c r="D100" s="1" t="s">
        <v>34</v>
      </c>
      <c r="E100" s="1" t="s">
        <v>21</v>
      </c>
      <c r="F100" s="1" t="s">
        <v>22</v>
      </c>
      <c r="G100" s="1" t="s">
        <v>10</v>
      </c>
      <c r="H100" s="1" t="s">
        <v>424</v>
      </c>
      <c r="I100" s="1" t="s">
        <v>425</v>
      </c>
      <c r="J100" s="1" t="s">
        <v>90</v>
      </c>
      <c r="K100" s="1" t="s">
        <v>105</v>
      </c>
      <c r="L100" s="1" t="s">
        <v>24</v>
      </c>
      <c r="M100" s="1" t="s">
        <v>25</v>
      </c>
      <c r="N100" s="1" t="s">
        <v>24</v>
      </c>
      <c r="O100" s="1" t="s">
        <v>204</v>
      </c>
      <c r="P100" s="1" t="s">
        <v>24</v>
      </c>
      <c r="Q100" s="1" t="s">
        <v>24</v>
      </c>
      <c r="R100" s="85" t="str">
        <f t="shared" si="18"/>
        <v>6445908</v>
      </c>
      <c r="S100" t="str">
        <f>VLOOKUP(A100,Data_NV!$A:$C,3,0)</f>
        <v>Đoàn Thị Thanh Hương</v>
      </c>
      <c r="T100" t="str">
        <f>VLOOKUP(A100,Data_NV!$A:$E,4,0)</f>
        <v>Kế toán - Văn phòng</v>
      </c>
      <c r="U100" s="82">
        <f>DATEVALUE(Table2[[#This Row],[Ngày]])</f>
        <v>45908</v>
      </c>
      <c r="V100" t="str">
        <f>VLOOKUP(A100,Data_NV!$A:$E,5,0)</f>
        <v>Đang làm việc</v>
      </c>
      <c r="W100" s="10">
        <f>VLOOKUP(A100,Data_NV!$A:$I,8,0)</f>
        <v>0.33333333333333331</v>
      </c>
      <c r="X100" s="10">
        <f>VLOOKUP(A100,Data_NV!$A:$I,9,0)</f>
        <v>0.70833333333333337</v>
      </c>
      <c r="Y100" s="10">
        <f>IFERROR(TIMEVALUE(Table2[[#This Row],[Vào]]),0)</f>
        <v>0.33836805555555555</v>
      </c>
      <c r="Z100" s="10">
        <f>IFERROR(TIMEVALUE(Table2[[#This Row],[Ra]]),0)</f>
        <v>0.77630787037037041</v>
      </c>
      <c r="AA100" t="str">
        <f t="shared" si="19"/>
        <v>x</v>
      </c>
      <c r="AB100" s="12">
        <f t="shared" si="21"/>
        <v>7</v>
      </c>
      <c r="AC100" s="12" t="str">
        <f>IF(VLOOKUP(A100,Data_NV!$A:$I,7,0)="Không","",IF(OR(AND(Y100=0,Z100=0),AND(Y100&lt;&gt;0,Z100&lt;&gt;0)),"","Quên chấm công"))</f>
        <v/>
      </c>
      <c r="AD100" s="12">
        <f>IF(VLOOKUP(A100,Data_NV!$A:$I,7,0)="Không",0,IF(AND(Y100=0,Z100=0),0,IF(X100&lt;=Z100,0,ROUNDDOWN((X100-Z100)*24*60,0))))</f>
        <v>0</v>
      </c>
      <c r="AE100" s="12">
        <f>IF(VLOOKUP(A100,Data_NV!$A:$I,6,0)="Không",0,IF(Z100&lt;=X100,0,ROUNDDOWN((Z100-X100)*24*60,0)))</f>
        <v>97</v>
      </c>
      <c r="AF100" s="26">
        <f t="shared" si="20"/>
        <v>30000</v>
      </c>
      <c r="AG100" s="27" t="str">
        <f>IF(AC100="","",IF(COUNTIFS($AC$3:AC100,"Quên chấm công",$S$3:S100,S100)&gt;3,"Không chấm công do vi phạm quá 3 lần",IF(COUNTIFS($AC$3:AC100,"Quên chấm công",$S$3:S100,S100)&gt;2,"Trừ toàn bộ chuyên cần tháng do vi phạm lần 3",IF(COUNTIFS($AC$3:AC100,"Quên chấm công",$S$3:S100,S100)&gt;1,"Trừ 1/2 ngày lương",50000))))</f>
        <v/>
      </c>
      <c r="AH100" s="12" t="str">
        <f>IF(AF100=0,"",IF(COUNTIFS($AF$3:AF100,"&gt;0",$S$3:S100,S100)&gt;3,"Trừ toàn bộ chuyên cần tháng",""))</f>
        <v/>
      </c>
      <c r="AI100" s="12"/>
    </row>
    <row r="101" spans="1:35" x14ac:dyDescent="0.25">
      <c r="A101" s="4" t="s">
        <v>417</v>
      </c>
      <c r="B101" s="1" t="s">
        <v>418</v>
      </c>
      <c r="C101" s="1" t="s">
        <v>19</v>
      </c>
      <c r="D101" s="1" t="s">
        <v>37</v>
      </c>
      <c r="E101" s="1" t="s">
        <v>21</v>
      </c>
      <c r="F101" s="1" t="s">
        <v>22</v>
      </c>
      <c r="G101" s="1" t="s">
        <v>10</v>
      </c>
      <c r="H101" s="1" t="s">
        <v>426</v>
      </c>
      <c r="I101" s="1" t="s">
        <v>427</v>
      </c>
      <c r="J101" s="1" t="s">
        <v>90</v>
      </c>
      <c r="K101" s="1" t="s">
        <v>428</v>
      </c>
      <c r="L101" s="1" t="s">
        <v>24</v>
      </c>
      <c r="M101" s="1" t="s">
        <v>25</v>
      </c>
      <c r="N101" s="1" t="s">
        <v>24</v>
      </c>
      <c r="O101" s="1" t="s">
        <v>29</v>
      </c>
      <c r="P101" s="1" t="s">
        <v>138</v>
      </c>
      <c r="Q101" s="1" t="s">
        <v>24</v>
      </c>
      <c r="R101" s="85" t="str">
        <f t="shared" si="18"/>
        <v>6445909</v>
      </c>
      <c r="S101" t="str">
        <f>VLOOKUP(A101,Data_NV!$A:$C,3,0)</f>
        <v>Đoàn Thị Thanh Hương</v>
      </c>
      <c r="T101" t="str">
        <f>VLOOKUP(A101,Data_NV!$A:$E,4,0)</f>
        <v>Kế toán - Văn phòng</v>
      </c>
      <c r="U101" s="82">
        <f>DATEVALUE(Table2[[#This Row],[Ngày]])</f>
        <v>45909</v>
      </c>
      <c r="V101" t="str">
        <f>VLOOKUP(A101,Data_NV!$A:$E,5,0)</f>
        <v>Đang làm việc</v>
      </c>
      <c r="W101" s="10">
        <f>VLOOKUP(A101,Data_NV!$A:$I,8,0)</f>
        <v>0.33333333333333331</v>
      </c>
      <c r="X101" s="10">
        <f>VLOOKUP(A101,Data_NV!$A:$I,9,0)</f>
        <v>0.70833333333333337</v>
      </c>
      <c r="Y101" s="10">
        <f>IFERROR(TIMEVALUE(Table2[[#This Row],[Vào]]),0)</f>
        <v>0.33825231481481483</v>
      </c>
      <c r="Z101" s="10">
        <f>IFERROR(TIMEVALUE(Table2[[#This Row],[Ra]]),0)</f>
        <v>0.83111111111111113</v>
      </c>
      <c r="AA101" t="str">
        <f t="shared" si="19"/>
        <v>x</v>
      </c>
      <c r="AB101" s="12">
        <f t="shared" si="21"/>
        <v>7</v>
      </c>
      <c r="AC101" s="12" t="str">
        <f>IF(VLOOKUP(A101,Data_NV!$A:$I,7,0)="Không","",IF(OR(AND(Y101=0,Z101=0),AND(Y101&lt;&gt;0,Z101&lt;&gt;0)),"","Quên chấm công"))</f>
        <v/>
      </c>
      <c r="AD101" s="12">
        <f>IF(VLOOKUP(A101,Data_NV!$A:$I,7,0)="Không",0,IF(AND(Y101=0,Z101=0),0,IF(X101&lt;=Z101,0,ROUNDDOWN((X101-Z101)*24*60,0))))</f>
        <v>0</v>
      </c>
      <c r="AE101" s="12">
        <f>IF(VLOOKUP(A101,Data_NV!$A:$I,6,0)="Không",0,IF(Z101&lt;=X101,0,ROUNDDOWN((Z101-X101)*24*60,0)))</f>
        <v>176</v>
      </c>
      <c r="AF101" s="26">
        <f t="shared" si="20"/>
        <v>30000</v>
      </c>
      <c r="AG101" s="27" t="str">
        <f>IF(AC101="","",IF(COUNTIFS($AC$3:AC101,"Quên chấm công",$S$3:S101,S101)&gt;3,"Không chấm công do vi phạm quá 3 lần",IF(COUNTIFS($AC$3:AC101,"Quên chấm công",$S$3:S101,S101)&gt;2,"Trừ toàn bộ chuyên cần tháng do vi phạm lần 3",IF(COUNTIFS($AC$3:AC101,"Quên chấm công",$S$3:S101,S101)&gt;1,"Trừ 1/2 ngày lương",50000))))</f>
        <v/>
      </c>
      <c r="AH101" s="12" t="str">
        <f>IF(AF101=0,"",IF(COUNTIFS($AF$3:AF101,"&gt;0",$S$3:S101,S101)&gt;3,"Trừ toàn bộ chuyên cần tháng",""))</f>
        <v/>
      </c>
      <c r="AI101" s="12"/>
    </row>
    <row r="102" spans="1:35" x14ac:dyDescent="0.25">
      <c r="A102" s="4" t="s">
        <v>417</v>
      </c>
      <c r="B102" s="1" t="s">
        <v>418</v>
      </c>
      <c r="C102" s="1" t="s">
        <v>19</v>
      </c>
      <c r="D102" s="1" t="s">
        <v>38</v>
      </c>
      <c r="E102" s="1" t="s">
        <v>21</v>
      </c>
      <c r="F102" s="1" t="s">
        <v>22</v>
      </c>
      <c r="G102" s="1" t="s">
        <v>10</v>
      </c>
      <c r="H102" s="1" t="s">
        <v>429</v>
      </c>
      <c r="I102" s="1" t="s">
        <v>430</v>
      </c>
      <c r="J102" s="1" t="s">
        <v>242</v>
      </c>
      <c r="K102" s="1" t="s">
        <v>431</v>
      </c>
      <c r="L102" s="1" t="s">
        <v>24</v>
      </c>
      <c r="M102" s="1" t="s">
        <v>25</v>
      </c>
      <c r="N102" s="1" t="s">
        <v>24</v>
      </c>
      <c r="O102" s="1" t="s">
        <v>29</v>
      </c>
      <c r="P102" s="1" t="s">
        <v>56</v>
      </c>
      <c r="Q102" s="1" t="s">
        <v>24</v>
      </c>
      <c r="R102" s="85" t="str">
        <f t="shared" si="18"/>
        <v>6445910</v>
      </c>
      <c r="S102" t="str">
        <f>VLOOKUP(A102,Data_NV!$A:$C,3,0)</f>
        <v>Đoàn Thị Thanh Hương</v>
      </c>
      <c r="T102" t="str">
        <f>VLOOKUP(A102,Data_NV!$A:$E,4,0)</f>
        <v>Kế toán - Văn phòng</v>
      </c>
      <c r="U102" s="82">
        <f>DATEVALUE(Table2[[#This Row],[Ngày]])</f>
        <v>45910</v>
      </c>
      <c r="V102" t="str">
        <f>VLOOKUP(A102,Data_NV!$A:$E,5,0)</f>
        <v>Đang làm việc</v>
      </c>
      <c r="W102" s="10">
        <f>VLOOKUP(A102,Data_NV!$A:$I,8,0)</f>
        <v>0.33333333333333331</v>
      </c>
      <c r="X102" s="10">
        <f>VLOOKUP(A102,Data_NV!$A:$I,9,0)</f>
        <v>0.70833333333333337</v>
      </c>
      <c r="Y102" s="10">
        <f>IFERROR(TIMEVALUE(Table2[[#This Row],[Vào]]),0)</f>
        <v>0.33542824074074074</v>
      </c>
      <c r="Z102" s="10">
        <f>IFERROR(TIMEVALUE(Table2[[#This Row],[Ra]]),0)</f>
        <v>0.81166666666666665</v>
      </c>
      <c r="AA102" t="str">
        <f t="shared" si="19"/>
        <v>x</v>
      </c>
      <c r="AB102" s="12">
        <f t="shared" si="21"/>
        <v>3</v>
      </c>
      <c r="AC102" s="12" t="str">
        <f>IF(VLOOKUP(A102,Data_NV!$A:$I,7,0)="Không","",IF(OR(AND(Y102=0,Z102=0),AND(Y102&lt;&gt;0,Z102&lt;&gt;0)),"","Quên chấm công"))</f>
        <v/>
      </c>
      <c r="AD102" s="12">
        <f>IF(VLOOKUP(A102,Data_NV!$A:$I,7,0)="Không",0,IF(AND(Y102=0,Z102=0),0,IF(X102&lt;=Z102,0,ROUNDDOWN((X102-Z102)*24*60,0))))</f>
        <v>0</v>
      </c>
      <c r="AE102" s="12">
        <f>IF(VLOOKUP(A102,Data_NV!$A:$I,6,0)="Không",0,IF(Z102&lt;=X102,0,ROUNDDOWN((Z102-X102)*24*60,0)))</f>
        <v>148</v>
      </c>
      <c r="AF102" s="26">
        <f t="shared" si="20"/>
        <v>0</v>
      </c>
      <c r="AG102" s="27" t="str">
        <f>IF(AC102="","",IF(COUNTIFS($AC$3:AC102,"Quên chấm công",$S$3:S102,S102)&gt;3,"Không chấm công do vi phạm quá 3 lần",IF(COUNTIFS($AC$3:AC102,"Quên chấm công",$S$3:S102,S102)&gt;2,"Trừ toàn bộ chuyên cần tháng do vi phạm lần 3",IF(COUNTIFS($AC$3:AC102,"Quên chấm công",$S$3:S102,S102)&gt;1,"Trừ 1/2 ngày lương",50000))))</f>
        <v/>
      </c>
      <c r="AH102" s="12" t="str">
        <f>IF(AF102=0,"",IF(COUNTIFS($AF$3:AF102,"&gt;0",$S$3:S102,S102)&gt;3,"Trừ toàn bộ chuyên cần tháng",""))</f>
        <v/>
      </c>
      <c r="AI102" s="12"/>
    </row>
    <row r="103" spans="1:35" x14ac:dyDescent="0.25">
      <c r="A103" s="4" t="s">
        <v>417</v>
      </c>
      <c r="B103" s="1" t="s">
        <v>418</v>
      </c>
      <c r="C103" s="1" t="s">
        <v>19</v>
      </c>
      <c r="D103" s="1" t="s">
        <v>39</v>
      </c>
      <c r="E103" s="1" t="s">
        <v>21</v>
      </c>
      <c r="F103" s="1" t="s">
        <v>22</v>
      </c>
      <c r="G103" s="1" t="s">
        <v>10</v>
      </c>
      <c r="H103" s="1" t="s">
        <v>432</v>
      </c>
      <c r="I103" s="1" t="s">
        <v>433</v>
      </c>
      <c r="J103" s="1" t="s">
        <v>158</v>
      </c>
      <c r="K103" s="1" t="s">
        <v>434</v>
      </c>
      <c r="L103" s="1" t="s">
        <v>24</v>
      </c>
      <c r="M103" s="1" t="s">
        <v>25</v>
      </c>
      <c r="N103" s="1" t="s">
        <v>24</v>
      </c>
      <c r="O103" s="1" t="s">
        <v>110</v>
      </c>
      <c r="P103" s="1" t="s">
        <v>24</v>
      </c>
      <c r="Q103" s="1" t="s">
        <v>24</v>
      </c>
      <c r="R103" s="85" t="str">
        <f t="shared" si="18"/>
        <v>6445911</v>
      </c>
      <c r="S103" t="str">
        <f>VLOOKUP(A103,Data_NV!$A:$C,3,0)</f>
        <v>Đoàn Thị Thanh Hương</v>
      </c>
      <c r="T103" t="str">
        <f>VLOOKUP(A103,Data_NV!$A:$E,4,0)</f>
        <v>Kế toán - Văn phòng</v>
      </c>
      <c r="U103" s="82">
        <f>DATEVALUE(Table2[[#This Row],[Ngày]])</f>
        <v>45911</v>
      </c>
      <c r="V103" t="str">
        <f>VLOOKUP(A103,Data_NV!$A:$E,5,0)</f>
        <v>Đang làm việc</v>
      </c>
      <c r="W103" s="10">
        <f>VLOOKUP(A103,Data_NV!$A:$I,8,0)</f>
        <v>0.33333333333333331</v>
      </c>
      <c r="X103" s="10">
        <f>VLOOKUP(A103,Data_NV!$A:$I,9,0)</f>
        <v>0.70833333333333337</v>
      </c>
      <c r="Y103" s="10">
        <f>IFERROR(TIMEVALUE(Table2[[#This Row],[Vào]]),0)</f>
        <v>0.35626157407407405</v>
      </c>
      <c r="Z103" s="10">
        <f>IFERROR(TIMEVALUE(Table2[[#This Row],[Ra]]),0)</f>
        <v>0.78670138888888885</v>
      </c>
      <c r="AA103" t="str">
        <f t="shared" si="19"/>
        <v>x</v>
      </c>
      <c r="AB103" s="12">
        <f t="shared" si="21"/>
        <v>33</v>
      </c>
      <c r="AC103" s="12" t="str">
        <f>IF(VLOOKUP(A103,Data_NV!$A:$I,7,0)="Không","",IF(OR(AND(Y103=0,Z103=0),AND(Y103&lt;&gt;0,Z103&lt;&gt;0)),"","Quên chấm công"))</f>
        <v/>
      </c>
      <c r="AD103" s="12">
        <f>IF(VLOOKUP(A103,Data_NV!$A:$I,7,0)="Không",0,IF(AND(Y103=0,Z103=0),0,IF(X103&lt;=Z103,0,ROUNDDOWN((X103-Z103)*24*60,0))))</f>
        <v>0</v>
      </c>
      <c r="AE103" s="12">
        <f>IF(VLOOKUP(A103,Data_NV!$A:$I,6,0)="Không",0,IF(Z103&lt;=X103,0,ROUNDDOWN((Z103-X103)*24*60,0)))</f>
        <v>112</v>
      </c>
      <c r="AF103" s="26">
        <f t="shared" si="20"/>
        <v>50000</v>
      </c>
      <c r="AG103" s="27" t="str">
        <f>IF(AC103="","",IF(COUNTIFS($AC$3:AC103,"Quên chấm công",$S$3:S103,S103)&gt;3,"Không chấm công do vi phạm quá 3 lần",IF(COUNTIFS($AC$3:AC103,"Quên chấm công",$S$3:S103,S103)&gt;2,"Trừ toàn bộ chuyên cần tháng do vi phạm lần 3",IF(COUNTIFS($AC$3:AC103,"Quên chấm công",$S$3:S103,S103)&gt;1,"Trừ 1/2 ngày lương",50000))))</f>
        <v/>
      </c>
      <c r="AH103" s="12" t="str">
        <f>IF(AF103=0,"",IF(COUNTIFS($AF$3:AF103,"&gt;0",$S$3:S103,S103)&gt;3,"Trừ toàn bộ chuyên cần tháng",""))</f>
        <v>Trừ toàn bộ chuyên cần tháng</v>
      </c>
      <c r="AI103" s="12"/>
    </row>
    <row r="104" spans="1:35" x14ac:dyDescent="0.25">
      <c r="A104" s="4" t="s">
        <v>417</v>
      </c>
      <c r="B104" s="1" t="s">
        <v>418</v>
      </c>
      <c r="C104" s="1" t="s">
        <v>19</v>
      </c>
      <c r="D104" s="1" t="s">
        <v>41</v>
      </c>
      <c r="E104" s="1" t="s">
        <v>21</v>
      </c>
      <c r="F104" s="1" t="s">
        <v>22</v>
      </c>
      <c r="G104" s="1" t="s">
        <v>10</v>
      </c>
      <c r="H104" s="1" t="s">
        <v>435</v>
      </c>
      <c r="I104" s="1" t="s">
        <v>395</v>
      </c>
      <c r="J104" s="1" t="s">
        <v>348</v>
      </c>
      <c r="K104" s="1" t="s">
        <v>243</v>
      </c>
      <c r="L104" s="1" t="s">
        <v>24</v>
      </c>
      <c r="M104" s="1" t="s">
        <v>25</v>
      </c>
      <c r="N104" s="1" t="s">
        <v>24</v>
      </c>
      <c r="O104" s="1" t="s">
        <v>168</v>
      </c>
      <c r="P104" s="1" t="s">
        <v>24</v>
      </c>
      <c r="Q104" s="1" t="s">
        <v>24</v>
      </c>
      <c r="R104" s="85" t="str">
        <f t="shared" si="18"/>
        <v>6445912</v>
      </c>
      <c r="S104" t="str">
        <f>VLOOKUP(A104,Data_NV!$A:$C,3,0)</f>
        <v>Đoàn Thị Thanh Hương</v>
      </c>
      <c r="T104" t="str">
        <f>VLOOKUP(A104,Data_NV!$A:$E,4,0)</f>
        <v>Kế toán - Văn phòng</v>
      </c>
      <c r="U104" s="82">
        <f>DATEVALUE(Table2[[#This Row],[Ngày]])</f>
        <v>45912</v>
      </c>
      <c r="V104" t="str">
        <f>VLOOKUP(A104,Data_NV!$A:$E,5,0)</f>
        <v>Đang làm việc</v>
      </c>
      <c r="W104" s="10">
        <f>VLOOKUP(A104,Data_NV!$A:$I,8,0)</f>
        <v>0.33333333333333331</v>
      </c>
      <c r="X104" s="10">
        <f>VLOOKUP(A104,Data_NV!$A:$I,9,0)</f>
        <v>0.70833333333333337</v>
      </c>
      <c r="Y104" s="10">
        <f>IFERROR(TIMEVALUE(Table2[[#This Row],[Vào]]),0)</f>
        <v>0.3397337962962963</v>
      </c>
      <c r="Z104" s="10">
        <f>IFERROR(TIMEVALUE(Table2[[#This Row],[Ra]]),0)</f>
        <v>0.73413194444444441</v>
      </c>
      <c r="AA104" t="str">
        <f t="shared" si="19"/>
        <v>x</v>
      </c>
      <c r="AB104" s="12">
        <f t="shared" si="21"/>
        <v>9</v>
      </c>
      <c r="AC104" s="12" t="str">
        <f>IF(VLOOKUP(A104,Data_NV!$A:$I,7,0)="Không","",IF(OR(AND(Y104=0,Z104=0),AND(Y104&lt;&gt;0,Z104&lt;&gt;0)),"","Quên chấm công"))</f>
        <v/>
      </c>
      <c r="AD104" s="12">
        <f>IF(VLOOKUP(A104,Data_NV!$A:$I,7,0)="Không",0,IF(AND(Y104=0,Z104=0),0,IF(X104&lt;=Z104,0,ROUNDDOWN((X104-Z104)*24*60,0))))</f>
        <v>0</v>
      </c>
      <c r="AE104" s="12">
        <f>IF(VLOOKUP(A104,Data_NV!$A:$I,6,0)="Không",0,IF(Z104&lt;=X104,0,ROUNDDOWN((Z104-X104)*24*60,0)))</f>
        <v>37</v>
      </c>
      <c r="AF104" s="26">
        <f t="shared" si="20"/>
        <v>30000</v>
      </c>
      <c r="AG104" s="27" t="str">
        <f>IF(AC104="","",IF(COUNTIFS($AC$3:AC104,"Quên chấm công",$S$3:S104,S104)&gt;3,"Không chấm công do vi phạm quá 3 lần",IF(COUNTIFS($AC$3:AC104,"Quên chấm công",$S$3:S104,S104)&gt;2,"Trừ toàn bộ chuyên cần tháng do vi phạm lần 3",IF(COUNTIFS($AC$3:AC104,"Quên chấm công",$S$3:S104,S104)&gt;1,"Trừ 1/2 ngày lương",50000))))</f>
        <v/>
      </c>
      <c r="AH104" s="12" t="str">
        <f>IF(AF104=0,"",IF(COUNTIFS($AF$3:AF104,"&gt;0",$S$3:S104,S104)&gt;3,"Trừ toàn bộ chuyên cần tháng",""))</f>
        <v>Trừ toàn bộ chuyên cần tháng</v>
      </c>
      <c r="AI104" s="12"/>
    </row>
    <row r="105" spans="1:35" x14ac:dyDescent="0.25">
      <c r="A105" s="4" t="s">
        <v>417</v>
      </c>
      <c r="B105" s="1" t="s">
        <v>418</v>
      </c>
      <c r="C105" s="1" t="s">
        <v>19</v>
      </c>
      <c r="D105" s="1" t="s">
        <v>42</v>
      </c>
      <c r="E105" s="1" t="s">
        <v>21</v>
      </c>
      <c r="F105" s="1" t="s">
        <v>351</v>
      </c>
      <c r="G105" s="1" t="s">
        <v>12</v>
      </c>
      <c r="H105" s="1" t="s">
        <v>436</v>
      </c>
      <c r="I105" s="1" t="s">
        <v>23</v>
      </c>
      <c r="J105" s="1" t="s">
        <v>24</v>
      </c>
      <c r="K105" s="1" t="s">
        <v>24</v>
      </c>
      <c r="L105" s="1" t="s">
        <v>352</v>
      </c>
      <c r="M105" s="1" t="s">
        <v>24</v>
      </c>
      <c r="N105" s="1" t="s">
        <v>24</v>
      </c>
      <c r="O105" s="1" t="s">
        <v>24</v>
      </c>
      <c r="P105" s="1" t="s">
        <v>24</v>
      </c>
      <c r="Q105" s="1" t="s">
        <v>24</v>
      </c>
      <c r="R105" s="85" t="str">
        <f t="shared" si="18"/>
        <v>6445913</v>
      </c>
      <c r="S105" t="str">
        <f>VLOOKUP(A105,Data_NV!$A:$C,3,0)</f>
        <v>Đoàn Thị Thanh Hương</v>
      </c>
      <c r="T105" t="str">
        <f>VLOOKUP(A105,Data_NV!$A:$E,4,0)</f>
        <v>Kế toán - Văn phòng</v>
      </c>
      <c r="U105" s="82">
        <f>DATEVALUE(Table2[[#This Row],[Ngày]])</f>
        <v>45913</v>
      </c>
      <c r="V105" t="str">
        <f>VLOOKUP(A105,Data_NV!$A:$E,5,0)</f>
        <v>Đang làm việc</v>
      </c>
      <c r="W105" s="10">
        <f>VLOOKUP(A105,Data_NV!$A:$I,8,0)</f>
        <v>0.33333333333333331</v>
      </c>
      <c r="X105" s="10">
        <f>VLOOKUP(A105,Data_NV!$A:$I,9,0)</f>
        <v>0.70833333333333337</v>
      </c>
      <c r="Y105" s="10">
        <f>IFERROR(TIMEVALUE(Table2[[#This Row],[Vào]]),0)</f>
        <v>0.32876157407407408</v>
      </c>
      <c r="Z105" s="10">
        <f>IFERROR(TIMEVALUE(Table2[[#This Row],[Ra]]),0)</f>
        <v>0</v>
      </c>
      <c r="AA105" t="str">
        <f t="shared" si="19"/>
        <v>x</v>
      </c>
      <c r="AB105" s="12">
        <f t="shared" si="21"/>
        <v>0</v>
      </c>
      <c r="AC105" s="12" t="str">
        <f>IF(VLOOKUP(A105,Data_NV!$A:$I,7,0)="Không","",IF(OR(AND(Y105=0,Z105=0),AND(Y105&lt;&gt;0,Z105&lt;&gt;0)),"","Quên chấm công"))</f>
        <v>Quên chấm công</v>
      </c>
      <c r="AD105" s="12">
        <f>IF(VLOOKUP(A105,Data_NV!$A:$I,7,0)="Không",0,IF(AND(Y105=0,Z105=0),0,IF(X105&lt;=Z105,0,ROUNDDOWN((X105-Z105)*24*60,0))))</f>
        <v>1020</v>
      </c>
      <c r="AE105" s="12">
        <f>IF(VLOOKUP(A105,Data_NV!$A:$I,6,0)="Không",0,IF(Z105&lt;=X105,0,ROUNDDOWN((Z105-X105)*24*60,0)))</f>
        <v>0</v>
      </c>
      <c r="AF105" s="26">
        <f t="shared" si="20"/>
        <v>0</v>
      </c>
      <c r="AG105" s="27">
        <f>IF(AC105="","",IF(COUNTIFS($AC$3:AC105,"Quên chấm công",$S$3:S105,S105)&gt;3,"Không chấm công do vi phạm quá 3 lần",IF(COUNTIFS($AC$3:AC105,"Quên chấm công",$S$3:S105,S105)&gt;2,"Trừ toàn bộ chuyên cần tháng do vi phạm lần 3",IF(COUNTIFS($AC$3:AC105,"Quên chấm công",$S$3:S105,S105)&gt;1,"Trừ 1/2 ngày lương",50000))))</f>
        <v>50000</v>
      </c>
      <c r="AH105" s="12" t="str">
        <f>IF(AF105=0,"",IF(COUNTIFS($AF$3:AF105,"&gt;0",$S$3:S105,S105)&gt;3,"Trừ toàn bộ chuyên cần tháng",""))</f>
        <v/>
      </c>
      <c r="AI105" s="12"/>
    </row>
    <row r="106" spans="1:35" x14ac:dyDescent="0.25">
      <c r="A106" s="4" t="s">
        <v>417</v>
      </c>
      <c r="B106" s="1" t="s">
        <v>418</v>
      </c>
      <c r="C106" s="1" t="s">
        <v>19</v>
      </c>
      <c r="D106" s="1" t="s">
        <v>45</v>
      </c>
      <c r="E106" s="1" t="s">
        <v>21</v>
      </c>
      <c r="F106" s="1" t="s">
        <v>22</v>
      </c>
      <c r="G106" s="1" t="s">
        <v>12</v>
      </c>
      <c r="H106" s="1" t="s">
        <v>23</v>
      </c>
      <c r="I106" s="1" t="s">
        <v>23</v>
      </c>
      <c r="J106" s="1" t="s">
        <v>24</v>
      </c>
      <c r="K106" s="1" t="s">
        <v>24</v>
      </c>
      <c r="L106" s="1" t="s">
        <v>25</v>
      </c>
      <c r="M106" s="1" t="s">
        <v>24</v>
      </c>
      <c r="N106" s="1" t="s">
        <v>24</v>
      </c>
      <c r="O106" s="1" t="s">
        <v>24</v>
      </c>
      <c r="P106" s="1" t="s">
        <v>24</v>
      </c>
      <c r="Q106" s="1" t="s">
        <v>24</v>
      </c>
      <c r="R106" s="85" t="str">
        <f t="shared" si="18"/>
        <v>6445914</v>
      </c>
      <c r="S106" t="str">
        <f>VLOOKUP(A106,Data_NV!$A:$C,3,0)</f>
        <v>Đoàn Thị Thanh Hương</v>
      </c>
      <c r="T106" t="str">
        <f>VLOOKUP(A106,Data_NV!$A:$E,4,0)</f>
        <v>Kế toán - Văn phòng</v>
      </c>
      <c r="U106" s="82">
        <f>DATEVALUE(Table2[[#This Row],[Ngày]])</f>
        <v>45914</v>
      </c>
      <c r="V106" t="str">
        <f>VLOOKUP(A106,Data_NV!$A:$E,5,0)</f>
        <v>Đang làm việc</v>
      </c>
      <c r="W106" s="10">
        <f>VLOOKUP(A106,Data_NV!$A:$I,8,0)</f>
        <v>0.33333333333333331</v>
      </c>
      <c r="X106" s="10">
        <f>VLOOKUP(A106,Data_NV!$A:$I,9,0)</f>
        <v>0.70833333333333337</v>
      </c>
      <c r="Y106" s="10">
        <f>IFERROR(TIMEVALUE(Table2[[#This Row],[Vào]]),0)</f>
        <v>0</v>
      </c>
      <c r="Z106" s="10">
        <f>IFERROR(TIMEVALUE(Table2[[#This Row],[Ra]]),0)</f>
        <v>0</v>
      </c>
      <c r="AA106" t="str">
        <f t="shared" si="19"/>
        <v>Chủ nhật</v>
      </c>
      <c r="AB106" s="12">
        <f t="shared" si="21"/>
        <v>0</v>
      </c>
      <c r="AC106" s="12" t="str">
        <f>IF(VLOOKUP(A106,Data_NV!$A:$I,7,0)="Không","",IF(OR(AND(Y106=0,Z106=0),AND(Y106&lt;&gt;0,Z106&lt;&gt;0)),"","Quên chấm công"))</f>
        <v/>
      </c>
      <c r="AD106" s="12">
        <f>IF(VLOOKUP(A106,Data_NV!$A:$I,7,0)="Không",0,IF(AND(Y106=0,Z106=0),0,IF(X106&lt;=Z106,0,ROUNDDOWN((X106-Z106)*24*60,0))))</f>
        <v>0</v>
      </c>
      <c r="AE106" s="12">
        <f>IF(VLOOKUP(A106,Data_NV!$A:$I,6,0)="Không",0,IF(Z106&lt;=X106,0,ROUNDDOWN((Z106-X106)*24*60,0)))</f>
        <v>0</v>
      </c>
      <c r="AF106" s="26">
        <f t="shared" si="20"/>
        <v>0</v>
      </c>
      <c r="AG106" s="27" t="str">
        <f>IF(AC106="","",IF(COUNTIFS($AC$3:AC106,"Quên chấm công",$S$3:S106,S106)&gt;3,"Không chấm công do vi phạm quá 3 lần",IF(COUNTIFS($AC$3:AC106,"Quên chấm công",$S$3:S106,S106)&gt;2,"Trừ toàn bộ chuyên cần tháng do vi phạm lần 3",IF(COUNTIFS($AC$3:AC106,"Quên chấm công",$S$3:S106,S106)&gt;1,"Trừ 1/2 ngày lương",50000))))</f>
        <v/>
      </c>
      <c r="AH106" s="12" t="str">
        <f>IF(AF106=0,"",IF(COUNTIFS($AF$3:AF106,"&gt;0",$S$3:S106,S106)&gt;3,"Trừ toàn bộ chuyên cần tháng",""))</f>
        <v/>
      </c>
      <c r="AI106" s="12"/>
    </row>
    <row r="107" spans="1:35" x14ac:dyDescent="0.25">
      <c r="A107" s="4" t="s">
        <v>417</v>
      </c>
      <c r="B107" s="1" t="s">
        <v>418</v>
      </c>
      <c r="C107" s="1" t="s">
        <v>19</v>
      </c>
      <c r="D107" s="1" t="s">
        <v>46</v>
      </c>
      <c r="E107" s="1" t="s">
        <v>21</v>
      </c>
      <c r="F107" s="1" t="s">
        <v>22</v>
      </c>
      <c r="G107" s="1" t="s">
        <v>10</v>
      </c>
      <c r="H107" s="1" t="s">
        <v>437</v>
      </c>
      <c r="I107" s="1" t="s">
        <v>285</v>
      </c>
      <c r="J107" s="1" t="s">
        <v>346</v>
      </c>
      <c r="K107" s="1" t="s">
        <v>301</v>
      </c>
      <c r="L107" s="1" t="s">
        <v>24</v>
      </c>
      <c r="M107" s="1" t="s">
        <v>25</v>
      </c>
      <c r="N107" s="1" t="s">
        <v>24</v>
      </c>
      <c r="O107" s="1" t="s">
        <v>287</v>
      </c>
      <c r="P107" s="1" t="s">
        <v>24</v>
      </c>
      <c r="Q107" s="1" t="s">
        <v>24</v>
      </c>
      <c r="R107" s="85" t="str">
        <f t="shared" si="18"/>
        <v>6445915</v>
      </c>
      <c r="S107" t="str">
        <f>VLOOKUP(A107,Data_NV!$A:$C,3,0)</f>
        <v>Đoàn Thị Thanh Hương</v>
      </c>
      <c r="T107" t="str">
        <f>VLOOKUP(A107,Data_NV!$A:$E,4,0)</f>
        <v>Kế toán - Văn phòng</v>
      </c>
      <c r="U107" s="82">
        <f>DATEVALUE(Table2[[#This Row],[Ngày]])</f>
        <v>45915</v>
      </c>
      <c r="V107" t="str">
        <f>VLOOKUP(A107,Data_NV!$A:$E,5,0)</f>
        <v>Đang làm việc</v>
      </c>
      <c r="W107" s="10">
        <f>VLOOKUP(A107,Data_NV!$A:$I,8,0)</f>
        <v>0.33333333333333331</v>
      </c>
      <c r="X107" s="10">
        <f>VLOOKUP(A107,Data_NV!$A:$I,9,0)</f>
        <v>0.70833333333333337</v>
      </c>
      <c r="Y107" s="10">
        <f>IFERROR(TIMEVALUE(Table2[[#This Row],[Vào]]),0)</f>
        <v>0.34446759259259258</v>
      </c>
      <c r="Z107" s="10">
        <f>IFERROR(TIMEVALUE(Table2[[#This Row],[Ra]]),0)</f>
        <v>0.78377314814814814</v>
      </c>
      <c r="AA107" t="str">
        <f t="shared" si="19"/>
        <v>x</v>
      </c>
      <c r="AB107" s="12">
        <f t="shared" si="21"/>
        <v>16</v>
      </c>
      <c r="AC107" s="12" t="str">
        <f>IF(VLOOKUP(A107,Data_NV!$A:$I,7,0)="Không","",IF(OR(AND(Y107=0,Z107=0),AND(Y107&lt;&gt;0,Z107&lt;&gt;0)),"","Quên chấm công"))</f>
        <v/>
      </c>
      <c r="AD107" s="12">
        <f>IF(VLOOKUP(A107,Data_NV!$A:$I,7,0)="Không",0,IF(AND(Y107=0,Z107=0),0,IF(X107&lt;=Z107,0,ROUNDDOWN((X107-Z107)*24*60,0))))</f>
        <v>0</v>
      </c>
      <c r="AE107" s="12">
        <f>IF(VLOOKUP(A107,Data_NV!$A:$I,6,0)="Không",0,IF(Z107&lt;=X107,0,ROUNDDOWN((Z107-X107)*24*60,0)))</f>
        <v>108</v>
      </c>
      <c r="AF107" s="26">
        <f t="shared" si="20"/>
        <v>50000</v>
      </c>
      <c r="AG107" s="27" t="str">
        <f>IF(AC107="","",IF(COUNTIFS($AC$3:AC107,"Quên chấm công",$S$3:S107,S107)&gt;3,"Không chấm công do vi phạm quá 3 lần",IF(COUNTIFS($AC$3:AC107,"Quên chấm công",$S$3:S107,S107)&gt;2,"Trừ toàn bộ chuyên cần tháng do vi phạm lần 3",IF(COUNTIFS($AC$3:AC107,"Quên chấm công",$S$3:S107,S107)&gt;1,"Trừ 1/2 ngày lương",50000))))</f>
        <v/>
      </c>
      <c r="AH107" s="12" t="str">
        <f>IF(AF107=0,"",IF(COUNTIFS($AF$3:AF107,"&gt;0",$S$3:S107,S107)&gt;3,"Trừ toàn bộ chuyên cần tháng",""))</f>
        <v>Trừ toàn bộ chuyên cần tháng</v>
      </c>
      <c r="AI107" s="12"/>
    </row>
    <row r="108" spans="1:35" x14ac:dyDescent="0.25">
      <c r="A108" s="4" t="s">
        <v>417</v>
      </c>
      <c r="B108" s="1" t="s">
        <v>418</v>
      </c>
      <c r="C108" s="1" t="s">
        <v>19</v>
      </c>
      <c r="D108" s="1" t="s">
        <v>47</v>
      </c>
      <c r="E108" s="1" t="s">
        <v>21</v>
      </c>
      <c r="F108" s="1" t="s">
        <v>22</v>
      </c>
      <c r="G108" s="1" t="s">
        <v>10</v>
      </c>
      <c r="H108" s="1" t="s">
        <v>438</v>
      </c>
      <c r="I108" s="1" t="s">
        <v>439</v>
      </c>
      <c r="J108" s="1" t="s">
        <v>230</v>
      </c>
      <c r="K108" s="1" t="s">
        <v>96</v>
      </c>
      <c r="L108" s="1" t="s">
        <v>24</v>
      </c>
      <c r="M108" s="1" t="s">
        <v>25</v>
      </c>
      <c r="N108" s="1" t="s">
        <v>24</v>
      </c>
      <c r="O108" s="1" t="s">
        <v>104</v>
      </c>
      <c r="P108" s="1" t="s">
        <v>24</v>
      </c>
      <c r="Q108" s="1" t="s">
        <v>24</v>
      </c>
      <c r="R108" s="85" t="str">
        <f t="shared" si="18"/>
        <v>6445916</v>
      </c>
      <c r="S108" t="str">
        <f>VLOOKUP(A108,Data_NV!$A:$C,3,0)</f>
        <v>Đoàn Thị Thanh Hương</v>
      </c>
      <c r="T108" t="str">
        <f>VLOOKUP(A108,Data_NV!$A:$E,4,0)</f>
        <v>Kế toán - Văn phòng</v>
      </c>
      <c r="U108" s="82">
        <f>DATEVALUE(Table2[[#This Row],[Ngày]])</f>
        <v>45916</v>
      </c>
      <c r="V108" t="str">
        <f>VLOOKUP(A108,Data_NV!$A:$E,5,0)</f>
        <v>Đang làm việc</v>
      </c>
      <c r="W108" s="10">
        <f>VLOOKUP(A108,Data_NV!$A:$I,8,0)</f>
        <v>0.33333333333333331</v>
      </c>
      <c r="X108" s="10">
        <f>VLOOKUP(A108,Data_NV!$A:$I,9,0)</f>
        <v>0.70833333333333337</v>
      </c>
      <c r="Y108" s="10">
        <f>IFERROR(TIMEVALUE(Table2[[#This Row],[Vào]]),0)</f>
        <v>0.3414699074074074</v>
      </c>
      <c r="Z108" s="10">
        <f>IFERROR(TIMEVALUE(Table2[[#This Row],[Ra]]),0)</f>
        <v>0.79030092592592593</v>
      </c>
      <c r="AA108" t="str">
        <f t="shared" si="19"/>
        <v>x</v>
      </c>
      <c r="AB108" s="12">
        <f t="shared" si="21"/>
        <v>11</v>
      </c>
      <c r="AC108" s="12" t="str">
        <f>IF(VLOOKUP(A108,Data_NV!$A:$I,7,0)="Không","",IF(OR(AND(Y108=0,Z108=0),AND(Y108&lt;&gt;0,Z108&lt;&gt;0)),"","Quên chấm công"))</f>
        <v/>
      </c>
      <c r="AD108" s="12">
        <f>IF(VLOOKUP(A108,Data_NV!$A:$I,7,0)="Không",0,IF(AND(Y108=0,Z108=0),0,IF(X108&lt;=Z108,0,ROUNDDOWN((X108-Z108)*24*60,0))))</f>
        <v>0</v>
      </c>
      <c r="AE108" s="12">
        <f>IF(VLOOKUP(A108,Data_NV!$A:$I,6,0)="Không",0,IF(Z108&lt;=X108,0,ROUNDDOWN((Z108-X108)*24*60,0)))</f>
        <v>118</v>
      </c>
      <c r="AF108" s="26">
        <f t="shared" si="20"/>
        <v>30000</v>
      </c>
      <c r="AG108" s="27" t="str">
        <f>IF(AC108="","",IF(COUNTIFS($AC$3:AC108,"Quên chấm công",$S$3:S108,S108)&gt;3,"Không chấm công do vi phạm quá 3 lần",IF(COUNTIFS($AC$3:AC108,"Quên chấm công",$S$3:S108,S108)&gt;2,"Trừ toàn bộ chuyên cần tháng do vi phạm lần 3",IF(COUNTIFS($AC$3:AC108,"Quên chấm công",$S$3:S108,S108)&gt;1,"Trừ 1/2 ngày lương",50000))))</f>
        <v/>
      </c>
      <c r="AH108" s="12" t="str">
        <f>IF(AF108=0,"",IF(COUNTIFS($AF$3:AF108,"&gt;0",$S$3:S108,S108)&gt;3,"Trừ toàn bộ chuyên cần tháng",""))</f>
        <v>Trừ toàn bộ chuyên cần tháng</v>
      </c>
      <c r="AI108" s="12"/>
    </row>
    <row r="109" spans="1:35" x14ac:dyDescent="0.25">
      <c r="A109" s="4" t="s">
        <v>417</v>
      </c>
      <c r="B109" s="1" t="s">
        <v>418</v>
      </c>
      <c r="C109" s="1" t="s">
        <v>19</v>
      </c>
      <c r="D109" s="1" t="s">
        <v>48</v>
      </c>
      <c r="E109" s="1" t="s">
        <v>21</v>
      </c>
      <c r="F109" s="1" t="s">
        <v>22</v>
      </c>
      <c r="G109" s="1" t="s">
        <v>10</v>
      </c>
      <c r="H109" s="1" t="s">
        <v>440</v>
      </c>
      <c r="I109" s="1" t="s">
        <v>441</v>
      </c>
      <c r="J109" s="1" t="s">
        <v>29</v>
      </c>
      <c r="K109" s="1" t="s">
        <v>325</v>
      </c>
      <c r="L109" s="1" t="s">
        <v>322</v>
      </c>
      <c r="M109" s="1" t="s">
        <v>325</v>
      </c>
      <c r="N109" s="1" t="s">
        <v>24</v>
      </c>
      <c r="O109" s="1" t="s">
        <v>61</v>
      </c>
      <c r="P109" s="1" t="s">
        <v>24</v>
      </c>
      <c r="Q109" s="1" t="s">
        <v>24</v>
      </c>
      <c r="R109" s="85" t="str">
        <f t="shared" si="18"/>
        <v>6445917</v>
      </c>
      <c r="S109" t="str">
        <f>VLOOKUP(A109,Data_NV!$A:$C,3,0)</f>
        <v>Đoàn Thị Thanh Hương</v>
      </c>
      <c r="T109" t="str">
        <f>VLOOKUP(A109,Data_NV!$A:$E,4,0)</f>
        <v>Kế toán - Văn phòng</v>
      </c>
      <c r="U109" s="82">
        <f>DATEVALUE(Table2[[#This Row],[Ngày]])</f>
        <v>45917</v>
      </c>
      <c r="V109" t="str">
        <f>VLOOKUP(A109,Data_NV!$A:$E,5,0)</f>
        <v>Đang làm việc</v>
      </c>
      <c r="W109" s="10">
        <f>VLOOKUP(A109,Data_NV!$A:$I,8,0)</f>
        <v>0.33333333333333331</v>
      </c>
      <c r="X109" s="10">
        <f>VLOOKUP(A109,Data_NV!$A:$I,9,0)</f>
        <v>0.70833333333333337</v>
      </c>
      <c r="Y109" s="10">
        <f>IFERROR(TIMEVALUE(Table2[[#This Row],[Vào]]),0)</f>
        <v>0.41662037037037036</v>
      </c>
      <c r="Z109" s="10">
        <f>IFERROR(TIMEVALUE(Table2[[#This Row],[Ra]]),0)</f>
        <v>0.77922453703703709</v>
      </c>
      <c r="AA109" t="str">
        <f t="shared" si="19"/>
        <v>1/2</v>
      </c>
      <c r="AB109" s="12">
        <f t="shared" si="21"/>
        <v>119</v>
      </c>
      <c r="AC109" s="12" t="str">
        <f>IF(VLOOKUP(A109,Data_NV!$A:$I,7,0)="Không","",IF(OR(AND(Y109=0,Z109=0),AND(Y109&lt;&gt;0,Z109&lt;&gt;0)),"","Quên chấm công"))</f>
        <v/>
      </c>
      <c r="AD109" s="12">
        <f>IF(VLOOKUP(A109,Data_NV!$A:$I,7,0)="Không",0,IF(AND(Y109=0,Z109=0),0,IF(X109&lt;=Z109,0,ROUNDDOWN((X109-Z109)*24*60,0))))</f>
        <v>0</v>
      </c>
      <c r="AE109" s="12">
        <f>IF(VLOOKUP(A109,Data_NV!$A:$I,6,0)="Không",0,IF(Z109&lt;=X109,0,ROUNDDOWN((Z109-X109)*24*60,0)))</f>
        <v>102</v>
      </c>
      <c r="AF109" s="26" t="str">
        <f t="shared" si="20"/>
        <v>Trừ 1/2 ngày lương</v>
      </c>
      <c r="AG109" s="27" t="str">
        <f>IF(AC109="","",IF(COUNTIFS($AC$3:AC109,"Quên chấm công",$S$3:S109,S109)&gt;3,"Không chấm công do vi phạm quá 3 lần",IF(COUNTIFS($AC$3:AC109,"Quên chấm công",$S$3:S109,S109)&gt;2,"Trừ toàn bộ chuyên cần tháng do vi phạm lần 3",IF(COUNTIFS($AC$3:AC109,"Quên chấm công",$S$3:S109,S109)&gt;1,"Trừ 1/2 ngày lương",50000))))</f>
        <v/>
      </c>
      <c r="AH109" s="12" t="str">
        <f>IF(AF109=0,"",IF(COUNTIFS($AF$3:AF109,"&gt;0",$S$3:S109,S109)&gt;3,"Trừ toàn bộ chuyên cần tháng",""))</f>
        <v>Trừ toàn bộ chuyên cần tháng</v>
      </c>
      <c r="AI109" s="12"/>
    </row>
    <row r="110" spans="1:35" x14ac:dyDescent="0.25">
      <c r="A110" s="4" t="s">
        <v>417</v>
      </c>
      <c r="B110" s="1" t="s">
        <v>418</v>
      </c>
      <c r="C110" s="1" t="s">
        <v>19</v>
      </c>
      <c r="D110" s="1" t="s">
        <v>50</v>
      </c>
      <c r="E110" s="1" t="s">
        <v>21</v>
      </c>
      <c r="F110" s="1" t="s">
        <v>22</v>
      </c>
      <c r="G110" s="1" t="s">
        <v>10</v>
      </c>
      <c r="H110" s="1" t="s">
        <v>442</v>
      </c>
      <c r="I110" s="1" t="s">
        <v>443</v>
      </c>
      <c r="J110" s="1" t="s">
        <v>91</v>
      </c>
      <c r="K110" s="1" t="s">
        <v>444</v>
      </c>
      <c r="L110" s="1" t="s">
        <v>24</v>
      </c>
      <c r="M110" s="1" t="s">
        <v>25</v>
      </c>
      <c r="N110" s="1" t="s">
        <v>24</v>
      </c>
      <c r="O110" s="1" t="s">
        <v>29</v>
      </c>
      <c r="P110" s="1" t="s">
        <v>94</v>
      </c>
      <c r="Q110" s="1" t="s">
        <v>24</v>
      </c>
      <c r="R110" s="85" t="str">
        <f t="shared" si="18"/>
        <v>6445918</v>
      </c>
      <c r="S110" t="str">
        <f>VLOOKUP(A110,Data_NV!$A:$C,3,0)</f>
        <v>Đoàn Thị Thanh Hương</v>
      </c>
      <c r="T110" t="str">
        <f>VLOOKUP(A110,Data_NV!$A:$E,4,0)</f>
        <v>Kế toán - Văn phòng</v>
      </c>
      <c r="U110" s="82">
        <f>DATEVALUE(Table2[[#This Row],[Ngày]])</f>
        <v>45918</v>
      </c>
      <c r="V110" t="str">
        <f>VLOOKUP(A110,Data_NV!$A:$E,5,0)</f>
        <v>Đang làm việc</v>
      </c>
      <c r="W110" s="10">
        <f>VLOOKUP(A110,Data_NV!$A:$I,8,0)</f>
        <v>0.33333333333333331</v>
      </c>
      <c r="X110" s="10">
        <f>VLOOKUP(A110,Data_NV!$A:$I,9,0)</f>
        <v>0.70833333333333337</v>
      </c>
      <c r="Y110" s="10">
        <f>IFERROR(TIMEVALUE(Table2[[#This Row],[Vào]]),0)</f>
        <v>0.33603009259259259</v>
      </c>
      <c r="Z110" s="10">
        <f>IFERROR(TIMEVALUE(Table2[[#This Row],[Ra]]),0)</f>
        <v>0.80479166666666668</v>
      </c>
      <c r="AA110" t="str">
        <f t="shared" si="19"/>
        <v>x</v>
      </c>
      <c r="AB110" s="12">
        <f t="shared" si="21"/>
        <v>3</v>
      </c>
      <c r="AC110" s="12" t="str">
        <f>IF(VLOOKUP(A110,Data_NV!$A:$I,7,0)="Không","",IF(OR(AND(Y110=0,Z110=0),AND(Y110&lt;&gt;0,Z110&lt;&gt;0)),"","Quên chấm công"))</f>
        <v/>
      </c>
      <c r="AD110" s="12">
        <f>IF(VLOOKUP(A110,Data_NV!$A:$I,7,0)="Không",0,IF(AND(Y110=0,Z110=0),0,IF(X110&lt;=Z110,0,ROUNDDOWN((X110-Z110)*24*60,0))))</f>
        <v>0</v>
      </c>
      <c r="AE110" s="12">
        <f>IF(VLOOKUP(A110,Data_NV!$A:$I,6,0)="Không",0,IF(Z110&lt;=X110,0,ROUNDDOWN((Z110-X110)*24*60,0)))</f>
        <v>138</v>
      </c>
      <c r="AF110" s="26">
        <f t="shared" si="20"/>
        <v>0</v>
      </c>
      <c r="AG110" s="27" t="str">
        <f>IF(AC110="","",IF(COUNTIFS($AC$3:AC110,"Quên chấm công",$S$3:S110,S110)&gt;3,"Không chấm công do vi phạm quá 3 lần",IF(COUNTIFS($AC$3:AC110,"Quên chấm công",$S$3:S110,S110)&gt;2,"Trừ toàn bộ chuyên cần tháng do vi phạm lần 3",IF(COUNTIFS($AC$3:AC110,"Quên chấm công",$S$3:S110,S110)&gt;1,"Trừ 1/2 ngày lương",50000))))</f>
        <v/>
      </c>
      <c r="AH110" s="12" t="str">
        <f>IF(AF110=0,"",IF(COUNTIFS($AF$3:AF110,"&gt;0",$S$3:S110,S110)&gt;3,"Trừ toàn bộ chuyên cần tháng",""))</f>
        <v/>
      </c>
      <c r="AI110" s="12"/>
    </row>
    <row r="111" spans="1:35" x14ac:dyDescent="0.25">
      <c r="A111" s="4" t="s">
        <v>417</v>
      </c>
      <c r="B111" s="1" t="s">
        <v>418</v>
      </c>
      <c r="C111" s="1" t="s">
        <v>19</v>
      </c>
      <c r="D111" s="1" t="s">
        <v>51</v>
      </c>
      <c r="E111" s="1" t="s">
        <v>21</v>
      </c>
      <c r="F111" s="1" t="s">
        <v>22</v>
      </c>
      <c r="G111" s="1" t="s">
        <v>10</v>
      </c>
      <c r="H111" s="1" t="s">
        <v>445</v>
      </c>
      <c r="I111" s="1" t="s">
        <v>446</v>
      </c>
      <c r="J111" s="1" t="s">
        <v>230</v>
      </c>
      <c r="K111" s="1" t="s">
        <v>203</v>
      </c>
      <c r="L111" s="1" t="s">
        <v>24</v>
      </c>
      <c r="M111" s="1" t="s">
        <v>25</v>
      </c>
      <c r="N111" s="1" t="s">
        <v>24</v>
      </c>
      <c r="O111" s="1" t="s">
        <v>311</v>
      </c>
      <c r="P111" s="1" t="s">
        <v>24</v>
      </c>
      <c r="Q111" s="1" t="s">
        <v>24</v>
      </c>
      <c r="R111" s="85" t="str">
        <f t="shared" ref="R111:R144" si="22">A111&amp;U111</f>
        <v>6445919</v>
      </c>
      <c r="S111" t="str">
        <f>VLOOKUP(A111,Data_NV!$A:$C,3,0)</f>
        <v>Đoàn Thị Thanh Hương</v>
      </c>
      <c r="T111" t="str">
        <f>VLOOKUP(A111,Data_NV!$A:$E,4,0)</f>
        <v>Kế toán - Văn phòng</v>
      </c>
      <c r="U111" s="82">
        <f>DATEVALUE(Table2[[#This Row],[Ngày]])</f>
        <v>45919</v>
      </c>
      <c r="V111" t="str">
        <f>VLOOKUP(A111,Data_NV!$A:$E,5,0)</f>
        <v>Đang làm việc</v>
      </c>
      <c r="W111" s="10">
        <f>VLOOKUP(A111,Data_NV!$A:$I,8,0)</f>
        <v>0.33333333333333331</v>
      </c>
      <c r="X111" s="10">
        <f>VLOOKUP(A111,Data_NV!$A:$I,9,0)</f>
        <v>0.70833333333333337</v>
      </c>
      <c r="Y111" s="10">
        <f>IFERROR(TIMEVALUE(Table2[[#This Row],[Vào]]),0)</f>
        <v>0.34142361111111114</v>
      </c>
      <c r="Z111" s="10">
        <f>IFERROR(TIMEVALUE(Table2[[#This Row],[Ra]]),0)</f>
        <v>0.78464120370370372</v>
      </c>
      <c r="AA111" t="str">
        <f t="shared" ref="AA111:AA144" si="23">IF(TEXT($U111,"ddd")="CN","Chủ nhật",IF(OR(AND(Y111=0,Z111=0),AG111="Không chấm công do vi phạm quá 3 lần"),"",IF(OR(AG111="Trừ 1/2 ngày lương",AF111="Trừ 1/2 ngày lương",AB111&gt;=60),"1/2","x")))</f>
        <v>x</v>
      </c>
      <c r="AB111" s="12">
        <f t="shared" si="21"/>
        <v>11</v>
      </c>
      <c r="AC111" s="12" t="str">
        <f>IF(VLOOKUP(A111,Data_NV!$A:$I,7,0)="Không","",IF(OR(AND(Y111=0,Z111=0),AND(Y111&lt;&gt;0,Z111&lt;&gt;0)),"","Quên chấm công"))</f>
        <v/>
      </c>
      <c r="AD111" s="12">
        <f>IF(VLOOKUP(A111,Data_NV!$A:$I,7,0)="Không",0,IF(AND(Y111=0,Z111=0),0,IF(X111&lt;=Z111,0,ROUNDDOWN((X111-Z111)*24*60,0))))</f>
        <v>0</v>
      </c>
      <c r="AE111" s="12">
        <f>IF(VLOOKUP(A111,Data_NV!$A:$I,6,0)="Không",0,IF(Z111&lt;=X111,0,ROUNDDOWN((Z111-X111)*24*60,0)))</f>
        <v>109</v>
      </c>
      <c r="AF111" s="26">
        <f t="shared" ref="AF111:AF144" si="24">IF(AB111&gt;60,"Trừ 1/2 ngày lương",IF(AB111&gt;15,50000,IF(AB111&gt;6,30000,0)))</f>
        <v>30000</v>
      </c>
      <c r="AG111" s="27" t="str">
        <f>IF(AC111="","",IF(COUNTIFS($AC$3:AC111,"Quên chấm công",$S$3:S111,S111)&gt;3,"Không chấm công do vi phạm quá 3 lần",IF(COUNTIFS($AC$3:AC111,"Quên chấm công",$S$3:S111,S111)&gt;2,"Trừ toàn bộ chuyên cần tháng do vi phạm lần 3",IF(COUNTIFS($AC$3:AC111,"Quên chấm công",$S$3:S111,S111)&gt;1,"Trừ 1/2 ngày lương",50000))))</f>
        <v/>
      </c>
      <c r="AH111" s="12" t="str">
        <f>IF(AF111=0,"",IF(COUNTIFS($AF$3:AF111,"&gt;0",$S$3:S111,S111)&gt;3,"Trừ toàn bộ chuyên cần tháng",""))</f>
        <v>Trừ toàn bộ chuyên cần tháng</v>
      </c>
      <c r="AI111" s="12"/>
    </row>
    <row r="112" spans="1:35" x14ac:dyDescent="0.25">
      <c r="A112" s="4" t="s">
        <v>417</v>
      </c>
      <c r="B112" s="1" t="s">
        <v>418</v>
      </c>
      <c r="C112" s="1" t="s">
        <v>19</v>
      </c>
      <c r="D112" s="1" t="s">
        <v>54</v>
      </c>
      <c r="E112" s="1" t="s">
        <v>21</v>
      </c>
      <c r="F112" s="1" t="s">
        <v>22</v>
      </c>
      <c r="G112" s="1" t="s">
        <v>10</v>
      </c>
      <c r="H112" s="1" t="s">
        <v>267</v>
      </c>
      <c r="I112" s="1" t="s">
        <v>447</v>
      </c>
      <c r="J112" s="1" t="s">
        <v>242</v>
      </c>
      <c r="K112" s="1" t="s">
        <v>209</v>
      </c>
      <c r="L112" s="1" t="s">
        <v>24</v>
      </c>
      <c r="M112" s="1" t="s">
        <v>25</v>
      </c>
      <c r="N112" s="1" t="s">
        <v>24</v>
      </c>
      <c r="O112" s="1" t="s">
        <v>36</v>
      </c>
      <c r="P112" s="1" t="s">
        <v>24</v>
      </c>
      <c r="Q112" s="1" t="s">
        <v>24</v>
      </c>
      <c r="R112" s="85" t="str">
        <f t="shared" si="22"/>
        <v>6445920</v>
      </c>
      <c r="S112" t="str">
        <f>VLOOKUP(A112,Data_NV!$A:$C,3,0)</f>
        <v>Đoàn Thị Thanh Hương</v>
      </c>
      <c r="T112" t="str">
        <f>VLOOKUP(A112,Data_NV!$A:$E,4,0)</f>
        <v>Kế toán - Văn phòng</v>
      </c>
      <c r="U112" s="82">
        <f>DATEVALUE(Table2[[#This Row],[Ngày]])</f>
        <v>45920</v>
      </c>
      <c r="V112" t="str">
        <f>VLOOKUP(A112,Data_NV!$A:$E,5,0)</f>
        <v>Đang làm việc</v>
      </c>
      <c r="W112" s="10">
        <f>VLOOKUP(A112,Data_NV!$A:$I,8,0)</f>
        <v>0.33333333333333331</v>
      </c>
      <c r="X112" s="10">
        <f>VLOOKUP(A112,Data_NV!$A:$I,9,0)</f>
        <v>0.70833333333333337</v>
      </c>
      <c r="Y112" s="10">
        <f>IFERROR(TIMEVALUE(Table2[[#This Row],[Vào]]),0)</f>
        <v>0.33556712962962965</v>
      </c>
      <c r="Z112" s="10">
        <f>IFERROR(TIMEVALUE(Table2[[#This Row],[Ra]]),0)</f>
        <v>0.77217592592592588</v>
      </c>
      <c r="AA112" t="str">
        <f t="shared" si="23"/>
        <v>x</v>
      </c>
      <c r="AB112" s="12">
        <f t="shared" si="21"/>
        <v>3</v>
      </c>
      <c r="AC112" s="12" t="str">
        <f>IF(VLOOKUP(A112,Data_NV!$A:$I,7,0)="Không","",IF(OR(AND(Y112=0,Z112=0),AND(Y112&lt;&gt;0,Z112&lt;&gt;0)),"","Quên chấm công"))</f>
        <v/>
      </c>
      <c r="AD112" s="12">
        <f>IF(VLOOKUP(A112,Data_NV!$A:$I,7,0)="Không",0,IF(AND(Y112=0,Z112=0),0,IF(X112&lt;=Z112,0,ROUNDDOWN((X112-Z112)*24*60,0))))</f>
        <v>0</v>
      </c>
      <c r="AE112" s="12">
        <f>IF(VLOOKUP(A112,Data_NV!$A:$I,6,0)="Không",0,IF(Z112&lt;=X112,0,ROUNDDOWN((Z112-X112)*24*60,0)))</f>
        <v>91</v>
      </c>
      <c r="AF112" s="26">
        <f t="shared" si="24"/>
        <v>0</v>
      </c>
      <c r="AG112" s="27" t="str">
        <f>IF(AC112="","",IF(COUNTIFS($AC$3:AC112,"Quên chấm công",$S$3:S112,S112)&gt;3,"Không chấm công do vi phạm quá 3 lần",IF(COUNTIFS($AC$3:AC112,"Quên chấm công",$S$3:S112,S112)&gt;2,"Trừ toàn bộ chuyên cần tháng do vi phạm lần 3",IF(COUNTIFS($AC$3:AC112,"Quên chấm công",$S$3:S112,S112)&gt;1,"Trừ 1/2 ngày lương",50000))))</f>
        <v/>
      </c>
      <c r="AH112" s="12" t="str">
        <f>IF(AF112=0,"",IF(COUNTIFS($AF$3:AF112,"&gt;0",$S$3:S112,S112)&gt;3,"Trừ toàn bộ chuyên cần tháng",""))</f>
        <v/>
      </c>
      <c r="AI112" s="12"/>
    </row>
    <row r="113" spans="1:35" x14ac:dyDescent="0.25">
      <c r="A113" s="4" t="s">
        <v>417</v>
      </c>
      <c r="B113" s="1" t="s">
        <v>418</v>
      </c>
      <c r="C113" s="1" t="s">
        <v>19</v>
      </c>
      <c r="D113" s="1" t="s">
        <v>57</v>
      </c>
      <c r="E113" s="1" t="s">
        <v>21</v>
      </c>
      <c r="F113" s="1" t="s">
        <v>22</v>
      </c>
      <c r="G113" s="1" t="s">
        <v>12</v>
      </c>
      <c r="H113" s="1" t="s">
        <v>23</v>
      </c>
      <c r="I113" s="1" t="s">
        <v>23</v>
      </c>
      <c r="J113" s="1" t="s">
        <v>24</v>
      </c>
      <c r="K113" s="1" t="s">
        <v>24</v>
      </c>
      <c r="L113" s="1" t="s">
        <v>25</v>
      </c>
      <c r="M113" s="1" t="s">
        <v>24</v>
      </c>
      <c r="N113" s="1" t="s">
        <v>24</v>
      </c>
      <c r="O113" s="1" t="s">
        <v>24</v>
      </c>
      <c r="P113" s="1" t="s">
        <v>24</v>
      </c>
      <c r="Q113" s="1" t="s">
        <v>24</v>
      </c>
      <c r="R113" s="85" t="str">
        <f t="shared" si="22"/>
        <v>6445921</v>
      </c>
      <c r="S113" t="str">
        <f>VLOOKUP(A113,Data_NV!$A:$C,3,0)</f>
        <v>Đoàn Thị Thanh Hương</v>
      </c>
      <c r="T113" t="str">
        <f>VLOOKUP(A113,Data_NV!$A:$E,4,0)</f>
        <v>Kế toán - Văn phòng</v>
      </c>
      <c r="U113" s="82">
        <f>DATEVALUE(Table2[[#This Row],[Ngày]])</f>
        <v>45921</v>
      </c>
      <c r="V113" t="str">
        <f>VLOOKUP(A113,Data_NV!$A:$E,5,0)</f>
        <v>Đang làm việc</v>
      </c>
      <c r="W113" s="10">
        <f>VLOOKUP(A113,Data_NV!$A:$I,8,0)</f>
        <v>0.33333333333333331</v>
      </c>
      <c r="X113" s="10">
        <f>VLOOKUP(A113,Data_NV!$A:$I,9,0)</f>
        <v>0.70833333333333337</v>
      </c>
      <c r="Y113" s="10">
        <f>IFERROR(TIMEVALUE(Table2[[#This Row],[Vào]]),0)</f>
        <v>0</v>
      </c>
      <c r="Z113" s="10">
        <f>IFERROR(TIMEVALUE(Table2[[#This Row],[Ra]]),0)</f>
        <v>0</v>
      </c>
      <c r="AA113" t="str">
        <f t="shared" si="23"/>
        <v>Chủ nhật</v>
      </c>
      <c r="AB113" s="12">
        <f t="shared" si="21"/>
        <v>0</v>
      </c>
      <c r="AC113" s="12" t="str">
        <f>IF(VLOOKUP(A113,Data_NV!$A:$I,7,0)="Không","",IF(OR(AND(Y113=0,Z113=0),AND(Y113&lt;&gt;0,Z113&lt;&gt;0)),"","Quên chấm công"))</f>
        <v/>
      </c>
      <c r="AD113" s="12">
        <f>IF(VLOOKUP(A113,Data_NV!$A:$I,7,0)="Không",0,IF(AND(Y113=0,Z113=0),0,IF(X113&lt;=Z113,0,ROUNDDOWN((X113-Z113)*24*60,0))))</f>
        <v>0</v>
      </c>
      <c r="AE113" s="12">
        <f>IF(VLOOKUP(A113,Data_NV!$A:$I,6,0)="Không",0,IF(Z113&lt;=X113,0,ROUNDDOWN((Z113-X113)*24*60,0)))</f>
        <v>0</v>
      </c>
      <c r="AF113" s="26">
        <f t="shared" si="24"/>
        <v>0</v>
      </c>
      <c r="AG113" s="27" t="str">
        <f>IF(AC113="","",IF(COUNTIFS($AC$3:AC113,"Quên chấm công",$S$3:S113,S113)&gt;3,"Không chấm công do vi phạm quá 3 lần",IF(COUNTIFS($AC$3:AC113,"Quên chấm công",$S$3:S113,S113)&gt;2,"Trừ toàn bộ chuyên cần tháng do vi phạm lần 3",IF(COUNTIFS($AC$3:AC113,"Quên chấm công",$S$3:S113,S113)&gt;1,"Trừ 1/2 ngày lương",50000))))</f>
        <v/>
      </c>
      <c r="AH113" s="12" t="str">
        <f>IF(AF113=0,"",IF(COUNTIFS($AF$3:AF113,"&gt;0",$S$3:S113,S113)&gt;3,"Trừ toàn bộ chuyên cần tháng",""))</f>
        <v/>
      </c>
      <c r="AI113" s="12"/>
    </row>
    <row r="114" spans="1:35" x14ac:dyDescent="0.25">
      <c r="A114" s="4" t="s">
        <v>417</v>
      </c>
      <c r="B114" s="1" t="s">
        <v>418</v>
      </c>
      <c r="C114" s="1" t="s">
        <v>19</v>
      </c>
      <c r="D114" s="1" t="s">
        <v>58</v>
      </c>
      <c r="E114" s="1" t="s">
        <v>21</v>
      </c>
      <c r="F114" s="1" t="s">
        <v>22</v>
      </c>
      <c r="G114" s="1" t="s">
        <v>10</v>
      </c>
      <c r="H114" s="1" t="s">
        <v>448</v>
      </c>
      <c r="I114" s="1" t="s">
        <v>449</v>
      </c>
      <c r="J114" s="1" t="s">
        <v>231</v>
      </c>
      <c r="K114" s="1" t="s">
        <v>173</v>
      </c>
      <c r="L114" s="1" t="s">
        <v>24</v>
      </c>
      <c r="M114" s="1" t="s">
        <v>25</v>
      </c>
      <c r="N114" s="1" t="s">
        <v>24</v>
      </c>
      <c r="O114" s="1" t="s">
        <v>29</v>
      </c>
      <c r="P114" s="1" t="s">
        <v>410</v>
      </c>
      <c r="Q114" s="1" t="s">
        <v>24</v>
      </c>
      <c r="R114" s="85" t="str">
        <f t="shared" si="22"/>
        <v>6445922</v>
      </c>
      <c r="S114" t="str">
        <f>VLOOKUP(A114,Data_NV!$A:$C,3,0)</f>
        <v>Đoàn Thị Thanh Hương</v>
      </c>
      <c r="T114" t="str">
        <f>VLOOKUP(A114,Data_NV!$A:$E,4,0)</f>
        <v>Kế toán - Văn phòng</v>
      </c>
      <c r="U114" s="82">
        <f>DATEVALUE(Table2[[#This Row],[Ngày]])</f>
        <v>45922</v>
      </c>
      <c r="V114" t="str">
        <f>VLOOKUP(A114,Data_NV!$A:$E,5,0)</f>
        <v>Đang làm việc</v>
      </c>
      <c r="W114" s="10">
        <f>VLOOKUP(A114,Data_NV!$A:$I,8,0)</f>
        <v>0.33333333333333331</v>
      </c>
      <c r="X114" s="10">
        <f>VLOOKUP(A114,Data_NV!$A:$I,9,0)</f>
        <v>0.70833333333333337</v>
      </c>
      <c r="Y114" s="10">
        <f>IFERROR(TIMEVALUE(Table2[[#This Row],[Vào]]),0)</f>
        <v>0.34722222222222221</v>
      </c>
      <c r="Z114" s="10">
        <f>IFERROR(TIMEVALUE(Table2[[#This Row],[Ra]]),0)</f>
        <v>0.80347222222222225</v>
      </c>
      <c r="AA114" t="str">
        <f t="shared" si="23"/>
        <v>x</v>
      </c>
      <c r="AB114" s="12">
        <f t="shared" si="21"/>
        <v>20</v>
      </c>
      <c r="AC114" s="12" t="str">
        <f>IF(VLOOKUP(A114,Data_NV!$A:$I,7,0)="Không","",IF(OR(AND(Y114=0,Z114=0),AND(Y114&lt;&gt;0,Z114&lt;&gt;0)),"","Quên chấm công"))</f>
        <v/>
      </c>
      <c r="AD114" s="12">
        <f>IF(VLOOKUP(A114,Data_NV!$A:$I,7,0)="Không",0,IF(AND(Y114=0,Z114=0),0,IF(X114&lt;=Z114,0,ROUNDDOWN((X114-Z114)*24*60,0))))</f>
        <v>0</v>
      </c>
      <c r="AE114" s="12">
        <f>IF(VLOOKUP(A114,Data_NV!$A:$I,6,0)="Không",0,IF(Z114&lt;=X114,0,ROUNDDOWN((Z114-X114)*24*60,0)))</f>
        <v>137</v>
      </c>
      <c r="AF114" s="26">
        <f t="shared" si="24"/>
        <v>50000</v>
      </c>
      <c r="AG114" s="27" t="str">
        <f>IF(AC114="","",IF(COUNTIFS($AC$3:AC114,"Quên chấm công",$S$3:S114,S114)&gt;3,"Không chấm công do vi phạm quá 3 lần",IF(COUNTIFS($AC$3:AC114,"Quên chấm công",$S$3:S114,S114)&gt;2,"Trừ toàn bộ chuyên cần tháng do vi phạm lần 3",IF(COUNTIFS($AC$3:AC114,"Quên chấm công",$S$3:S114,S114)&gt;1,"Trừ 1/2 ngày lương",50000))))</f>
        <v/>
      </c>
      <c r="AH114" s="12" t="str">
        <f>IF(AF114=0,"",IF(COUNTIFS($AF$3:AF114,"&gt;0",$S$3:S114,S114)&gt;3,"Trừ toàn bộ chuyên cần tháng",""))</f>
        <v>Trừ toàn bộ chuyên cần tháng</v>
      </c>
      <c r="AI114" s="12"/>
    </row>
    <row r="115" spans="1:35" x14ac:dyDescent="0.25">
      <c r="A115" s="4" t="s">
        <v>417</v>
      </c>
      <c r="B115" s="1" t="s">
        <v>418</v>
      </c>
      <c r="C115" s="1" t="s">
        <v>19</v>
      </c>
      <c r="D115" s="1" t="s">
        <v>59</v>
      </c>
      <c r="E115" s="1" t="s">
        <v>21</v>
      </c>
      <c r="F115" s="1" t="s">
        <v>22</v>
      </c>
      <c r="G115" s="1" t="s">
        <v>10</v>
      </c>
      <c r="H115" s="1" t="s">
        <v>450</v>
      </c>
      <c r="I115" s="1" t="s">
        <v>451</v>
      </c>
      <c r="J115" s="1" t="s">
        <v>346</v>
      </c>
      <c r="K115" s="1" t="s">
        <v>452</v>
      </c>
      <c r="L115" s="1" t="s">
        <v>24</v>
      </c>
      <c r="M115" s="1" t="s">
        <v>25</v>
      </c>
      <c r="N115" s="1" t="s">
        <v>24</v>
      </c>
      <c r="O115" s="1" t="s">
        <v>108</v>
      </c>
      <c r="P115" s="1" t="s">
        <v>24</v>
      </c>
      <c r="Q115" s="1" t="s">
        <v>24</v>
      </c>
      <c r="R115" s="85" t="str">
        <f t="shared" si="22"/>
        <v>6445923</v>
      </c>
      <c r="S115" t="str">
        <f>VLOOKUP(A115,Data_NV!$A:$C,3,0)</f>
        <v>Đoàn Thị Thanh Hương</v>
      </c>
      <c r="T115" t="str">
        <f>VLOOKUP(A115,Data_NV!$A:$E,4,0)</f>
        <v>Kế toán - Văn phòng</v>
      </c>
      <c r="U115" s="82">
        <f>DATEVALUE(Table2[[#This Row],[Ngày]])</f>
        <v>45923</v>
      </c>
      <c r="V115" t="str">
        <f>VLOOKUP(A115,Data_NV!$A:$E,5,0)</f>
        <v>Đang làm việc</v>
      </c>
      <c r="W115" s="10">
        <f>VLOOKUP(A115,Data_NV!$A:$I,8,0)</f>
        <v>0.33333333333333331</v>
      </c>
      <c r="X115" s="10">
        <f>VLOOKUP(A115,Data_NV!$A:$I,9,0)</f>
        <v>0.70833333333333337</v>
      </c>
      <c r="Y115" s="10">
        <f>IFERROR(TIMEVALUE(Table2[[#This Row],[Vào]]),0)</f>
        <v>0.34422453703703704</v>
      </c>
      <c r="Z115" s="10">
        <f>IFERROR(TIMEVALUE(Table2[[#This Row],[Ra]]),0)</f>
        <v>0.76542824074074078</v>
      </c>
      <c r="AA115" t="str">
        <f t="shared" si="23"/>
        <v>x</v>
      </c>
      <c r="AB115" s="12">
        <f t="shared" si="21"/>
        <v>15</v>
      </c>
      <c r="AC115" s="12" t="str">
        <f>IF(VLOOKUP(A115,Data_NV!$A:$I,7,0)="Không","",IF(OR(AND(Y115=0,Z115=0),AND(Y115&lt;&gt;0,Z115&lt;&gt;0)),"","Quên chấm công"))</f>
        <v/>
      </c>
      <c r="AD115" s="12">
        <f>IF(VLOOKUP(A115,Data_NV!$A:$I,7,0)="Không",0,IF(AND(Y115=0,Z115=0),0,IF(X115&lt;=Z115,0,ROUNDDOWN((X115-Z115)*24*60,0))))</f>
        <v>0</v>
      </c>
      <c r="AE115" s="12">
        <f>IF(VLOOKUP(A115,Data_NV!$A:$I,6,0)="Không",0,IF(Z115&lt;=X115,0,ROUNDDOWN((Z115-X115)*24*60,0)))</f>
        <v>82</v>
      </c>
      <c r="AF115" s="26">
        <f t="shared" si="24"/>
        <v>30000</v>
      </c>
      <c r="AG115" s="27" t="str">
        <f>IF(AC115="","",IF(COUNTIFS($AC$3:AC115,"Quên chấm công",$S$3:S115,S115)&gt;3,"Không chấm công do vi phạm quá 3 lần",IF(COUNTIFS($AC$3:AC115,"Quên chấm công",$S$3:S115,S115)&gt;2,"Trừ toàn bộ chuyên cần tháng do vi phạm lần 3",IF(COUNTIFS($AC$3:AC115,"Quên chấm công",$S$3:S115,S115)&gt;1,"Trừ 1/2 ngày lương",50000))))</f>
        <v/>
      </c>
      <c r="AH115" s="12" t="str">
        <f>IF(AF115=0,"",IF(COUNTIFS($AF$3:AF115,"&gt;0",$S$3:S115,S115)&gt;3,"Trừ toàn bộ chuyên cần tháng",""))</f>
        <v>Trừ toàn bộ chuyên cần tháng</v>
      </c>
      <c r="AI115" s="12"/>
    </row>
    <row r="116" spans="1:35" x14ac:dyDescent="0.25">
      <c r="A116" s="4" t="s">
        <v>417</v>
      </c>
      <c r="B116" s="1" t="s">
        <v>418</v>
      </c>
      <c r="C116" s="1" t="s">
        <v>19</v>
      </c>
      <c r="D116" s="1" t="s">
        <v>62</v>
      </c>
      <c r="E116" s="1" t="s">
        <v>21</v>
      </c>
      <c r="F116" s="1" t="s">
        <v>22</v>
      </c>
      <c r="G116" s="1" t="s">
        <v>10</v>
      </c>
      <c r="H116" s="1" t="s">
        <v>453</v>
      </c>
      <c r="I116" s="1" t="s">
        <v>454</v>
      </c>
      <c r="J116" s="1" t="s">
        <v>350</v>
      </c>
      <c r="K116" s="1" t="s">
        <v>96</v>
      </c>
      <c r="L116" s="1" t="s">
        <v>24</v>
      </c>
      <c r="M116" s="1" t="s">
        <v>25</v>
      </c>
      <c r="N116" s="1" t="s">
        <v>24</v>
      </c>
      <c r="O116" s="1" t="s">
        <v>185</v>
      </c>
      <c r="P116" s="1" t="s">
        <v>24</v>
      </c>
      <c r="Q116" s="1" t="s">
        <v>24</v>
      </c>
      <c r="R116" s="85" t="str">
        <f t="shared" si="22"/>
        <v>6445924</v>
      </c>
      <c r="S116" t="str">
        <f>VLOOKUP(A116,Data_NV!$A:$C,3,0)</f>
        <v>Đoàn Thị Thanh Hương</v>
      </c>
      <c r="T116" t="str">
        <f>VLOOKUP(A116,Data_NV!$A:$E,4,0)</f>
        <v>Kế toán - Văn phòng</v>
      </c>
      <c r="U116" s="82">
        <f>DATEVALUE(Table2[[#This Row],[Ngày]])</f>
        <v>45924</v>
      </c>
      <c r="V116" t="str">
        <f>VLOOKUP(A116,Data_NV!$A:$E,5,0)</f>
        <v>Đang làm việc</v>
      </c>
      <c r="W116" s="10">
        <f>VLOOKUP(A116,Data_NV!$A:$I,8,0)</f>
        <v>0.33333333333333331</v>
      </c>
      <c r="X116" s="10">
        <f>VLOOKUP(A116,Data_NV!$A:$I,9,0)</f>
        <v>0.70833333333333337</v>
      </c>
      <c r="Y116" s="10">
        <f>IFERROR(TIMEVALUE(Table2[[#This Row],[Vào]]),0)</f>
        <v>0.34019675925925924</v>
      </c>
      <c r="Z116" s="10">
        <f>IFERROR(TIMEVALUE(Table2[[#This Row],[Ra]]),0)</f>
        <v>0.78908564814814819</v>
      </c>
      <c r="AA116" t="str">
        <f t="shared" si="23"/>
        <v>x</v>
      </c>
      <c r="AB116" s="12">
        <f t="shared" si="21"/>
        <v>9</v>
      </c>
      <c r="AC116" s="12" t="str">
        <f>IF(VLOOKUP(A116,Data_NV!$A:$I,7,0)="Không","",IF(OR(AND(Y116=0,Z116=0),AND(Y116&lt;&gt;0,Z116&lt;&gt;0)),"","Quên chấm công"))</f>
        <v/>
      </c>
      <c r="AD116" s="12">
        <f>IF(VLOOKUP(A116,Data_NV!$A:$I,7,0)="Không",0,IF(AND(Y116=0,Z116=0),0,IF(X116&lt;=Z116,0,ROUNDDOWN((X116-Z116)*24*60,0))))</f>
        <v>0</v>
      </c>
      <c r="AE116" s="12">
        <f>IF(VLOOKUP(A116,Data_NV!$A:$I,6,0)="Không",0,IF(Z116&lt;=X116,0,ROUNDDOWN((Z116-X116)*24*60,0)))</f>
        <v>116</v>
      </c>
      <c r="AF116" s="26">
        <f t="shared" si="24"/>
        <v>30000</v>
      </c>
      <c r="AG116" s="27" t="str">
        <f>IF(AC116="","",IF(COUNTIFS($AC$3:AC116,"Quên chấm công",$S$3:S116,S116)&gt;3,"Không chấm công do vi phạm quá 3 lần",IF(COUNTIFS($AC$3:AC116,"Quên chấm công",$S$3:S116,S116)&gt;2,"Trừ toàn bộ chuyên cần tháng do vi phạm lần 3",IF(COUNTIFS($AC$3:AC116,"Quên chấm công",$S$3:S116,S116)&gt;1,"Trừ 1/2 ngày lương",50000))))</f>
        <v/>
      </c>
      <c r="AH116" s="12" t="str">
        <f>IF(AF116=0,"",IF(COUNTIFS($AF$3:AF116,"&gt;0",$S$3:S116,S116)&gt;3,"Trừ toàn bộ chuyên cần tháng",""))</f>
        <v>Trừ toàn bộ chuyên cần tháng</v>
      </c>
      <c r="AI116" s="12"/>
    </row>
    <row r="117" spans="1:35" x14ac:dyDescent="0.25">
      <c r="A117" s="4" t="s">
        <v>417</v>
      </c>
      <c r="B117" s="1" t="s">
        <v>418</v>
      </c>
      <c r="C117" s="1" t="s">
        <v>19</v>
      </c>
      <c r="D117" s="1" t="s">
        <v>65</v>
      </c>
      <c r="E117" s="1" t="s">
        <v>21</v>
      </c>
      <c r="F117" s="1" t="s">
        <v>22</v>
      </c>
      <c r="G117" s="1" t="s">
        <v>12</v>
      </c>
      <c r="H117" s="1" t="s">
        <v>23</v>
      </c>
      <c r="I117" s="1" t="s">
        <v>23</v>
      </c>
      <c r="J117" s="1" t="s">
        <v>24</v>
      </c>
      <c r="K117" s="1" t="s">
        <v>24</v>
      </c>
      <c r="L117" s="1" t="s">
        <v>25</v>
      </c>
      <c r="M117" s="1" t="s">
        <v>24</v>
      </c>
      <c r="N117" s="1" t="s">
        <v>24</v>
      </c>
      <c r="O117" s="1" t="s">
        <v>24</v>
      </c>
      <c r="P117" s="1" t="s">
        <v>24</v>
      </c>
      <c r="Q117" s="1" t="s">
        <v>24</v>
      </c>
      <c r="R117" s="85" t="str">
        <f t="shared" si="22"/>
        <v>6445925</v>
      </c>
      <c r="S117" t="str">
        <f>VLOOKUP(A117,Data_NV!$A:$C,3,0)</f>
        <v>Đoàn Thị Thanh Hương</v>
      </c>
      <c r="T117" t="str">
        <f>VLOOKUP(A117,Data_NV!$A:$E,4,0)</f>
        <v>Kế toán - Văn phòng</v>
      </c>
      <c r="U117" s="82">
        <f>DATEVALUE(Table2[[#This Row],[Ngày]])</f>
        <v>45925</v>
      </c>
      <c r="V117" t="str">
        <f>VLOOKUP(A117,Data_NV!$A:$E,5,0)</f>
        <v>Đang làm việc</v>
      </c>
      <c r="W117" s="10">
        <f>VLOOKUP(A117,Data_NV!$A:$I,8,0)</f>
        <v>0.33333333333333331</v>
      </c>
      <c r="X117" s="10">
        <f>VLOOKUP(A117,Data_NV!$A:$I,9,0)</f>
        <v>0.70833333333333337</v>
      </c>
      <c r="Y117" s="10">
        <f>IFERROR(TIMEVALUE(Table2[[#This Row],[Vào]]),0)</f>
        <v>0</v>
      </c>
      <c r="Z117" s="10">
        <f>IFERROR(TIMEVALUE(Table2[[#This Row],[Ra]]),0)</f>
        <v>0</v>
      </c>
      <c r="AA117" t="str">
        <f t="shared" si="23"/>
        <v/>
      </c>
      <c r="AB117" s="12">
        <f t="shared" si="21"/>
        <v>0</v>
      </c>
      <c r="AC117" s="12" t="str">
        <f>IF(VLOOKUP(A117,Data_NV!$A:$I,7,0)="Không","",IF(OR(AND(Y117=0,Z117=0),AND(Y117&lt;&gt;0,Z117&lt;&gt;0)),"","Quên chấm công"))</f>
        <v/>
      </c>
      <c r="AD117" s="12">
        <f>IF(VLOOKUP(A117,Data_NV!$A:$I,7,0)="Không",0,IF(AND(Y117=0,Z117=0),0,IF(X117&lt;=Z117,0,ROUNDDOWN((X117-Z117)*24*60,0))))</f>
        <v>0</v>
      </c>
      <c r="AE117" s="12">
        <f>IF(VLOOKUP(A117,Data_NV!$A:$I,6,0)="Không",0,IF(Z117&lt;=X117,0,ROUNDDOWN((Z117-X117)*24*60,0)))</f>
        <v>0</v>
      </c>
      <c r="AF117" s="26">
        <f t="shared" si="24"/>
        <v>0</v>
      </c>
      <c r="AG117" s="27" t="str">
        <f>IF(AC117="","",IF(COUNTIFS($AC$3:AC117,"Quên chấm công",$S$3:S117,S117)&gt;3,"Không chấm công do vi phạm quá 3 lần",IF(COUNTIFS($AC$3:AC117,"Quên chấm công",$S$3:S117,S117)&gt;2,"Trừ toàn bộ chuyên cần tháng do vi phạm lần 3",IF(COUNTIFS($AC$3:AC117,"Quên chấm công",$S$3:S117,S117)&gt;1,"Trừ 1/2 ngày lương",50000))))</f>
        <v/>
      </c>
      <c r="AH117" s="12" t="str">
        <f>IF(AF117=0,"",IF(COUNTIFS($AF$3:AF117,"&gt;0",$S$3:S117,S117)&gt;3,"Trừ toàn bộ chuyên cần tháng",""))</f>
        <v/>
      </c>
      <c r="AI117" s="12"/>
    </row>
    <row r="118" spans="1:35" x14ac:dyDescent="0.25">
      <c r="A118" s="4" t="s">
        <v>417</v>
      </c>
      <c r="B118" s="1" t="s">
        <v>418</v>
      </c>
      <c r="C118" s="1" t="s">
        <v>19</v>
      </c>
      <c r="D118" s="1" t="s">
        <v>66</v>
      </c>
      <c r="E118" s="1" t="s">
        <v>21</v>
      </c>
      <c r="F118" s="1" t="s">
        <v>22</v>
      </c>
      <c r="G118" s="1" t="s">
        <v>10</v>
      </c>
      <c r="H118" s="1" t="s">
        <v>455</v>
      </c>
      <c r="I118" s="1" t="s">
        <v>456</v>
      </c>
      <c r="J118" s="1" t="s">
        <v>89</v>
      </c>
      <c r="K118" s="1" t="s">
        <v>318</v>
      </c>
      <c r="L118" s="1" t="s">
        <v>24</v>
      </c>
      <c r="M118" s="1" t="s">
        <v>25</v>
      </c>
      <c r="N118" s="1" t="s">
        <v>24</v>
      </c>
      <c r="O118" s="1" t="s">
        <v>29</v>
      </c>
      <c r="P118" s="1" t="s">
        <v>181</v>
      </c>
      <c r="Q118" s="1" t="s">
        <v>24</v>
      </c>
      <c r="R118" s="85" t="str">
        <f t="shared" si="22"/>
        <v>6445926</v>
      </c>
      <c r="S118" t="str">
        <f>VLOOKUP(A118,Data_NV!$A:$C,3,0)</f>
        <v>Đoàn Thị Thanh Hương</v>
      </c>
      <c r="T118" t="str">
        <f>VLOOKUP(A118,Data_NV!$A:$E,4,0)</f>
        <v>Kế toán - Văn phòng</v>
      </c>
      <c r="U118" s="82">
        <f>DATEVALUE(Table2[[#This Row],[Ngày]])</f>
        <v>45926</v>
      </c>
      <c r="V118" t="str">
        <f>VLOOKUP(A118,Data_NV!$A:$E,5,0)</f>
        <v>Đang làm việc</v>
      </c>
      <c r="W118" s="10">
        <f>VLOOKUP(A118,Data_NV!$A:$I,8,0)</f>
        <v>0.33333333333333331</v>
      </c>
      <c r="X118" s="10">
        <f>VLOOKUP(A118,Data_NV!$A:$I,9,0)</f>
        <v>0.70833333333333337</v>
      </c>
      <c r="Y118" s="10">
        <f>IFERROR(TIMEVALUE(Table2[[#This Row],[Vào]]),0)</f>
        <v>0.34098379629629627</v>
      </c>
      <c r="Z118" s="10">
        <f>IFERROR(TIMEVALUE(Table2[[#This Row],[Ra]]),0)</f>
        <v>0.80074074074074075</v>
      </c>
      <c r="AA118" t="str">
        <f t="shared" si="23"/>
        <v>x</v>
      </c>
      <c r="AB118" s="12">
        <f t="shared" si="21"/>
        <v>11</v>
      </c>
      <c r="AC118" s="12" t="str">
        <f>IF(VLOOKUP(A118,Data_NV!$A:$I,7,0)="Không","",IF(OR(AND(Y118=0,Z118=0),AND(Y118&lt;&gt;0,Z118&lt;&gt;0)),"","Quên chấm công"))</f>
        <v/>
      </c>
      <c r="AD118" s="12">
        <f>IF(VLOOKUP(A118,Data_NV!$A:$I,7,0)="Không",0,IF(AND(Y118=0,Z118=0),0,IF(X118&lt;=Z118,0,ROUNDDOWN((X118-Z118)*24*60,0))))</f>
        <v>0</v>
      </c>
      <c r="AE118" s="12">
        <f>IF(VLOOKUP(A118,Data_NV!$A:$I,6,0)="Không",0,IF(Z118&lt;=X118,0,ROUNDDOWN((Z118-X118)*24*60,0)))</f>
        <v>133</v>
      </c>
      <c r="AF118" s="26">
        <f t="shared" si="24"/>
        <v>30000</v>
      </c>
      <c r="AG118" s="27" t="str">
        <f>IF(AC118="","",IF(COUNTIFS($AC$3:AC118,"Quên chấm công",$S$3:S118,S118)&gt;3,"Không chấm công do vi phạm quá 3 lần",IF(COUNTIFS($AC$3:AC118,"Quên chấm công",$S$3:S118,S118)&gt;2,"Trừ toàn bộ chuyên cần tháng do vi phạm lần 3",IF(COUNTIFS($AC$3:AC118,"Quên chấm công",$S$3:S118,S118)&gt;1,"Trừ 1/2 ngày lương",50000))))</f>
        <v/>
      </c>
      <c r="AH118" s="12" t="str">
        <f>IF(AF118=0,"",IF(COUNTIFS($AF$3:AF118,"&gt;0",$S$3:S118,S118)&gt;3,"Trừ toàn bộ chuyên cần tháng",""))</f>
        <v>Trừ toàn bộ chuyên cần tháng</v>
      </c>
      <c r="AI118" s="12"/>
    </row>
    <row r="119" spans="1:35" x14ac:dyDescent="0.25">
      <c r="A119" s="4" t="s">
        <v>417</v>
      </c>
      <c r="B119" s="1" t="s">
        <v>418</v>
      </c>
      <c r="C119" s="1" t="s">
        <v>19</v>
      </c>
      <c r="D119" s="1" t="s">
        <v>67</v>
      </c>
      <c r="E119" s="1" t="s">
        <v>21</v>
      </c>
      <c r="F119" s="1" t="s">
        <v>22</v>
      </c>
      <c r="G119" s="1" t="s">
        <v>10</v>
      </c>
      <c r="H119" s="1" t="s">
        <v>457</v>
      </c>
      <c r="I119" s="1" t="s">
        <v>458</v>
      </c>
      <c r="J119" s="1" t="s">
        <v>91</v>
      </c>
      <c r="K119" s="1" t="s">
        <v>130</v>
      </c>
      <c r="L119" s="1" t="s">
        <v>24</v>
      </c>
      <c r="M119" s="1" t="s">
        <v>25</v>
      </c>
      <c r="N119" s="1" t="s">
        <v>24</v>
      </c>
      <c r="O119" s="1" t="s">
        <v>174</v>
      </c>
      <c r="P119" s="1" t="s">
        <v>24</v>
      </c>
      <c r="Q119" s="1" t="s">
        <v>24</v>
      </c>
      <c r="R119" s="85" t="str">
        <f t="shared" si="22"/>
        <v>6445927</v>
      </c>
      <c r="S119" t="str">
        <f>VLOOKUP(A119,Data_NV!$A:$C,3,0)</f>
        <v>Đoàn Thị Thanh Hương</v>
      </c>
      <c r="T119" t="str">
        <f>VLOOKUP(A119,Data_NV!$A:$E,4,0)</f>
        <v>Kế toán - Văn phòng</v>
      </c>
      <c r="U119" s="82">
        <f>DATEVALUE(Table2[[#This Row],[Ngày]])</f>
        <v>45927</v>
      </c>
      <c r="V119" t="str">
        <f>VLOOKUP(A119,Data_NV!$A:$E,5,0)</f>
        <v>Đang làm việc</v>
      </c>
      <c r="W119" s="10">
        <f>VLOOKUP(A119,Data_NV!$A:$I,8,0)</f>
        <v>0.33333333333333331</v>
      </c>
      <c r="X119" s="10">
        <f>VLOOKUP(A119,Data_NV!$A:$I,9,0)</f>
        <v>0.70833333333333337</v>
      </c>
      <c r="Y119" s="10">
        <f>IFERROR(TIMEVALUE(Table2[[#This Row],[Vào]]),0)</f>
        <v>0.33606481481481482</v>
      </c>
      <c r="Z119" s="10">
        <f>IFERROR(TIMEVALUE(Table2[[#This Row],[Ra]]),0)</f>
        <v>0.78934027777777782</v>
      </c>
      <c r="AA119" t="str">
        <f t="shared" si="23"/>
        <v>x</v>
      </c>
      <c r="AB119" s="12">
        <f t="shared" si="21"/>
        <v>3</v>
      </c>
      <c r="AC119" s="12" t="str">
        <f>IF(VLOOKUP(A119,Data_NV!$A:$I,7,0)="Không","",IF(OR(AND(Y119=0,Z119=0),AND(Y119&lt;&gt;0,Z119&lt;&gt;0)),"","Quên chấm công"))</f>
        <v/>
      </c>
      <c r="AD119" s="12">
        <f>IF(VLOOKUP(A119,Data_NV!$A:$I,7,0)="Không",0,IF(AND(Y119=0,Z119=0),0,IF(X119&lt;=Z119,0,ROUNDDOWN((X119-Z119)*24*60,0))))</f>
        <v>0</v>
      </c>
      <c r="AE119" s="12">
        <f>IF(VLOOKUP(A119,Data_NV!$A:$I,6,0)="Không",0,IF(Z119&lt;=X119,0,ROUNDDOWN((Z119-X119)*24*60,0)))</f>
        <v>116</v>
      </c>
      <c r="AF119" s="26">
        <f t="shared" si="24"/>
        <v>0</v>
      </c>
      <c r="AG119" s="27" t="str">
        <f>IF(AC119="","",IF(COUNTIFS($AC$3:AC119,"Quên chấm công",$S$3:S119,S119)&gt;3,"Không chấm công do vi phạm quá 3 lần",IF(COUNTIFS($AC$3:AC119,"Quên chấm công",$S$3:S119,S119)&gt;2,"Trừ toàn bộ chuyên cần tháng do vi phạm lần 3",IF(COUNTIFS($AC$3:AC119,"Quên chấm công",$S$3:S119,S119)&gt;1,"Trừ 1/2 ngày lương",50000))))</f>
        <v/>
      </c>
      <c r="AH119" s="12" t="str">
        <f>IF(AF119=0,"",IF(COUNTIFS($AF$3:AF119,"&gt;0",$S$3:S119,S119)&gt;3,"Trừ toàn bộ chuyên cần tháng",""))</f>
        <v/>
      </c>
      <c r="AI119" s="12"/>
    </row>
    <row r="120" spans="1:35" x14ac:dyDescent="0.25">
      <c r="A120" s="4" t="s">
        <v>417</v>
      </c>
      <c r="B120" s="1" t="s">
        <v>418</v>
      </c>
      <c r="C120" s="1" t="s">
        <v>19</v>
      </c>
      <c r="D120" s="1" t="s">
        <v>69</v>
      </c>
      <c r="E120" s="1" t="s">
        <v>21</v>
      </c>
      <c r="F120" s="1" t="s">
        <v>22</v>
      </c>
      <c r="G120" s="1" t="s">
        <v>12</v>
      </c>
      <c r="H120" s="1" t="s">
        <v>23</v>
      </c>
      <c r="I120" s="1" t="s">
        <v>23</v>
      </c>
      <c r="J120" s="1" t="s">
        <v>24</v>
      </c>
      <c r="K120" s="1" t="s">
        <v>24</v>
      </c>
      <c r="L120" s="1" t="s">
        <v>25</v>
      </c>
      <c r="M120" s="1" t="s">
        <v>24</v>
      </c>
      <c r="N120" s="1" t="s">
        <v>24</v>
      </c>
      <c r="O120" s="1" t="s">
        <v>24</v>
      </c>
      <c r="P120" s="1" t="s">
        <v>24</v>
      </c>
      <c r="Q120" s="1" t="s">
        <v>24</v>
      </c>
      <c r="R120" s="85" t="str">
        <f t="shared" si="22"/>
        <v>6445928</v>
      </c>
      <c r="S120" t="str">
        <f>VLOOKUP(A120,Data_NV!$A:$C,3,0)</f>
        <v>Đoàn Thị Thanh Hương</v>
      </c>
      <c r="T120" t="str">
        <f>VLOOKUP(A120,Data_NV!$A:$E,4,0)</f>
        <v>Kế toán - Văn phòng</v>
      </c>
      <c r="U120" s="82">
        <f>DATEVALUE(Table2[[#This Row],[Ngày]])</f>
        <v>45928</v>
      </c>
      <c r="V120" t="str">
        <f>VLOOKUP(A120,Data_NV!$A:$E,5,0)</f>
        <v>Đang làm việc</v>
      </c>
      <c r="W120" s="10">
        <f>VLOOKUP(A120,Data_NV!$A:$I,8,0)</f>
        <v>0.33333333333333331</v>
      </c>
      <c r="X120" s="10">
        <f>VLOOKUP(A120,Data_NV!$A:$I,9,0)</f>
        <v>0.70833333333333337</v>
      </c>
      <c r="Y120" s="10">
        <f>IFERROR(TIMEVALUE(Table2[[#This Row],[Vào]]),0)</f>
        <v>0</v>
      </c>
      <c r="Z120" s="10">
        <f>IFERROR(TIMEVALUE(Table2[[#This Row],[Ra]]),0)</f>
        <v>0</v>
      </c>
      <c r="AA120" t="str">
        <f t="shared" si="23"/>
        <v>Chủ nhật</v>
      </c>
      <c r="AB120" s="12">
        <f t="shared" si="21"/>
        <v>0</v>
      </c>
      <c r="AC120" s="12" t="str">
        <f>IF(VLOOKUP(A120,Data_NV!$A:$I,7,0)="Không","",IF(OR(AND(Y120=0,Z120=0),AND(Y120&lt;&gt;0,Z120&lt;&gt;0)),"","Quên chấm công"))</f>
        <v/>
      </c>
      <c r="AD120" s="12">
        <f>IF(VLOOKUP(A120,Data_NV!$A:$I,7,0)="Không",0,IF(AND(Y120=0,Z120=0),0,IF(X120&lt;=Z120,0,ROUNDDOWN((X120-Z120)*24*60,0))))</f>
        <v>0</v>
      </c>
      <c r="AE120" s="12">
        <f>IF(VLOOKUP(A120,Data_NV!$A:$I,6,0)="Không",0,IF(Z120&lt;=X120,0,ROUNDDOWN((Z120-X120)*24*60,0)))</f>
        <v>0</v>
      </c>
      <c r="AF120" s="26">
        <f t="shared" si="24"/>
        <v>0</v>
      </c>
      <c r="AG120" s="27" t="str">
        <f>IF(AC120="","",IF(COUNTIFS($AC$3:AC120,"Quên chấm công",$S$3:S120,S120)&gt;3,"Không chấm công do vi phạm quá 3 lần",IF(COUNTIFS($AC$3:AC120,"Quên chấm công",$S$3:S120,S120)&gt;2,"Trừ toàn bộ chuyên cần tháng do vi phạm lần 3",IF(COUNTIFS($AC$3:AC120,"Quên chấm công",$S$3:S120,S120)&gt;1,"Trừ 1/2 ngày lương",50000))))</f>
        <v/>
      </c>
      <c r="AH120" s="12" t="str">
        <f>IF(AF120=0,"",IF(COUNTIFS($AF$3:AF120,"&gt;0",$S$3:S120,S120)&gt;3,"Trừ toàn bộ chuyên cần tháng",""))</f>
        <v/>
      </c>
      <c r="AI120" s="12"/>
    </row>
    <row r="121" spans="1:35" x14ac:dyDescent="0.25">
      <c r="A121" s="4" t="s">
        <v>417</v>
      </c>
      <c r="B121" s="1" t="s">
        <v>418</v>
      </c>
      <c r="C121" s="1" t="s">
        <v>19</v>
      </c>
      <c r="D121" s="1" t="s">
        <v>70</v>
      </c>
      <c r="E121" s="1" t="s">
        <v>21</v>
      </c>
      <c r="F121" s="1" t="s">
        <v>22</v>
      </c>
      <c r="G121" s="1" t="s">
        <v>10</v>
      </c>
      <c r="H121" s="1" t="s">
        <v>459</v>
      </c>
      <c r="I121" s="1" t="s">
        <v>460</v>
      </c>
      <c r="J121" s="1" t="s">
        <v>348</v>
      </c>
      <c r="K121" s="1" t="s">
        <v>103</v>
      </c>
      <c r="L121" s="1" t="s">
        <v>24</v>
      </c>
      <c r="M121" s="1" t="s">
        <v>25</v>
      </c>
      <c r="N121" s="1" t="s">
        <v>24</v>
      </c>
      <c r="O121" s="1" t="s">
        <v>29</v>
      </c>
      <c r="P121" s="1" t="s">
        <v>346</v>
      </c>
      <c r="Q121" s="1" t="s">
        <v>24</v>
      </c>
      <c r="R121" s="85" t="str">
        <f t="shared" si="22"/>
        <v>6445929</v>
      </c>
      <c r="S121" t="str">
        <f>VLOOKUP(A121,Data_NV!$A:$C,3,0)</f>
        <v>Đoàn Thị Thanh Hương</v>
      </c>
      <c r="T121" t="str">
        <f>VLOOKUP(A121,Data_NV!$A:$E,4,0)</f>
        <v>Kế toán - Văn phòng</v>
      </c>
      <c r="U121" s="82">
        <f>DATEVALUE(Table2[[#This Row],[Ngày]])</f>
        <v>45929</v>
      </c>
      <c r="V121" t="str">
        <f>VLOOKUP(A121,Data_NV!$A:$E,5,0)</f>
        <v>Đang làm việc</v>
      </c>
      <c r="W121" s="10">
        <f>VLOOKUP(A121,Data_NV!$A:$I,8,0)</f>
        <v>0.33333333333333331</v>
      </c>
      <c r="X121" s="10">
        <f>VLOOKUP(A121,Data_NV!$A:$I,9,0)</f>
        <v>0.70833333333333337</v>
      </c>
      <c r="Y121" s="10">
        <f>IFERROR(TIMEVALUE(Table2[[#This Row],[Vào]]),0)</f>
        <v>0.33990740740740738</v>
      </c>
      <c r="Z121" s="10">
        <f>IFERROR(TIMEVALUE(Table2[[#This Row],[Ra]]),0)</f>
        <v>0.7971759259259259</v>
      </c>
      <c r="AA121" t="str">
        <f t="shared" si="23"/>
        <v>x</v>
      </c>
      <c r="AB121" s="12">
        <f t="shared" si="21"/>
        <v>9</v>
      </c>
      <c r="AC121" s="12" t="str">
        <f>IF(VLOOKUP(A121,Data_NV!$A:$I,7,0)="Không","",IF(OR(AND(Y121=0,Z121=0),AND(Y121&lt;&gt;0,Z121&lt;&gt;0)),"","Quên chấm công"))</f>
        <v/>
      </c>
      <c r="AD121" s="12">
        <f>IF(VLOOKUP(A121,Data_NV!$A:$I,7,0)="Không",0,IF(AND(Y121=0,Z121=0),0,IF(X121&lt;=Z121,0,ROUNDDOWN((X121-Z121)*24*60,0))))</f>
        <v>0</v>
      </c>
      <c r="AE121" s="12">
        <f>IF(VLOOKUP(A121,Data_NV!$A:$I,6,0)="Không",0,IF(Z121&lt;=X121,0,ROUNDDOWN((Z121-X121)*24*60,0)))</f>
        <v>127</v>
      </c>
      <c r="AF121" s="26">
        <f t="shared" si="24"/>
        <v>30000</v>
      </c>
      <c r="AG121" s="27" t="str">
        <f>IF(AC121="","",IF(COUNTIFS($AC$3:AC121,"Quên chấm công",$S$3:S121,S121)&gt;3,"Không chấm công do vi phạm quá 3 lần",IF(COUNTIFS($AC$3:AC121,"Quên chấm công",$S$3:S121,S121)&gt;2,"Trừ toàn bộ chuyên cần tháng do vi phạm lần 3",IF(COUNTIFS($AC$3:AC121,"Quên chấm công",$S$3:S121,S121)&gt;1,"Trừ 1/2 ngày lương",50000))))</f>
        <v/>
      </c>
      <c r="AH121" s="12" t="str">
        <f>IF(AF121=0,"",IF(COUNTIFS($AF$3:AF121,"&gt;0",$S$3:S121,S121)&gt;3,"Trừ toàn bộ chuyên cần tháng",""))</f>
        <v>Trừ toàn bộ chuyên cần tháng</v>
      </c>
      <c r="AI121" s="12"/>
    </row>
    <row r="122" spans="1:35" x14ac:dyDescent="0.25">
      <c r="A122" s="4" t="s">
        <v>417</v>
      </c>
      <c r="B122" s="1" t="s">
        <v>418</v>
      </c>
      <c r="C122" s="1" t="s">
        <v>19</v>
      </c>
      <c r="D122" s="1" t="s">
        <v>71</v>
      </c>
      <c r="E122" s="1" t="s">
        <v>21</v>
      </c>
      <c r="F122" s="1" t="s">
        <v>22</v>
      </c>
      <c r="G122" s="1" t="s">
        <v>10</v>
      </c>
      <c r="H122" s="1" t="s">
        <v>461</v>
      </c>
      <c r="I122" s="1" t="s">
        <v>462</v>
      </c>
      <c r="J122" s="1" t="s">
        <v>56</v>
      </c>
      <c r="K122" s="1" t="s">
        <v>416</v>
      </c>
      <c r="L122" s="1" t="s">
        <v>24</v>
      </c>
      <c r="M122" s="1" t="s">
        <v>25</v>
      </c>
      <c r="N122" s="1" t="s">
        <v>24</v>
      </c>
      <c r="O122" s="1" t="s">
        <v>97</v>
      </c>
      <c r="P122" s="1" t="s">
        <v>24</v>
      </c>
      <c r="Q122" s="1" t="s">
        <v>24</v>
      </c>
      <c r="R122" s="85" t="str">
        <f t="shared" si="22"/>
        <v>6445930</v>
      </c>
      <c r="S122" t="str">
        <f>VLOOKUP(A122,Data_NV!$A:$C,3,0)</f>
        <v>Đoàn Thị Thanh Hương</v>
      </c>
      <c r="T122" t="str">
        <f>VLOOKUP(A122,Data_NV!$A:$E,4,0)</f>
        <v>Kế toán - Văn phòng</v>
      </c>
      <c r="U122" s="82">
        <f>DATEVALUE(Table2[[#This Row],[Ngày]])</f>
        <v>45930</v>
      </c>
      <c r="V122" t="str">
        <f>VLOOKUP(A122,Data_NV!$A:$E,5,0)</f>
        <v>Đang làm việc</v>
      </c>
      <c r="W122" s="10">
        <f>VLOOKUP(A122,Data_NV!$A:$I,8,0)</f>
        <v>0.33333333333333331</v>
      </c>
      <c r="X122" s="10">
        <f>VLOOKUP(A122,Data_NV!$A:$I,9,0)</f>
        <v>0.70833333333333337</v>
      </c>
      <c r="Y122" s="10">
        <f>IFERROR(TIMEVALUE(Table2[[#This Row],[Vào]]),0)</f>
        <v>0.37380787037037039</v>
      </c>
      <c r="Z122" s="10">
        <f>IFERROR(TIMEVALUE(Table2[[#This Row],[Ra]]),0)</f>
        <v>0.78163194444444439</v>
      </c>
      <c r="AA122" t="str">
        <f t="shared" si="23"/>
        <v>x</v>
      </c>
      <c r="AB122" s="12">
        <f t="shared" si="21"/>
        <v>58</v>
      </c>
      <c r="AC122" s="12" t="str">
        <f>IF(VLOOKUP(A122,Data_NV!$A:$I,7,0)="Không","",IF(OR(AND(Y122=0,Z122=0),AND(Y122&lt;&gt;0,Z122&lt;&gt;0)),"","Quên chấm công"))</f>
        <v/>
      </c>
      <c r="AD122" s="12">
        <f>IF(VLOOKUP(A122,Data_NV!$A:$I,7,0)="Không",0,IF(AND(Y122=0,Z122=0),0,IF(X122&lt;=Z122,0,ROUNDDOWN((X122-Z122)*24*60,0))))</f>
        <v>0</v>
      </c>
      <c r="AE122" s="12">
        <f>IF(VLOOKUP(A122,Data_NV!$A:$I,6,0)="Không",0,IF(Z122&lt;=X122,0,ROUNDDOWN((Z122-X122)*24*60,0)))</f>
        <v>105</v>
      </c>
      <c r="AF122" s="26">
        <f t="shared" si="24"/>
        <v>50000</v>
      </c>
      <c r="AG122" s="27" t="str">
        <f>IF(AC122="","",IF(COUNTIFS($AC$3:AC122,"Quên chấm công",$S$3:S122,S122)&gt;3,"Không chấm công do vi phạm quá 3 lần",IF(COUNTIFS($AC$3:AC122,"Quên chấm công",$S$3:S122,S122)&gt;2,"Trừ toàn bộ chuyên cần tháng do vi phạm lần 3",IF(COUNTIFS($AC$3:AC122,"Quên chấm công",$S$3:S122,S122)&gt;1,"Trừ 1/2 ngày lương",50000))))</f>
        <v/>
      </c>
      <c r="AH122" s="12" t="str">
        <f>IF(AF122=0,"",IF(COUNTIFS($AF$3:AF122,"&gt;0",$S$3:S122,S122)&gt;3,"Trừ toàn bộ chuyên cần tháng",""))</f>
        <v>Trừ toàn bộ chuyên cần tháng</v>
      </c>
      <c r="AI122" s="12"/>
    </row>
    <row r="123" spans="1:35" x14ac:dyDescent="0.25">
      <c r="A123" s="4" t="s">
        <v>467</v>
      </c>
      <c r="B123" s="1" t="s">
        <v>264</v>
      </c>
      <c r="C123" s="1" t="s">
        <v>19</v>
      </c>
      <c r="D123" s="1" t="s">
        <v>20</v>
      </c>
      <c r="E123" s="1" t="s">
        <v>21</v>
      </c>
      <c r="F123" s="1" t="s">
        <v>22</v>
      </c>
      <c r="G123" s="1" t="s">
        <v>12</v>
      </c>
      <c r="H123" s="1" t="s">
        <v>23</v>
      </c>
      <c r="I123" s="1" t="s">
        <v>23</v>
      </c>
      <c r="J123" s="1" t="s">
        <v>24</v>
      </c>
      <c r="K123" s="1" t="s">
        <v>24</v>
      </c>
      <c r="L123" s="1" t="s">
        <v>25</v>
      </c>
      <c r="M123" s="1" t="s">
        <v>24</v>
      </c>
      <c r="N123" s="1" t="s">
        <v>24</v>
      </c>
      <c r="O123" s="1" t="s">
        <v>24</v>
      </c>
      <c r="P123" s="1" t="s">
        <v>24</v>
      </c>
      <c r="Q123" s="1" t="s">
        <v>24</v>
      </c>
      <c r="R123" s="85" t="str">
        <f t="shared" si="22"/>
        <v>945901</v>
      </c>
      <c r="S123" t="str">
        <f>VLOOKUP(A123,Data_NV!$A:$C,3,0)</f>
        <v>Hoàng Thị Hoài Nhi</v>
      </c>
      <c r="T123" t="str">
        <f>VLOOKUP(A123,Data_NV!$A:$E,4,0)</f>
        <v>Kế toán - Văn phòng</v>
      </c>
      <c r="U123" s="82">
        <f>DATEVALUE(Table2[[#This Row],[Ngày]])</f>
        <v>45901</v>
      </c>
      <c r="V123" t="str">
        <f>VLOOKUP(A123,Data_NV!$A:$E,5,0)</f>
        <v>Đang làm việc</v>
      </c>
      <c r="W123" s="10">
        <f>VLOOKUP(A123,Data_NV!$A:$I,8,0)</f>
        <v>0.33333333333333331</v>
      </c>
      <c r="X123" s="10">
        <f>VLOOKUP(A123,Data_NV!$A:$I,9,0)</f>
        <v>0.70833333333333337</v>
      </c>
      <c r="Y123" s="10">
        <f>IFERROR(TIMEVALUE(Table2[[#This Row],[Vào]]),0)</f>
        <v>0</v>
      </c>
      <c r="Z123" s="10">
        <f>IFERROR(TIMEVALUE(Table2[[#This Row],[Ra]]),0)</f>
        <v>0</v>
      </c>
      <c r="AA123" s="95" t="s">
        <v>623</v>
      </c>
      <c r="AB123" s="12">
        <f t="shared" ref="AB123:AB152" si="25">IF(Y123&lt;=W123,0,ROUNDDOWN((Y123-W123)*24*60,0))</f>
        <v>0</v>
      </c>
      <c r="AC123" s="12" t="str">
        <f>IF(VLOOKUP(A123,Data_NV!$A:$I,7,0)="Không","",IF(OR(AND(Y123=0,Z123=0),AND(Y123&lt;&gt;0,Z123&lt;&gt;0)),"","Quên chấm công"))</f>
        <v/>
      </c>
      <c r="AD123" s="12">
        <f>IF(VLOOKUP(A123,Data_NV!$A:$I,7,0)="Không",0,IF(AND(Y123=0,Z123=0),0,IF(X123&lt;=Z123,0,ROUNDDOWN((X123-Z123)*24*60,0))))</f>
        <v>0</v>
      </c>
      <c r="AE123" s="12">
        <f>IF(VLOOKUP(A123,Data_NV!$A:$I,6,0)="Không",0,IF(Z123&lt;=X123,0,ROUNDDOWN((Z123-X123)*24*60,0)))</f>
        <v>0</v>
      </c>
      <c r="AF123" s="26">
        <f t="shared" si="24"/>
        <v>0</v>
      </c>
      <c r="AG123" s="27" t="str">
        <f>IF(AC123="","",IF(COUNTIFS($AC$3:AC123,"Quên chấm công",$S$3:S123,S123)&gt;3,"Không chấm công do vi phạm quá 3 lần",IF(COUNTIFS($AC$3:AC123,"Quên chấm công",$S$3:S123,S123)&gt;2,"Trừ toàn bộ chuyên cần tháng do vi phạm lần 3",IF(COUNTIFS($AC$3:AC123,"Quên chấm công",$S$3:S123,S123)&gt;1,"Trừ 1/2 ngày lương",50000))))</f>
        <v/>
      </c>
      <c r="AH123" s="12" t="str">
        <f>IF(AF123=0,"",IF(COUNTIFS($AF$3:AF123,"&gt;0",$S$3:S123,S123)&gt;3,"Trừ toàn bộ chuyên cần tháng",""))</f>
        <v/>
      </c>
      <c r="AI123" s="96" t="s">
        <v>637</v>
      </c>
    </row>
    <row r="124" spans="1:35" x14ac:dyDescent="0.25">
      <c r="A124" s="4" t="s">
        <v>467</v>
      </c>
      <c r="B124" s="1" t="s">
        <v>264</v>
      </c>
      <c r="C124" s="1" t="s">
        <v>19</v>
      </c>
      <c r="D124" s="1" t="s">
        <v>26</v>
      </c>
      <c r="E124" s="1" t="s">
        <v>21</v>
      </c>
      <c r="F124" s="1" t="s">
        <v>22</v>
      </c>
      <c r="G124" s="1" t="s">
        <v>12</v>
      </c>
      <c r="H124" s="1" t="s">
        <v>23</v>
      </c>
      <c r="I124" s="1" t="s">
        <v>23</v>
      </c>
      <c r="J124" s="1" t="s">
        <v>24</v>
      </c>
      <c r="K124" s="1" t="s">
        <v>24</v>
      </c>
      <c r="L124" s="1" t="s">
        <v>25</v>
      </c>
      <c r="M124" s="1" t="s">
        <v>24</v>
      </c>
      <c r="N124" s="1" t="s">
        <v>24</v>
      </c>
      <c r="O124" s="1" t="s">
        <v>24</v>
      </c>
      <c r="P124" s="1" t="s">
        <v>24</v>
      </c>
      <c r="Q124" s="1" t="s">
        <v>24</v>
      </c>
      <c r="R124" s="85" t="str">
        <f t="shared" si="22"/>
        <v>945902</v>
      </c>
      <c r="S124" t="str">
        <f>VLOOKUP(A124,Data_NV!$A:$C,3,0)</f>
        <v>Hoàng Thị Hoài Nhi</v>
      </c>
      <c r="T124" t="str">
        <f>VLOOKUP(A124,Data_NV!$A:$E,4,0)</f>
        <v>Kế toán - Văn phòng</v>
      </c>
      <c r="U124" s="82">
        <f>DATEVALUE(Table2[[#This Row],[Ngày]])</f>
        <v>45902</v>
      </c>
      <c r="V124" t="str">
        <f>VLOOKUP(A124,Data_NV!$A:$E,5,0)</f>
        <v>Đang làm việc</v>
      </c>
      <c r="W124" s="10">
        <f>VLOOKUP(A124,Data_NV!$A:$I,8,0)</f>
        <v>0.33333333333333331</v>
      </c>
      <c r="X124" s="10">
        <f>VLOOKUP(A124,Data_NV!$A:$I,9,0)</f>
        <v>0.70833333333333337</v>
      </c>
      <c r="Y124" s="10">
        <f>IFERROR(TIMEVALUE(Table2[[#This Row],[Vào]]),0)</f>
        <v>0</v>
      </c>
      <c r="Z124" s="10">
        <f>IFERROR(TIMEVALUE(Table2[[#This Row],[Ra]]),0)</f>
        <v>0</v>
      </c>
      <c r="AA124" s="95" t="s">
        <v>623</v>
      </c>
      <c r="AB124" s="12">
        <f t="shared" si="25"/>
        <v>0</v>
      </c>
      <c r="AC124" s="12" t="str">
        <f>IF(VLOOKUP(A124,Data_NV!$A:$I,7,0)="Không","",IF(OR(AND(Y124=0,Z124=0),AND(Y124&lt;&gt;0,Z124&lt;&gt;0)),"","Quên chấm công"))</f>
        <v/>
      </c>
      <c r="AD124" s="12">
        <f>IF(VLOOKUP(A124,Data_NV!$A:$I,7,0)="Không",0,IF(AND(Y124=0,Z124=0),0,IF(X124&lt;=Z124,0,ROUNDDOWN((X124-Z124)*24*60,0))))</f>
        <v>0</v>
      </c>
      <c r="AE124" s="12">
        <f>IF(VLOOKUP(A124,Data_NV!$A:$I,6,0)="Không",0,IF(Z124&lt;=X124,0,ROUNDDOWN((Z124-X124)*24*60,0)))</f>
        <v>0</v>
      </c>
      <c r="AF124" s="26">
        <f t="shared" si="24"/>
        <v>0</v>
      </c>
      <c r="AG124" s="27" t="str">
        <f>IF(AC124="","",IF(COUNTIFS($AC$3:AC124,"Quên chấm công",$S$3:S124,S124)&gt;3,"Không chấm công do vi phạm quá 3 lần",IF(COUNTIFS($AC$3:AC124,"Quên chấm công",$S$3:S124,S124)&gt;2,"Trừ toàn bộ chuyên cần tháng do vi phạm lần 3",IF(COUNTIFS($AC$3:AC124,"Quên chấm công",$S$3:S124,S124)&gt;1,"Trừ 1/2 ngày lương",50000))))</f>
        <v/>
      </c>
      <c r="AH124" s="12" t="str">
        <f>IF(AF124=0,"",IF(COUNTIFS($AF$3:AF124,"&gt;0",$S$3:S124,S124)&gt;3,"Trừ toàn bộ chuyên cần tháng",""))</f>
        <v/>
      </c>
      <c r="AI124" s="96" t="s">
        <v>637</v>
      </c>
    </row>
    <row r="125" spans="1:35" x14ac:dyDescent="0.25">
      <c r="A125" s="4" t="s">
        <v>467</v>
      </c>
      <c r="B125" s="1" t="s">
        <v>264</v>
      </c>
      <c r="C125" s="1" t="s">
        <v>19</v>
      </c>
      <c r="D125" s="1" t="s">
        <v>27</v>
      </c>
      <c r="E125" s="1" t="s">
        <v>21</v>
      </c>
      <c r="F125" s="1" t="s">
        <v>22</v>
      </c>
      <c r="G125" s="1" t="s">
        <v>28</v>
      </c>
      <c r="H125" s="1" t="s">
        <v>266</v>
      </c>
      <c r="I125" s="1" t="s">
        <v>468</v>
      </c>
      <c r="J125" s="1" t="s">
        <v>24</v>
      </c>
      <c r="K125" s="1" t="s">
        <v>55</v>
      </c>
      <c r="L125" s="1" t="s">
        <v>24</v>
      </c>
      <c r="M125" s="1" t="s">
        <v>25</v>
      </c>
      <c r="N125" s="1" t="s">
        <v>24</v>
      </c>
      <c r="O125" s="1" t="s">
        <v>56</v>
      </c>
      <c r="P125" s="1" t="s">
        <v>24</v>
      </c>
      <c r="Q125" s="1" t="s">
        <v>24</v>
      </c>
      <c r="R125" s="85" t="str">
        <f t="shared" si="22"/>
        <v>945903</v>
      </c>
      <c r="S125" t="str">
        <f>VLOOKUP(A125,Data_NV!$A:$C,3,0)</f>
        <v>Hoàng Thị Hoài Nhi</v>
      </c>
      <c r="T125" t="str">
        <f>VLOOKUP(A125,Data_NV!$A:$E,4,0)</f>
        <v>Kế toán - Văn phòng</v>
      </c>
      <c r="U125" s="82">
        <f>DATEVALUE(Table2[[#This Row],[Ngày]])</f>
        <v>45903</v>
      </c>
      <c r="V125" t="str">
        <f>VLOOKUP(A125,Data_NV!$A:$E,5,0)</f>
        <v>Đang làm việc</v>
      </c>
      <c r="W125" s="10">
        <f>VLOOKUP(A125,Data_NV!$A:$I,8,0)</f>
        <v>0.33333333333333331</v>
      </c>
      <c r="X125" s="10">
        <f>VLOOKUP(A125,Data_NV!$A:$I,9,0)</f>
        <v>0.70833333333333337</v>
      </c>
      <c r="Y125" s="10">
        <f>IFERROR(TIMEVALUE(Table2[[#This Row],[Vào]]),0)</f>
        <v>0.3283449074074074</v>
      </c>
      <c r="Z125" s="10">
        <f>IFERROR(TIMEVALUE(Table2[[#This Row],[Ra]]),0)</f>
        <v>0.74847222222222221</v>
      </c>
      <c r="AA125" t="str">
        <f t="shared" si="23"/>
        <v>x</v>
      </c>
      <c r="AB125" s="12">
        <f t="shared" si="25"/>
        <v>0</v>
      </c>
      <c r="AC125" s="12" t="str">
        <f>IF(VLOOKUP(A125,Data_NV!$A:$I,7,0)="Không","",IF(OR(AND(Y125=0,Z125=0),AND(Y125&lt;&gt;0,Z125&lt;&gt;0)),"","Quên chấm công"))</f>
        <v/>
      </c>
      <c r="AD125" s="12">
        <f>IF(VLOOKUP(A125,Data_NV!$A:$I,7,0)="Không",0,IF(AND(Y125=0,Z125=0),0,IF(X125&lt;=Z125,0,ROUNDDOWN((X125-Z125)*24*60,0))))</f>
        <v>0</v>
      </c>
      <c r="AE125" s="12">
        <f>IF(VLOOKUP(A125,Data_NV!$A:$I,6,0)="Không",0,IF(Z125&lt;=X125,0,ROUNDDOWN((Z125-X125)*24*60,0)))</f>
        <v>57</v>
      </c>
      <c r="AF125" s="26">
        <f t="shared" si="24"/>
        <v>0</v>
      </c>
      <c r="AG125" s="27" t="str">
        <f>IF(AC125="","",IF(COUNTIFS($AC$3:AC125,"Quên chấm công",$S$3:S125,S125)&gt;3,"Không chấm công do vi phạm quá 3 lần",IF(COUNTIFS($AC$3:AC125,"Quên chấm công",$S$3:S125,S125)&gt;2,"Trừ toàn bộ chuyên cần tháng do vi phạm lần 3",IF(COUNTIFS($AC$3:AC125,"Quên chấm công",$S$3:S125,S125)&gt;1,"Trừ 1/2 ngày lương",50000))))</f>
        <v/>
      </c>
      <c r="AH125" s="12" t="str">
        <f>IF(AF125=0,"",IF(COUNTIFS($AF$3:AF125,"&gt;0",$S$3:S125,S125)&gt;3,"Trừ toàn bộ chuyên cần tháng",""))</f>
        <v/>
      </c>
      <c r="AI125" s="12"/>
    </row>
    <row r="126" spans="1:35" x14ac:dyDescent="0.25">
      <c r="A126" s="4" t="s">
        <v>467</v>
      </c>
      <c r="B126" s="1" t="s">
        <v>264</v>
      </c>
      <c r="C126" s="1" t="s">
        <v>19</v>
      </c>
      <c r="D126" s="1" t="s">
        <v>30</v>
      </c>
      <c r="E126" s="1" t="s">
        <v>21</v>
      </c>
      <c r="F126" s="1" t="s">
        <v>22</v>
      </c>
      <c r="G126" s="1" t="s">
        <v>28</v>
      </c>
      <c r="H126" s="1" t="s">
        <v>469</v>
      </c>
      <c r="I126" s="1" t="s">
        <v>470</v>
      </c>
      <c r="J126" s="1" t="s">
        <v>24</v>
      </c>
      <c r="K126" s="1" t="s">
        <v>471</v>
      </c>
      <c r="L126" s="1" t="s">
        <v>24</v>
      </c>
      <c r="M126" s="1" t="s">
        <v>25</v>
      </c>
      <c r="N126" s="1" t="s">
        <v>24</v>
      </c>
      <c r="O126" s="1" t="s">
        <v>198</v>
      </c>
      <c r="P126" s="1" t="s">
        <v>24</v>
      </c>
      <c r="Q126" s="1" t="s">
        <v>24</v>
      </c>
      <c r="R126" s="85" t="str">
        <f t="shared" si="22"/>
        <v>945904</v>
      </c>
      <c r="S126" t="str">
        <f>VLOOKUP(A126,Data_NV!$A:$C,3,0)</f>
        <v>Hoàng Thị Hoài Nhi</v>
      </c>
      <c r="T126" t="str">
        <f>VLOOKUP(A126,Data_NV!$A:$E,4,0)</f>
        <v>Kế toán - Văn phòng</v>
      </c>
      <c r="U126" s="82">
        <f>DATEVALUE(Table2[[#This Row],[Ngày]])</f>
        <v>45904</v>
      </c>
      <c r="V126" t="str">
        <f>VLOOKUP(A126,Data_NV!$A:$E,5,0)</f>
        <v>Đang làm việc</v>
      </c>
      <c r="W126" s="10">
        <f>VLOOKUP(A126,Data_NV!$A:$I,8,0)</f>
        <v>0.33333333333333331</v>
      </c>
      <c r="X126" s="10">
        <f>VLOOKUP(A126,Data_NV!$A:$I,9,0)</f>
        <v>0.70833333333333337</v>
      </c>
      <c r="Y126" s="10">
        <f>IFERROR(TIMEVALUE(Table2[[#This Row],[Vào]]),0)</f>
        <v>0.32859953703703704</v>
      </c>
      <c r="Z126" s="10">
        <f>IFERROR(TIMEVALUE(Table2[[#This Row],[Ra]]),0)</f>
        <v>0.75782407407407404</v>
      </c>
      <c r="AA126" t="str">
        <f t="shared" si="23"/>
        <v>x</v>
      </c>
      <c r="AB126" s="12">
        <f t="shared" si="25"/>
        <v>0</v>
      </c>
      <c r="AC126" s="12" t="str">
        <f>IF(VLOOKUP(A126,Data_NV!$A:$I,7,0)="Không","",IF(OR(AND(Y126=0,Z126=0),AND(Y126&lt;&gt;0,Z126&lt;&gt;0)),"","Quên chấm công"))</f>
        <v/>
      </c>
      <c r="AD126" s="12">
        <f>IF(VLOOKUP(A126,Data_NV!$A:$I,7,0)="Không",0,IF(AND(Y126=0,Z126=0),0,IF(X126&lt;=Z126,0,ROUNDDOWN((X126-Z126)*24*60,0))))</f>
        <v>0</v>
      </c>
      <c r="AE126" s="12">
        <f>IF(VLOOKUP(A126,Data_NV!$A:$I,6,0)="Không",0,IF(Z126&lt;=X126,0,ROUNDDOWN((Z126-X126)*24*60,0)))</f>
        <v>71</v>
      </c>
      <c r="AF126" s="26">
        <f t="shared" si="24"/>
        <v>0</v>
      </c>
      <c r="AG126" s="27" t="str">
        <f>IF(AC126="","",IF(COUNTIFS($AC$3:AC126,"Quên chấm công",$S$3:S126,S126)&gt;3,"Không chấm công do vi phạm quá 3 lần",IF(COUNTIFS($AC$3:AC126,"Quên chấm công",$S$3:S126,S126)&gt;2,"Trừ toàn bộ chuyên cần tháng do vi phạm lần 3",IF(COUNTIFS($AC$3:AC126,"Quên chấm công",$S$3:S126,S126)&gt;1,"Trừ 1/2 ngày lương",50000))))</f>
        <v/>
      </c>
      <c r="AH126" s="12" t="str">
        <f>IF(AF126=0,"",IF(COUNTIFS($AF$3:AF126,"&gt;0",$S$3:S126,S126)&gt;3,"Trừ toàn bộ chuyên cần tháng",""))</f>
        <v/>
      </c>
      <c r="AI126" s="12"/>
    </row>
    <row r="127" spans="1:35" x14ac:dyDescent="0.25">
      <c r="A127" s="4" t="s">
        <v>467</v>
      </c>
      <c r="B127" s="1" t="s">
        <v>264</v>
      </c>
      <c r="C127" s="1" t="s">
        <v>19</v>
      </c>
      <c r="D127" s="1" t="s">
        <v>31</v>
      </c>
      <c r="E127" s="1" t="s">
        <v>21</v>
      </c>
      <c r="F127" s="1" t="s">
        <v>22</v>
      </c>
      <c r="G127" s="1" t="s">
        <v>28</v>
      </c>
      <c r="H127" s="1" t="s">
        <v>472</v>
      </c>
      <c r="I127" s="1" t="s">
        <v>473</v>
      </c>
      <c r="J127" s="1" t="s">
        <v>24</v>
      </c>
      <c r="K127" s="1" t="s">
        <v>282</v>
      </c>
      <c r="L127" s="1" t="s">
        <v>24</v>
      </c>
      <c r="M127" s="1" t="s">
        <v>25</v>
      </c>
      <c r="N127" s="1" t="s">
        <v>24</v>
      </c>
      <c r="O127" s="1" t="s">
        <v>283</v>
      </c>
      <c r="P127" s="1" t="s">
        <v>24</v>
      </c>
      <c r="Q127" s="1" t="s">
        <v>24</v>
      </c>
      <c r="R127" s="85" t="str">
        <f t="shared" si="22"/>
        <v>945905</v>
      </c>
      <c r="S127" t="str">
        <f>VLOOKUP(A127,Data_NV!$A:$C,3,0)</f>
        <v>Hoàng Thị Hoài Nhi</v>
      </c>
      <c r="T127" t="str">
        <f>VLOOKUP(A127,Data_NV!$A:$E,4,0)</f>
        <v>Kế toán - Văn phòng</v>
      </c>
      <c r="U127" s="82">
        <f>DATEVALUE(Table2[[#This Row],[Ngày]])</f>
        <v>45905</v>
      </c>
      <c r="V127" t="str">
        <f>VLOOKUP(A127,Data_NV!$A:$E,5,0)</f>
        <v>Đang làm việc</v>
      </c>
      <c r="W127" s="10">
        <f>VLOOKUP(A127,Data_NV!$A:$I,8,0)</f>
        <v>0.33333333333333331</v>
      </c>
      <c r="X127" s="10">
        <f>VLOOKUP(A127,Data_NV!$A:$I,9,0)</f>
        <v>0.70833333333333337</v>
      </c>
      <c r="Y127" s="10">
        <f>IFERROR(TIMEVALUE(Table2[[#This Row],[Vào]]),0)</f>
        <v>0.32753472222222224</v>
      </c>
      <c r="Z127" s="10">
        <f>IFERROR(TIMEVALUE(Table2[[#This Row],[Ra]]),0)</f>
        <v>0.76462962962962966</v>
      </c>
      <c r="AA127" t="str">
        <f t="shared" si="23"/>
        <v>x</v>
      </c>
      <c r="AB127" s="12">
        <f t="shared" si="25"/>
        <v>0</v>
      </c>
      <c r="AC127" s="12" t="str">
        <f>IF(VLOOKUP(A127,Data_NV!$A:$I,7,0)="Không","",IF(OR(AND(Y127=0,Z127=0),AND(Y127&lt;&gt;0,Z127&lt;&gt;0)),"","Quên chấm công"))</f>
        <v/>
      </c>
      <c r="AD127" s="12">
        <f>IF(VLOOKUP(A127,Data_NV!$A:$I,7,0)="Không",0,IF(AND(Y127=0,Z127=0),0,IF(X127&lt;=Z127,0,ROUNDDOWN((X127-Z127)*24*60,0))))</f>
        <v>0</v>
      </c>
      <c r="AE127" s="12">
        <f>IF(VLOOKUP(A127,Data_NV!$A:$I,6,0)="Không",0,IF(Z127&lt;=X127,0,ROUNDDOWN((Z127-X127)*24*60,0)))</f>
        <v>81</v>
      </c>
      <c r="AF127" s="26">
        <f t="shared" si="24"/>
        <v>0</v>
      </c>
      <c r="AG127" s="27" t="str">
        <f>IF(AC127="","",IF(COUNTIFS($AC$3:AC127,"Quên chấm công",$S$3:S127,S127)&gt;3,"Không chấm công do vi phạm quá 3 lần",IF(COUNTIFS($AC$3:AC127,"Quên chấm công",$S$3:S127,S127)&gt;2,"Trừ toàn bộ chuyên cần tháng do vi phạm lần 3",IF(COUNTIFS($AC$3:AC127,"Quên chấm công",$S$3:S127,S127)&gt;1,"Trừ 1/2 ngày lương",50000))))</f>
        <v/>
      </c>
      <c r="AH127" s="12" t="str">
        <f>IF(AF127=0,"",IF(COUNTIFS($AF$3:AF127,"&gt;0",$S$3:S127,S127)&gt;3,"Trừ toàn bộ chuyên cần tháng",""))</f>
        <v/>
      </c>
      <c r="AI127" s="12"/>
    </row>
    <row r="128" spans="1:35" x14ac:dyDescent="0.25">
      <c r="A128" s="4" t="s">
        <v>467</v>
      </c>
      <c r="B128" s="1" t="s">
        <v>264</v>
      </c>
      <c r="C128" s="1" t="s">
        <v>19</v>
      </c>
      <c r="D128" s="1" t="s">
        <v>32</v>
      </c>
      <c r="E128" s="1" t="s">
        <v>21</v>
      </c>
      <c r="F128" s="1" t="s">
        <v>22</v>
      </c>
      <c r="G128" s="1" t="s">
        <v>12</v>
      </c>
      <c r="H128" s="1" t="s">
        <v>23</v>
      </c>
      <c r="I128" s="1" t="s">
        <v>474</v>
      </c>
      <c r="J128" s="1" t="s">
        <v>24</v>
      </c>
      <c r="K128" s="1" t="s">
        <v>24</v>
      </c>
      <c r="L128" s="1" t="s">
        <v>25</v>
      </c>
      <c r="M128" s="1" t="s">
        <v>24</v>
      </c>
      <c r="N128" s="1" t="s">
        <v>24</v>
      </c>
      <c r="O128" s="1" t="s">
        <v>24</v>
      </c>
      <c r="P128" s="1" t="s">
        <v>24</v>
      </c>
      <c r="Q128" s="1" t="s">
        <v>24</v>
      </c>
      <c r="R128" s="85" t="str">
        <f t="shared" si="22"/>
        <v>945906</v>
      </c>
      <c r="S128" t="str">
        <f>VLOOKUP(A128,Data_NV!$A:$C,3,0)</f>
        <v>Hoàng Thị Hoài Nhi</v>
      </c>
      <c r="T128" t="str">
        <f>VLOOKUP(A128,Data_NV!$A:$E,4,0)</f>
        <v>Kế toán - Văn phòng</v>
      </c>
      <c r="U128" s="82">
        <f>DATEVALUE(Table2[[#This Row],[Ngày]])</f>
        <v>45906</v>
      </c>
      <c r="V128" t="str">
        <f>VLOOKUP(A128,Data_NV!$A:$E,5,0)</f>
        <v>Đang làm việc</v>
      </c>
      <c r="W128" s="10">
        <f>VLOOKUP(A128,Data_NV!$A:$I,8,0)</f>
        <v>0.33333333333333331</v>
      </c>
      <c r="X128" s="10">
        <f>VLOOKUP(A128,Data_NV!$A:$I,9,0)</f>
        <v>0.70833333333333337</v>
      </c>
      <c r="Y128" s="10">
        <f>IFERROR(TIMEVALUE(Table2[[#This Row],[Vào]]),0)</f>
        <v>0</v>
      </c>
      <c r="Z128" s="10">
        <f>IFERROR(TIMEVALUE(Table2[[#This Row],[Ra]]),0)</f>
        <v>0.77824074074074079</v>
      </c>
      <c r="AA128" t="str">
        <f t="shared" si="23"/>
        <v>x</v>
      </c>
      <c r="AB128" s="12">
        <f t="shared" si="25"/>
        <v>0</v>
      </c>
      <c r="AC128" s="12" t="str">
        <f>IF(VLOOKUP(A128,Data_NV!$A:$I,7,0)="Không","",IF(OR(AND(Y128=0,Z128=0),AND(Y128&lt;&gt;0,Z128&lt;&gt;0)),"","Quên chấm công"))</f>
        <v>Quên chấm công</v>
      </c>
      <c r="AD128" s="12">
        <f>IF(VLOOKUP(A128,Data_NV!$A:$I,7,0)="Không",0,IF(AND(Y128=0,Z128=0),0,IF(X128&lt;=Z128,0,ROUNDDOWN((X128-Z128)*24*60,0))))</f>
        <v>0</v>
      </c>
      <c r="AE128" s="12">
        <f>IF(VLOOKUP(A128,Data_NV!$A:$I,6,0)="Không",0,IF(Z128&lt;=X128,0,ROUNDDOWN((Z128-X128)*24*60,0)))</f>
        <v>100</v>
      </c>
      <c r="AF128" s="26">
        <f t="shared" si="24"/>
        <v>0</v>
      </c>
      <c r="AG128" s="27">
        <f>IF(AC128="","",IF(COUNTIFS($AC$3:AC128,"Quên chấm công",$S$3:S128,S128)&gt;3,"Không chấm công do vi phạm quá 3 lần",IF(COUNTIFS($AC$3:AC128,"Quên chấm công",$S$3:S128,S128)&gt;2,"Trừ toàn bộ chuyên cần tháng do vi phạm lần 3",IF(COUNTIFS($AC$3:AC128,"Quên chấm công",$S$3:S128,S128)&gt;1,"Trừ 1/2 ngày lương",50000))))</f>
        <v>50000</v>
      </c>
      <c r="AH128" s="12" t="str">
        <f>IF(AF128=0,"",IF(COUNTIFS($AF$3:AF128,"&gt;0",$S$3:S128,S128)&gt;3,"Trừ toàn bộ chuyên cần tháng",""))</f>
        <v/>
      </c>
      <c r="AI128" s="12"/>
    </row>
    <row r="129" spans="1:35" x14ac:dyDescent="0.25">
      <c r="A129" s="4" t="s">
        <v>467</v>
      </c>
      <c r="B129" s="1" t="s">
        <v>264</v>
      </c>
      <c r="C129" s="1" t="s">
        <v>19</v>
      </c>
      <c r="D129" s="1" t="s">
        <v>33</v>
      </c>
      <c r="E129" s="1" t="s">
        <v>21</v>
      </c>
      <c r="F129" s="1" t="s">
        <v>22</v>
      </c>
      <c r="G129" s="1" t="s">
        <v>12</v>
      </c>
      <c r="H129" s="1" t="s">
        <v>23</v>
      </c>
      <c r="I129" s="1" t="s">
        <v>23</v>
      </c>
      <c r="J129" s="1" t="s">
        <v>24</v>
      </c>
      <c r="K129" s="1" t="s">
        <v>24</v>
      </c>
      <c r="L129" s="1" t="s">
        <v>25</v>
      </c>
      <c r="M129" s="1" t="s">
        <v>24</v>
      </c>
      <c r="N129" s="1" t="s">
        <v>24</v>
      </c>
      <c r="O129" s="1" t="s">
        <v>24</v>
      </c>
      <c r="P129" s="1" t="s">
        <v>24</v>
      </c>
      <c r="Q129" s="1" t="s">
        <v>24</v>
      </c>
      <c r="R129" s="85" t="str">
        <f t="shared" si="22"/>
        <v>945907</v>
      </c>
      <c r="S129" t="str">
        <f>VLOOKUP(A129,Data_NV!$A:$C,3,0)</f>
        <v>Hoàng Thị Hoài Nhi</v>
      </c>
      <c r="T129" t="str">
        <f>VLOOKUP(A129,Data_NV!$A:$E,4,0)</f>
        <v>Kế toán - Văn phòng</v>
      </c>
      <c r="U129" s="82">
        <f>DATEVALUE(Table2[[#This Row],[Ngày]])</f>
        <v>45907</v>
      </c>
      <c r="V129" t="str">
        <f>VLOOKUP(A129,Data_NV!$A:$E,5,0)</f>
        <v>Đang làm việc</v>
      </c>
      <c r="W129" s="10">
        <f>VLOOKUP(A129,Data_NV!$A:$I,8,0)</f>
        <v>0.33333333333333331</v>
      </c>
      <c r="X129" s="10">
        <f>VLOOKUP(A129,Data_NV!$A:$I,9,0)</f>
        <v>0.70833333333333337</v>
      </c>
      <c r="Y129" s="10">
        <f>IFERROR(TIMEVALUE(Table2[[#This Row],[Vào]]),0)</f>
        <v>0</v>
      </c>
      <c r="Z129" s="10">
        <f>IFERROR(TIMEVALUE(Table2[[#This Row],[Ra]]),0)</f>
        <v>0</v>
      </c>
      <c r="AA129" t="str">
        <f t="shared" si="23"/>
        <v>Chủ nhật</v>
      </c>
      <c r="AB129" s="12">
        <f t="shared" si="25"/>
        <v>0</v>
      </c>
      <c r="AC129" s="12" t="str">
        <f>IF(VLOOKUP(A129,Data_NV!$A:$I,7,0)="Không","",IF(OR(AND(Y129=0,Z129=0),AND(Y129&lt;&gt;0,Z129&lt;&gt;0)),"","Quên chấm công"))</f>
        <v/>
      </c>
      <c r="AD129" s="12">
        <f>IF(VLOOKUP(A129,Data_NV!$A:$I,7,0)="Không",0,IF(AND(Y129=0,Z129=0),0,IF(X129&lt;=Z129,0,ROUNDDOWN((X129-Z129)*24*60,0))))</f>
        <v>0</v>
      </c>
      <c r="AE129" s="12">
        <f>IF(VLOOKUP(A129,Data_NV!$A:$I,6,0)="Không",0,IF(Z129&lt;=X129,0,ROUNDDOWN((Z129-X129)*24*60,0)))</f>
        <v>0</v>
      </c>
      <c r="AF129" s="26">
        <f t="shared" si="24"/>
        <v>0</v>
      </c>
      <c r="AG129" s="27" t="str">
        <f>IF(AC129="","",IF(COUNTIFS($AC$3:AC129,"Quên chấm công",$S$3:S129,S129)&gt;3,"Không chấm công do vi phạm quá 3 lần",IF(COUNTIFS($AC$3:AC129,"Quên chấm công",$S$3:S129,S129)&gt;2,"Trừ toàn bộ chuyên cần tháng do vi phạm lần 3",IF(COUNTIFS($AC$3:AC129,"Quên chấm công",$S$3:S129,S129)&gt;1,"Trừ 1/2 ngày lương",50000))))</f>
        <v/>
      </c>
      <c r="AH129" s="12" t="str">
        <f>IF(AF129=0,"",IF(COUNTIFS($AF$3:AF129,"&gt;0",$S$3:S129,S129)&gt;3,"Trừ toàn bộ chuyên cần tháng",""))</f>
        <v/>
      </c>
      <c r="AI129" s="12"/>
    </row>
    <row r="130" spans="1:35" x14ac:dyDescent="0.25">
      <c r="A130" s="4" t="s">
        <v>467</v>
      </c>
      <c r="B130" s="1" t="s">
        <v>264</v>
      </c>
      <c r="C130" s="1" t="s">
        <v>19</v>
      </c>
      <c r="D130" s="1" t="s">
        <v>34</v>
      </c>
      <c r="E130" s="1" t="s">
        <v>21</v>
      </c>
      <c r="F130" s="1" t="s">
        <v>22</v>
      </c>
      <c r="G130" s="1" t="s">
        <v>28</v>
      </c>
      <c r="H130" s="1" t="s">
        <v>475</v>
      </c>
      <c r="I130" s="1" t="s">
        <v>476</v>
      </c>
      <c r="J130" s="1" t="s">
        <v>24</v>
      </c>
      <c r="K130" s="1" t="s">
        <v>63</v>
      </c>
      <c r="L130" s="1" t="s">
        <v>24</v>
      </c>
      <c r="M130" s="1" t="s">
        <v>25</v>
      </c>
      <c r="N130" s="1" t="s">
        <v>24</v>
      </c>
      <c r="O130" s="1" t="s">
        <v>64</v>
      </c>
      <c r="P130" s="1" t="s">
        <v>24</v>
      </c>
      <c r="Q130" s="1" t="s">
        <v>24</v>
      </c>
      <c r="R130" s="85" t="str">
        <f t="shared" si="22"/>
        <v>945908</v>
      </c>
      <c r="S130" t="str">
        <f>VLOOKUP(A130,Data_NV!$A:$C,3,0)</f>
        <v>Hoàng Thị Hoài Nhi</v>
      </c>
      <c r="T130" t="str">
        <f>VLOOKUP(A130,Data_NV!$A:$E,4,0)</f>
        <v>Kế toán - Văn phòng</v>
      </c>
      <c r="U130" s="82">
        <f>DATEVALUE(Table2[[#This Row],[Ngày]])</f>
        <v>45908</v>
      </c>
      <c r="V130" t="str">
        <f>VLOOKUP(A130,Data_NV!$A:$E,5,0)</f>
        <v>Đang làm việc</v>
      </c>
      <c r="W130" s="10">
        <f>VLOOKUP(A130,Data_NV!$A:$I,8,0)</f>
        <v>0.33333333333333331</v>
      </c>
      <c r="X130" s="10">
        <f>VLOOKUP(A130,Data_NV!$A:$I,9,0)</f>
        <v>0.70833333333333337</v>
      </c>
      <c r="Y130" s="10">
        <f>IFERROR(TIMEVALUE(Table2[[#This Row],[Vào]]),0)</f>
        <v>0.32745370370370369</v>
      </c>
      <c r="Z130" s="10">
        <f>IFERROR(TIMEVALUE(Table2[[#This Row],[Ra]]),0)</f>
        <v>0.75614583333333329</v>
      </c>
      <c r="AA130" t="str">
        <f t="shared" si="23"/>
        <v>x</v>
      </c>
      <c r="AB130" s="12">
        <f t="shared" si="25"/>
        <v>0</v>
      </c>
      <c r="AC130" s="12" t="str">
        <f>IF(VLOOKUP(A130,Data_NV!$A:$I,7,0)="Không","",IF(OR(AND(Y130=0,Z130=0),AND(Y130&lt;&gt;0,Z130&lt;&gt;0)),"","Quên chấm công"))</f>
        <v/>
      </c>
      <c r="AD130" s="12">
        <f>IF(VLOOKUP(A130,Data_NV!$A:$I,7,0)="Không",0,IF(AND(Y130=0,Z130=0),0,IF(X130&lt;=Z130,0,ROUNDDOWN((X130-Z130)*24*60,0))))</f>
        <v>0</v>
      </c>
      <c r="AE130" s="12">
        <f>IF(VLOOKUP(A130,Data_NV!$A:$I,6,0)="Không",0,IF(Z130&lt;=X130,0,ROUNDDOWN((Z130-X130)*24*60,0)))</f>
        <v>68</v>
      </c>
      <c r="AF130" s="26">
        <f t="shared" si="24"/>
        <v>0</v>
      </c>
      <c r="AG130" s="27" t="str">
        <f>IF(AC130="","",IF(COUNTIFS($AC$3:AC130,"Quên chấm công",$S$3:S130,S130)&gt;3,"Không chấm công do vi phạm quá 3 lần",IF(COUNTIFS($AC$3:AC130,"Quên chấm công",$S$3:S130,S130)&gt;2,"Trừ toàn bộ chuyên cần tháng do vi phạm lần 3",IF(COUNTIFS($AC$3:AC130,"Quên chấm công",$S$3:S130,S130)&gt;1,"Trừ 1/2 ngày lương",50000))))</f>
        <v/>
      </c>
      <c r="AH130" s="12" t="str">
        <f>IF(AF130=0,"",IF(COUNTIFS($AF$3:AF130,"&gt;0",$S$3:S130,S130)&gt;3,"Trừ toàn bộ chuyên cần tháng",""))</f>
        <v/>
      </c>
      <c r="AI130" s="12"/>
    </row>
    <row r="131" spans="1:35" x14ac:dyDescent="0.25">
      <c r="A131" s="4" t="s">
        <v>467</v>
      </c>
      <c r="B131" s="1" t="s">
        <v>264</v>
      </c>
      <c r="C131" s="1" t="s">
        <v>19</v>
      </c>
      <c r="D131" s="1" t="s">
        <v>37</v>
      </c>
      <c r="E131" s="1" t="s">
        <v>21</v>
      </c>
      <c r="F131" s="1" t="s">
        <v>22</v>
      </c>
      <c r="G131" s="1" t="s">
        <v>28</v>
      </c>
      <c r="H131" s="1" t="s">
        <v>477</v>
      </c>
      <c r="I131" s="1" t="s">
        <v>478</v>
      </c>
      <c r="J131" s="1" t="s">
        <v>24</v>
      </c>
      <c r="K131" s="1" t="s">
        <v>479</v>
      </c>
      <c r="L131" s="1" t="s">
        <v>24</v>
      </c>
      <c r="M131" s="1" t="s">
        <v>25</v>
      </c>
      <c r="N131" s="1" t="s">
        <v>24</v>
      </c>
      <c r="O131" s="1" t="s">
        <v>480</v>
      </c>
      <c r="P131" s="1" t="s">
        <v>24</v>
      </c>
      <c r="Q131" s="1" t="s">
        <v>24</v>
      </c>
      <c r="R131" s="85" t="str">
        <f t="shared" si="22"/>
        <v>945909</v>
      </c>
      <c r="S131" t="str">
        <f>VLOOKUP(A131,Data_NV!$A:$C,3,0)</f>
        <v>Hoàng Thị Hoài Nhi</v>
      </c>
      <c r="T131" t="str">
        <f>VLOOKUP(A131,Data_NV!$A:$E,4,0)</f>
        <v>Kế toán - Văn phòng</v>
      </c>
      <c r="U131" s="82">
        <f>DATEVALUE(Table2[[#This Row],[Ngày]])</f>
        <v>45909</v>
      </c>
      <c r="V131" t="str">
        <f>VLOOKUP(A131,Data_NV!$A:$E,5,0)</f>
        <v>Đang làm việc</v>
      </c>
      <c r="W131" s="10">
        <f>VLOOKUP(A131,Data_NV!$A:$I,8,0)</f>
        <v>0.33333333333333331</v>
      </c>
      <c r="X131" s="10">
        <f>VLOOKUP(A131,Data_NV!$A:$I,9,0)</f>
        <v>0.70833333333333337</v>
      </c>
      <c r="Y131" s="10">
        <f>IFERROR(TIMEVALUE(Table2[[#This Row],[Vào]]),0)</f>
        <v>0.32752314814814815</v>
      </c>
      <c r="Z131" s="10">
        <f>IFERROR(TIMEVALUE(Table2[[#This Row],[Ra]]),0)</f>
        <v>0.77498842592592587</v>
      </c>
      <c r="AA131" t="str">
        <f t="shared" si="23"/>
        <v>x</v>
      </c>
      <c r="AB131" s="12">
        <f t="shared" si="25"/>
        <v>0</v>
      </c>
      <c r="AC131" s="12" t="str">
        <f>IF(VLOOKUP(A131,Data_NV!$A:$I,7,0)="Không","",IF(OR(AND(Y131=0,Z131=0),AND(Y131&lt;&gt;0,Z131&lt;&gt;0)),"","Quên chấm công"))</f>
        <v/>
      </c>
      <c r="AD131" s="12">
        <f>IF(VLOOKUP(A131,Data_NV!$A:$I,7,0)="Không",0,IF(AND(Y131=0,Z131=0),0,IF(X131&lt;=Z131,0,ROUNDDOWN((X131-Z131)*24*60,0))))</f>
        <v>0</v>
      </c>
      <c r="AE131" s="12">
        <f>IF(VLOOKUP(A131,Data_NV!$A:$I,6,0)="Không",0,IF(Z131&lt;=X131,0,ROUNDDOWN((Z131-X131)*24*60,0)))</f>
        <v>95</v>
      </c>
      <c r="AF131" s="26">
        <f t="shared" si="24"/>
        <v>0</v>
      </c>
      <c r="AG131" s="27" t="str">
        <f>IF(AC131="","",IF(COUNTIFS($AC$3:AC131,"Quên chấm công",$S$3:S131,S131)&gt;3,"Không chấm công do vi phạm quá 3 lần",IF(COUNTIFS($AC$3:AC131,"Quên chấm công",$S$3:S131,S131)&gt;2,"Trừ toàn bộ chuyên cần tháng do vi phạm lần 3",IF(COUNTIFS($AC$3:AC131,"Quên chấm công",$S$3:S131,S131)&gt;1,"Trừ 1/2 ngày lương",50000))))</f>
        <v/>
      </c>
      <c r="AH131" s="12" t="str">
        <f>IF(AF131=0,"",IF(COUNTIFS($AF$3:AF131,"&gt;0",$S$3:S131,S131)&gt;3,"Trừ toàn bộ chuyên cần tháng",""))</f>
        <v/>
      </c>
      <c r="AI131" s="12"/>
    </row>
    <row r="132" spans="1:35" x14ac:dyDescent="0.25">
      <c r="A132" s="4" t="s">
        <v>467</v>
      </c>
      <c r="B132" s="1" t="s">
        <v>264</v>
      </c>
      <c r="C132" s="1" t="s">
        <v>19</v>
      </c>
      <c r="D132" s="1" t="s">
        <v>38</v>
      </c>
      <c r="E132" s="1" t="s">
        <v>21</v>
      </c>
      <c r="F132" s="1" t="s">
        <v>22</v>
      </c>
      <c r="G132" s="1" t="s">
        <v>28</v>
      </c>
      <c r="H132" s="1" t="s">
        <v>481</v>
      </c>
      <c r="I132" s="1" t="s">
        <v>482</v>
      </c>
      <c r="J132" s="1" t="s">
        <v>24</v>
      </c>
      <c r="K132" s="1" t="s">
        <v>133</v>
      </c>
      <c r="L132" s="1" t="s">
        <v>24</v>
      </c>
      <c r="M132" s="1" t="s">
        <v>25</v>
      </c>
      <c r="N132" s="1" t="s">
        <v>24</v>
      </c>
      <c r="O132" s="1" t="s">
        <v>134</v>
      </c>
      <c r="P132" s="1" t="s">
        <v>24</v>
      </c>
      <c r="Q132" s="1" t="s">
        <v>24</v>
      </c>
      <c r="R132" s="85" t="str">
        <f t="shared" si="22"/>
        <v>945910</v>
      </c>
      <c r="S132" t="str">
        <f>VLOOKUP(A132,Data_NV!$A:$C,3,0)</f>
        <v>Hoàng Thị Hoài Nhi</v>
      </c>
      <c r="T132" t="str">
        <f>VLOOKUP(A132,Data_NV!$A:$E,4,0)</f>
        <v>Kế toán - Văn phòng</v>
      </c>
      <c r="U132" s="82">
        <f>DATEVALUE(Table2[[#This Row],[Ngày]])</f>
        <v>45910</v>
      </c>
      <c r="V132" t="str">
        <f>VLOOKUP(A132,Data_NV!$A:$E,5,0)</f>
        <v>Đang làm việc</v>
      </c>
      <c r="W132" s="10">
        <f>VLOOKUP(A132,Data_NV!$A:$I,8,0)</f>
        <v>0.33333333333333331</v>
      </c>
      <c r="X132" s="10">
        <f>VLOOKUP(A132,Data_NV!$A:$I,9,0)</f>
        <v>0.70833333333333337</v>
      </c>
      <c r="Y132" s="10">
        <f>IFERROR(TIMEVALUE(Table2[[#This Row],[Vào]]),0)</f>
        <v>0.32874999999999999</v>
      </c>
      <c r="Z132" s="10">
        <f>IFERROR(TIMEVALUE(Table2[[#This Row],[Ra]]),0)</f>
        <v>0.78258101851851847</v>
      </c>
      <c r="AA132" t="str">
        <f t="shared" si="23"/>
        <v>x</v>
      </c>
      <c r="AB132" s="12">
        <f t="shared" si="25"/>
        <v>0</v>
      </c>
      <c r="AC132" s="12" t="str">
        <f>IF(VLOOKUP(A132,Data_NV!$A:$I,7,0)="Không","",IF(OR(AND(Y132=0,Z132=0),AND(Y132&lt;&gt;0,Z132&lt;&gt;0)),"","Quên chấm công"))</f>
        <v/>
      </c>
      <c r="AD132" s="12">
        <f>IF(VLOOKUP(A132,Data_NV!$A:$I,7,0)="Không",0,IF(AND(Y132=0,Z132=0),0,IF(X132&lt;=Z132,0,ROUNDDOWN((X132-Z132)*24*60,0))))</f>
        <v>0</v>
      </c>
      <c r="AE132" s="12">
        <f>IF(VLOOKUP(A132,Data_NV!$A:$I,6,0)="Không",0,IF(Z132&lt;=X132,0,ROUNDDOWN((Z132-X132)*24*60,0)))</f>
        <v>106</v>
      </c>
      <c r="AF132" s="26">
        <f t="shared" si="24"/>
        <v>0</v>
      </c>
      <c r="AG132" s="27" t="str">
        <f>IF(AC132="","",IF(COUNTIFS($AC$3:AC132,"Quên chấm công",$S$3:S132,S132)&gt;3,"Không chấm công do vi phạm quá 3 lần",IF(COUNTIFS($AC$3:AC132,"Quên chấm công",$S$3:S132,S132)&gt;2,"Trừ toàn bộ chuyên cần tháng do vi phạm lần 3",IF(COUNTIFS($AC$3:AC132,"Quên chấm công",$S$3:S132,S132)&gt;1,"Trừ 1/2 ngày lương",50000))))</f>
        <v/>
      </c>
      <c r="AH132" s="12" t="str">
        <f>IF(AF132=0,"",IF(COUNTIFS($AF$3:AF132,"&gt;0",$S$3:S132,S132)&gt;3,"Trừ toàn bộ chuyên cần tháng",""))</f>
        <v/>
      </c>
      <c r="AI132" s="12"/>
    </row>
    <row r="133" spans="1:35" x14ac:dyDescent="0.25">
      <c r="A133" s="4" t="s">
        <v>467</v>
      </c>
      <c r="B133" s="1" t="s">
        <v>264</v>
      </c>
      <c r="C133" s="1" t="s">
        <v>19</v>
      </c>
      <c r="D133" s="1" t="s">
        <v>39</v>
      </c>
      <c r="E133" s="1" t="s">
        <v>21</v>
      </c>
      <c r="F133" s="1" t="s">
        <v>22</v>
      </c>
      <c r="G133" s="1" t="s">
        <v>28</v>
      </c>
      <c r="H133" s="1" t="s">
        <v>323</v>
      </c>
      <c r="I133" s="1" t="s">
        <v>483</v>
      </c>
      <c r="J133" s="1" t="s">
        <v>24</v>
      </c>
      <c r="K133" s="1" t="s">
        <v>286</v>
      </c>
      <c r="L133" s="1" t="s">
        <v>24</v>
      </c>
      <c r="M133" s="1" t="s">
        <v>25</v>
      </c>
      <c r="N133" s="1" t="s">
        <v>24</v>
      </c>
      <c r="O133" s="1" t="s">
        <v>287</v>
      </c>
      <c r="P133" s="1" t="s">
        <v>24</v>
      </c>
      <c r="Q133" s="1" t="s">
        <v>24</v>
      </c>
      <c r="R133" s="85" t="str">
        <f t="shared" si="22"/>
        <v>945911</v>
      </c>
      <c r="S133" t="str">
        <f>VLOOKUP(A133,Data_NV!$A:$C,3,0)</f>
        <v>Hoàng Thị Hoài Nhi</v>
      </c>
      <c r="T133" t="str">
        <f>VLOOKUP(A133,Data_NV!$A:$E,4,0)</f>
        <v>Kế toán - Văn phòng</v>
      </c>
      <c r="U133" s="82">
        <f>DATEVALUE(Table2[[#This Row],[Ngày]])</f>
        <v>45911</v>
      </c>
      <c r="V133" t="str">
        <f>VLOOKUP(A133,Data_NV!$A:$E,5,0)</f>
        <v>Đang làm việc</v>
      </c>
      <c r="W133" s="10">
        <f>VLOOKUP(A133,Data_NV!$A:$I,8,0)</f>
        <v>0.33333333333333331</v>
      </c>
      <c r="X133" s="10">
        <f>VLOOKUP(A133,Data_NV!$A:$I,9,0)</f>
        <v>0.70833333333333337</v>
      </c>
      <c r="Y133" s="10">
        <f>IFERROR(TIMEVALUE(Table2[[#This Row],[Vào]]),0)</f>
        <v>0.32853009259259258</v>
      </c>
      <c r="Z133" s="10">
        <f>IFERROR(TIMEVALUE(Table2[[#This Row],[Ra]]),0)</f>
        <v>0.78402777777777777</v>
      </c>
      <c r="AA133" t="str">
        <f t="shared" si="23"/>
        <v>x</v>
      </c>
      <c r="AB133" s="12">
        <f t="shared" si="25"/>
        <v>0</v>
      </c>
      <c r="AC133" s="12" t="str">
        <f>IF(VLOOKUP(A133,Data_NV!$A:$I,7,0)="Không","",IF(OR(AND(Y133=0,Z133=0),AND(Y133&lt;&gt;0,Z133&lt;&gt;0)),"","Quên chấm công"))</f>
        <v/>
      </c>
      <c r="AD133" s="12">
        <f>IF(VLOOKUP(A133,Data_NV!$A:$I,7,0)="Không",0,IF(AND(Y133=0,Z133=0),0,IF(X133&lt;=Z133,0,ROUNDDOWN((X133-Z133)*24*60,0))))</f>
        <v>0</v>
      </c>
      <c r="AE133" s="12">
        <f>IF(VLOOKUP(A133,Data_NV!$A:$I,6,0)="Không",0,IF(Z133&lt;=X133,0,ROUNDDOWN((Z133-X133)*24*60,0)))</f>
        <v>109</v>
      </c>
      <c r="AF133" s="26">
        <f t="shared" si="24"/>
        <v>0</v>
      </c>
      <c r="AG133" s="27" t="str">
        <f>IF(AC133="","",IF(COUNTIFS($AC$3:AC133,"Quên chấm công",$S$3:S133,S133)&gt;3,"Không chấm công do vi phạm quá 3 lần",IF(COUNTIFS($AC$3:AC133,"Quên chấm công",$S$3:S133,S133)&gt;2,"Trừ toàn bộ chuyên cần tháng do vi phạm lần 3",IF(COUNTIFS($AC$3:AC133,"Quên chấm công",$S$3:S133,S133)&gt;1,"Trừ 1/2 ngày lương",50000))))</f>
        <v/>
      </c>
      <c r="AH133" s="12" t="str">
        <f>IF(AF133=0,"",IF(COUNTIFS($AF$3:AF133,"&gt;0",$S$3:S133,S133)&gt;3,"Trừ toàn bộ chuyên cần tháng",""))</f>
        <v/>
      </c>
      <c r="AI133" s="12"/>
    </row>
    <row r="134" spans="1:35" x14ac:dyDescent="0.25">
      <c r="A134" s="4" t="s">
        <v>467</v>
      </c>
      <c r="B134" s="1" t="s">
        <v>264</v>
      </c>
      <c r="C134" s="1" t="s">
        <v>19</v>
      </c>
      <c r="D134" s="1" t="s">
        <v>41</v>
      </c>
      <c r="E134" s="1" t="s">
        <v>21</v>
      </c>
      <c r="F134" s="1" t="s">
        <v>22</v>
      </c>
      <c r="G134" s="1" t="s">
        <v>28</v>
      </c>
      <c r="H134" s="1" t="s">
        <v>484</v>
      </c>
      <c r="I134" s="1" t="s">
        <v>485</v>
      </c>
      <c r="J134" s="1" t="s">
        <v>24</v>
      </c>
      <c r="K134" s="1" t="s">
        <v>199</v>
      </c>
      <c r="L134" s="1" t="s">
        <v>24</v>
      </c>
      <c r="M134" s="1" t="s">
        <v>25</v>
      </c>
      <c r="N134" s="1" t="s">
        <v>24</v>
      </c>
      <c r="O134" s="1" t="s">
        <v>200</v>
      </c>
      <c r="P134" s="1" t="s">
        <v>24</v>
      </c>
      <c r="Q134" s="1" t="s">
        <v>24</v>
      </c>
      <c r="R134" s="85" t="str">
        <f t="shared" si="22"/>
        <v>945912</v>
      </c>
      <c r="S134" t="str">
        <f>VLOOKUP(A134,Data_NV!$A:$C,3,0)</f>
        <v>Hoàng Thị Hoài Nhi</v>
      </c>
      <c r="T134" t="str">
        <f>VLOOKUP(A134,Data_NV!$A:$E,4,0)</f>
        <v>Kế toán - Văn phòng</v>
      </c>
      <c r="U134" s="82">
        <f>DATEVALUE(Table2[[#This Row],[Ngày]])</f>
        <v>45912</v>
      </c>
      <c r="V134" t="str">
        <f>VLOOKUP(A134,Data_NV!$A:$E,5,0)</f>
        <v>Đang làm việc</v>
      </c>
      <c r="W134" s="10">
        <f>VLOOKUP(A134,Data_NV!$A:$I,8,0)</f>
        <v>0.33333333333333331</v>
      </c>
      <c r="X134" s="10">
        <f>VLOOKUP(A134,Data_NV!$A:$I,9,0)</f>
        <v>0.70833333333333337</v>
      </c>
      <c r="Y134" s="10">
        <f>IFERROR(TIMEVALUE(Table2[[#This Row],[Vào]]),0)</f>
        <v>0.31040509259259258</v>
      </c>
      <c r="Z134" s="10">
        <f>IFERROR(TIMEVALUE(Table2[[#This Row],[Ra]]),0)</f>
        <v>0.76748842592592592</v>
      </c>
      <c r="AA134" t="str">
        <f t="shared" si="23"/>
        <v>x</v>
      </c>
      <c r="AB134" s="12">
        <f t="shared" si="25"/>
        <v>0</v>
      </c>
      <c r="AC134" s="12" t="str">
        <f>IF(VLOOKUP(A134,Data_NV!$A:$I,7,0)="Không","",IF(OR(AND(Y134=0,Z134=0),AND(Y134&lt;&gt;0,Z134&lt;&gt;0)),"","Quên chấm công"))</f>
        <v/>
      </c>
      <c r="AD134" s="12">
        <f>IF(VLOOKUP(A134,Data_NV!$A:$I,7,0)="Không",0,IF(AND(Y134=0,Z134=0),0,IF(X134&lt;=Z134,0,ROUNDDOWN((X134-Z134)*24*60,0))))</f>
        <v>0</v>
      </c>
      <c r="AE134" s="12">
        <f>IF(VLOOKUP(A134,Data_NV!$A:$I,6,0)="Không",0,IF(Z134&lt;=X134,0,ROUNDDOWN((Z134-X134)*24*60,0)))</f>
        <v>85</v>
      </c>
      <c r="AF134" s="26">
        <f t="shared" si="24"/>
        <v>0</v>
      </c>
      <c r="AG134" s="27" t="str">
        <f>IF(AC134="","",IF(COUNTIFS($AC$3:AC134,"Quên chấm công",$S$3:S134,S134)&gt;3,"Không chấm công do vi phạm quá 3 lần",IF(COUNTIFS($AC$3:AC134,"Quên chấm công",$S$3:S134,S134)&gt;2,"Trừ toàn bộ chuyên cần tháng do vi phạm lần 3",IF(COUNTIFS($AC$3:AC134,"Quên chấm công",$S$3:S134,S134)&gt;1,"Trừ 1/2 ngày lương",50000))))</f>
        <v/>
      </c>
      <c r="AH134" s="12" t="str">
        <f>IF(AF134=0,"",IF(COUNTIFS($AF$3:AF134,"&gt;0",$S$3:S134,S134)&gt;3,"Trừ toàn bộ chuyên cần tháng",""))</f>
        <v/>
      </c>
      <c r="AI134" s="12"/>
    </row>
    <row r="135" spans="1:35" x14ac:dyDescent="0.25">
      <c r="A135" s="4" t="s">
        <v>467</v>
      </c>
      <c r="B135" s="1" t="s">
        <v>264</v>
      </c>
      <c r="C135" s="1" t="s">
        <v>19</v>
      </c>
      <c r="D135" s="1" t="s">
        <v>42</v>
      </c>
      <c r="E135" s="1" t="s">
        <v>21</v>
      </c>
      <c r="F135" s="1" t="s">
        <v>22</v>
      </c>
      <c r="G135" s="1" t="s">
        <v>28</v>
      </c>
      <c r="H135" s="1" t="s">
        <v>486</v>
      </c>
      <c r="I135" s="1" t="s">
        <v>487</v>
      </c>
      <c r="J135" s="1" t="s">
        <v>24</v>
      </c>
      <c r="K135" s="1" t="s">
        <v>452</v>
      </c>
      <c r="L135" s="1" t="s">
        <v>24</v>
      </c>
      <c r="M135" s="1" t="s">
        <v>25</v>
      </c>
      <c r="N135" s="1" t="s">
        <v>24</v>
      </c>
      <c r="O135" s="1" t="s">
        <v>245</v>
      </c>
      <c r="P135" s="1" t="s">
        <v>24</v>
      </c>
      <c r="Q135" s="1" t="s">
        <v>24</v>
      </c>
      <c r="R135" s="85" t="str">
        <f t="shared" si="22"/>
        <v>945913</v>
      </c>
      <c r="S135" t="str">
        <f>VLOOKUP(A135,Data_NV!$A:$C,3,0)</f>
        <v>Hoàng Thị Hoài Nhi</v>
      </c>
      <c r="T135" t="str">
        <f>VLOOKUP(A135,Data_NV!$A:$E,4,0)</f>
        <v>Kế toán - Văn phòng</v>
      </c>
      <c r="U135" s="82">
        <f>DATEVALUE(Table2[[#This Row],[Ngày]])</f>
        <v>45913</v>
      </c>
      <c r="V135" t="str">
        <f>VLOOKUP(A135,Data_NV!$A:$E,5,0)</f>
        <v>Đang làm việc</v>
      </c>
      <c r="W135" s="10">
        <f>VLOOKUP(A135,Data_NV!$A:$I,8,0)</f>
        <v>0.33333333333333331</v>
      </c>
      <c r="X135" s="10">
        <f>VLOOKUP(A135,Data_NV!$A:$I,9,0)</f>
        <v>0.70833333333333337</v>
      </c>
      <c r="Y135" s="10">
        <f>IFERROR(TIMEVALUE(Table2[[#This Row],[Vào]]),0)</f>
        <v>0.32743055555555556</v>
      </c>
      <c r="Z135" s="10">
        <f>IFERROR(TIMEVALUE(Table2[[#This Row],[Ra]]),0)</f>
        <v>0.75472222222222218</v>
      </c>
      <c r="AA135" t="str">
        <f t="shared" si="23"/>
        <v>x</v>
      </c>
      <c r="AB135" s="12">
        <f t="shared" si="25"/>
        <v>0</v>
      </c>
      <c r="AC135" s="12" t="str">
        <f>IF(VLOOKUP(A135,Data_NV!$A:$I,7,0)="Không","",IF(OR(AND(Y135=0,Z135=0),AND(Y135&lt;&gt;0,Z135&lt;&gt;0)),"","Quên chấm công"))</f>
        <v/>
      </c>
      <c r="AD135" s="12">
        <f>IF(VLOOKUP(A135,Data_NV!$A:$I,7,0)="Không",0,IF(AND(Y135=0,Z135=0),0,IF(X135&lt;=Z135,0,ROUNDDOWN((X135-Z135)*24*60,0))))</f>
        <v>0</v>
      </c>
      <c r="AE135" s="12">
        <f>IF(VLOOKUP(A135,Data_NV!$A:$I,6,0)="Không",0,IF(Z135&lt;=X135,0,ROUNDDOWN((Z135-X135)*24*60,0)))</f>
        <v>66</v>
      </c>
      <c r="AF135" s="26">
        <f t="shared" si="24"/>
        <v>0</v>
      </c>
      <c r="AG135" s="27" t="str">
        <f>IF(AC135="","",IF(COUNTIFS($AC$3:AC135,"Quên chấm công",$S$3:S135,S135)&gt;3,"Không chấm công do vi phạm quá 3 lần",IF(COUNTIFS($AC$3:AC135,"Quên chấm công",$S$3:S135,S135)&gt;2,"Trừ toàn bộ chuyên cần tháng do vi phạm lần 3",IF(COUNTIFS($AC$3:AC135,"Quên chấm công",$S$3:S135,S135)&gt;1,"Trừ 1/2 ngày lương",50000))))</f>
        <v/>
      </c>
      <c r="AH135" s="12" t="str">
        <f>IF(AF135=0,"",IF(COUNTIFS($AF$3:AF135,"&gt;0",$S$3:S135,S135)&gt;3,"Trừ toàn bộ chuyên cần tháng",""))</f>
        <v/>
      </c>
      <c r="AI135" s="12"/>
    </row>
    <row r="136" spans="1:35" x14ac:dyDescent="0.25">
      <c r="A136" s="4" t="s">
        <v>467</v>
      </c>
      <c r="B136" s="1" t="s">
        <v>264</v>
      </c>
      <c r="C136" s="1" t="s">
        <v>19</v>
      </c>
      <c r="D136" s="1" t="s">
        <v>45</v>
      </c>
      <c r="E136" s="1" t="s">
        <v>21</v>
      </c>
      <c r="F136" s="1" t="s">
        <v>22</v>
      </c>
      <c r="G136" s="1" t="s">
        <v>12</v>
      </c>
      <c r="H136" s="1" t="s">
        <v>23</v>
      </c>
      <c r="I136" s="1" t="s">
        <v>23</v>
      </c>
      <c r="J136" s="1" t="s">
        <v>24</v>
      </c>
      <c r="K136" s="1" t="s">
        <v>24</v>
      </c>
      <c r="L136" s="1" t="s">
        <v>25</v>
      </c>
      <c r="M136" s="1" t="s">
        <v>24</v>
      </c>
      <c r="N136" s="1" t="s">
        <v>24</v>
      </c>
      <c r="O136" s="1" t="s">
        <v>24</v>
      </c>
      <c r="P136" s="1" t="s">
        <v>24</v>
      </c>
      <c r="Q136" s="1" t="s">
        <v>24</v>
      </c>
      <c r="R136" s="85" t="str">
        <f t="shared" si="22"/>
        <v>945914</v>
      </c>
      <c r="S136" t="str">
        <f>VLOOKUP(A136,Data_NV!$A:$C,3,0)</f>
        <v>Hoàng Thị Hoài Nhi</v>
      </c>
      <c r="T136" t="str">
        <f>VLOOKUP(A136,Data_NV!$A:$E,4,0)</f>
        <v>Kế toán - Văn phòng</v>
      </c>
      <c r="U136" s="82">
        <f>DATEVALUE(Table2[[#This Row],[Ngày]])</f>
        <v>45914</v>
      </c>
      <c r="V136" t="str">
        <f>VLOOKUP(A136,Data_NV!$A:$E,5,0)</f>
        <v>Đang làm việc</v>
      </c>
      <c r="W136" s="10">
        <f>VLOOKUP(A136,Data_NV!$A:$I,8,0)</f>
        <v>0.33333333333333331</v>
      </c>
      <c r="X136" s="10">
        <f>VLOOKUP(A136,Data_NV!$A:$I,9,0)</f>
        <v>0.70833333333333337</v>
      </c>
      <c r="Y136" s="10">
        <f>IFERROR(TIMEVALUE(Table2[[#This Row],[Vào]]),0)</f>
        <v>0</v>
      </c>
      <c r="Z136" s="10">
        <f>IFERROR(TIMEVALUE(Table2[[#This Row],[Ra]]),0)</f>
        <v>0</v>
      </c>
      <c r="AA136" t="str">
        <f t="shared" si="23"/>
        <v>Chủ nhật</v>
      </c>
      <c r="AB136" s="12">
        <f t="shared" si="25"/>
        <v>0</v>
      </c>
      <c r="AC136" s="12" t="str">
        <f>IF(VLOOKUP(A136,Data_NV!$A:$I,7,0)="Không","",IF(OR(AND(Y136=0,Z136=0),AND(Y136&lt;&gt;0,Z136&lt;&gt;0)),"","Quên chấm công"))</f>
        <v/>
      </c>
      <c r="AD136" s="12">
        <f>IF(VLOOKUP(A136,Data_NV!$A:$I,7,0)="Không",0,IF(AND(Y136=0,Z136=0),0,IF(X136&lt;=Z136,0,ROUNDDOWN((X136-Z136)*24*60,0))))</f>
        <v>0</v>
      </c>
      <c r="AE136" s="12">
        <f>IF(VLOOKUP(A136,Data_NV!$A:$I,6,0)="Không",0,IF(Z136&lt;=X136,0,ROUNDDOWN((Z136-X136)*24*60,0)))</f>
        <v>0</v>
      </c>
      <c r="AF136" s="26">
        <f t="shared" si="24"/>
        <v>0</v>
      </c>
      <c r="AG136" s="27" t="str">
        <f>IF(AC136="","",IF(COUNTIFS($AC$3:AC136,"Quên chấm công",$S$3:S136,S136)&gt;3,"Không chấm công do vi phạm quá 3 lần",IF(COUNTIFS($AC$3:AC136,"Quên chấm công",$S$3:S136,S136)&gt;2,"Trừ toàn bộ chuyên cần tháng do vi phạm lần 3",IF(COUNTIFS($AC$3:AC136,"Quên chấm công",$S$3:S136,S136)&gt;1,"Trừ 1/2 ngày lương",50000))))</f>
        <v/>
      </c>
      <c r="AH136" s="12" t="str">
        <f>IF(AF136=0,"",IF(COUNTIFS($AF$3:AF136,"&gt;0",$S$3:S136,S136)&gt;3,"Trừ toàn bộ chuyên cần tháng",""))</f>
        <v/>
      </c>
      <c r="AI136" s="12"/>
    </row>
    <row r="137" spans="1:35" x14ac:dyDescent="0.25">
      <c r="A137" s="4" t="s">
        <v>467</v>
      </c>
      <c r="B137" s="1" t="s">
        <v>264</v>
      </c>
      <c r="C137" s="1" t="s">
        <v>19</v>
      </c>
      <c r="D137" s="1" t="s">
        <v>46</v>
      </c>
      <c r="E137" s="1" t="s">
        <v>21</v>
      </c>
      <c r="F137" s="1" t="s">
        <v>22</v>
      </c>
      <c r="G137" s="1" t="s">
        <v>28</v>
      </c>
      <c r="H137" s="1" t="s">
        <v>488</v>
      </c>
      <c r="I137" s="1" t="s">
        <v>489</v>
      </c>
      <c r="J137" s="1" t="s">
        <v>24</v>
      </c>
      <c r="K137" s="1" t="s">
        <v>52</v>
      </c>
      <c r="L137" s="1" t="s">
        <v>24</v>
      </c>
      <c r="M137" s="1" t="s">
        <v>25</v>
      </c>
      <c r="N137" s="1" t="s">
        <v>24</v>
      </c>
      <c r="O137" s="1" t="s">
        <v>53</v>
      </c>
      <c r="P137" s="1" t="s">
        <v>24</v>
      </c>
      <c r="Q137" s="1" t="s">
        <v>24</v>
      </c>
      <c r="R137" s="85" t="str">
        <f t="shared" si="22"/>
        <v>945915</v>
      </c>
      <c r="S137" t="str">
        <f>VLOOKUP(A137,Data_NV!$A:$C,3,0)</f>
        <v>Hoàng Thị Hoài Nhi</v>
      </c>
      <c r="T137" t="str">
        <f>VLOOKUP(A137,Data_NV!$A:$E,4,0)</f>
        <v>Kế toán - Văn phòng</v>
      </c>
      <c r="U137" s="82">
        <f>DATEVALUE(Table2[[#This Row],[Ngày]])</f>
        <v>45915</v>
      </c>
      <c r="V137" t="str">
        <f>VLOOKUP(A137,Data_NV!$A:$E,5,0)</f>
        <v>Đang làm việc</v>
      </c>
      <c r="W137" s="10">
        <f>VLOOKUP(A137,Data_NV!$A:$I,8,0)</f>
        <v>0.33333333333333331</v>
      </c>
      <c r="X137" s="10">
        <f>VLOOKUP(A137,Data_NV!$A:$I,9,0)</f>
        <v>0.70833333333333337</v>
      </c>
      <c r="Y137" s="10">
        <f>IFERROR(TIMEVALUE(Table2[[#This Row],[Vào]]),0)</f>
        <v>0.3279050925925926</v>
      </c>
      <c r="Z137" s="10">
        <f>IFERROR(TIMEVALUE(Table2[[#This Row],[Ra]]),0)</f>
        <v>0.76803240740740741</v>
      </c>
      <c r="AA137" t="str">
        <f t="shared" si="23"/>
        <v>x</v>
      </c>
      <c r="AB137" s="12">
        <f t="shared" si="25"/>
        <v>0</v>
      </c>
      <c r="AC137" s="12" t="str">
        <f>IF(VLOOKUP(A137,Data_NV!$A:$I,7,0)="Không","",IF(OR(AND(Y137=0,Z137=0),AND(Y137&lt;&gt;0,Z137&lt;&gt;0)),"","Quên chấm công"))</f>
        <v/>
      </c>
      <c r="AD137" s="12">
        <f>IF(VLOOKUP(A137,Data_NV!$A:$I,7,0)="Không",0,IF(AND(Y137=0,Z137=0),0,IF(X137&lt;=Z137,0,ROUNDDOWN((X137-Z137)*24*60,0))))</f>
        <v>0</v>
      </c>
      <c r="AE137" s="12">
        <f>IF(VLOOKUP(A137,Data_NV!$A:$I,6,0)="Không",0,IF(Z137&lt;=X137,0,ROUNDDOWN((Z137-X137)*24*60,0)))</f>
        <v>85</v>
      </c>
      <c r="AF137" s="26">
        <f t="shared" si="24"/>
        <v>0</v>
      </c>
      <c r="AG137" s="27" t="str">
        <f>IF(AC137="","",IF(COUNTIFS($AC$3:AC137,"Quên chấm công",$S$3:S137,S137)&gt;3,"Không chấm công do vi phạm quá 3 lần",IF(COUNTIFS($AC$3:AC137,"Quên chấm công",$S$3:S137,S137)&gt;2,"Trừ toàn bộ chuyên cần tháng do vi phạm lần 3",IF(COUNTIFS($AC$3:AC137,"Quên chấm công",$S$3:S137,S137)&gt;1,"Trừ 1/2 ngày lương",50000))))</f>
        <v/>
      </c>
      <c r="AH137" s="12" t="str">
        <f>IF(AF137=0,"",IF(COUNTIFS($AF$3:AF137,"&gt;0",$S$3:S137,S137)&gt;3,"Trừ toàn bộ chuyên cần tháng",""))</f>
        <v/>
      </c>
      <c r="AI137" s="12"/>
    </row>
    <row r="138" spans="1:35" x14ac:dyDescent="0.25">
      <c r="A138" s="4" t="s">
        <v>467</v>
      </c>
      <c r="B138" s="1" t="s">
        <v>264</v>
      </c>
      <c r="C138" s="1" t="s">
        <v>19</v>
      </c>
      <c r="D138" s="1" t="s">
        <v>47</v>
      </c>
      <c r="E138" s="1" t="s">
        <v>21</v>
      </c>
      <c r="F138" s="1" t="s">
        <v>22</v>
      </c>
      <c r="G138" s="1" t="s">
        <v>28</v>
      </c>
      <c r="H138" s="1" t="s">
        <v>490</v>
      </c>
      <c r="I138" s="1" t="s">
        <v>491</v>
      </c>
      <c r="J138" s="1" t="s">
        <v>24</v>
      </c>
      <c r="K138" s="1" t="s">
        <v>96</v>
      </c>
      <c r="L138" s="1" t="s">
        <v>24</v>
      </c>
      <c r="M138" s="1" t="s">
        <v>25</v>
      </c>
      <c r="N138" s="1" t="s">
        <v>24</v>
      </c>
      <c r="O138" s="1" t="s">
        <v>97</v>
      </c>
      <c r="P138" s="1" t="s">
        <v>24</v>
      </c>
      <c r="Q138" s="1" t="s">
        <v>24</v>
      </c>
      <c r="R138" s="85" t="str">
        <f t="shared" si="22"/>
        <v>945916</v>
      </c>
      <c r="S138" t="str">
        <f>VLOOKUP(A138,Data_NV!$A:$C,3,0)</f>
        <v>Hoàng Thị Hoài Nhi</v>
      </c>
      <c r="T138" t="str">
        <f>VLOOKUP(A138,Data_NV!$A:$E,4,0)</f>
        <v>Kế toán - Văn phòng</v>
      </c>
      <c r="U138" s="82">
        <f>DATEVALUE(Table2[[#This Row],[Ngày]])</f>
        <v>45916</v>
      </c>
      <c r="V138" t="str">
        <f>VLOOKUP(A138,Data_NV!$A:$E,5,0)</f>
        <v>Đang làm việc</v>
      </c>
      <c r="W138" s="10">
        <f>VLOOKUP(A138,Data_NV!$A:$I,8,0)</f>
        <v>0.33333333333333331</v>
      </c>
      <c r="X138" s="10">
        <f>VLOOKUP(A138,Data_NV!$A:$I,9,0)</f>
        <v>0.70833333333333337</v>
      </c>
      <c r="Y138" s="10">
        <f>IFERROR(TIMEVALUE(Table2[[#This Row],[Vào]]),0)</f>
        <v>0.32947916666666666</v>
      </c>
      <c r="Z138" s="10">
        <f>IFERROR(TIMEVALUE(Table2[[#This Row],[Ra]]),0)</f>
        <v>0.78188657407407403</v>
      </c>
      <c r="AA138" t="str">
        <f t="shared" si="23"/>
        <v>x</v>
      </c>
      <c r="AB138" s="12">
        <f t="shared" si="25"/>
        <v>0</v>
      </c>
      <c r="AC138" s="12" t="str">
        <f>IF(VLOOKUP(A138,Data_NV!$A:$I,7,0)="Không","",IF(OR(AND(Y138=0,Z138=0),AND(Y138&lt;&gt;0,Z138&lt;&gt;0)),"","Quên chấm công"))</f>
        <v/>
      </c>
      <c r="AD138" s="12">
        <f>IF(VLOOKUP(A138,Data_NV!$A:$I,7,0)="Không",0,IF(AND(Y138=0,Z138=0),0,IF(X138&lt;=Z138,0,ROUNDDOWN((X138-Z138)*24*60,0))))</f>
        <v>0</v>
      </c>
      <c r="AE138" s="12">
        <f>IF(VLOOKUP(A138,Data_NV!$A:$I,6,0)="Không",0,IF(Z138&lt;=X138,0,ROUNDDOWN((Z138-X138)*24*60,0)))</f>
        <v>105</v>
      </c>
      <c r="AF138" s="26">
        <f t="shared" si="24"/>
        <v>0</v>
      </c>
      <c r="AG138" s="27" t="str">
        <f>IF(AC138="","",IF(COUNTIFS($AC$3:AC138,"Quên chấm công",$S$3:S138,S138)&gt;3,"Không chấm công do vi phạm quá 3 lần",IF(COUNTIFS($AC$3:AC138,"Quên chấm công",$S$3:S138,S138)&gt;2,"Trừ toàn bộ chuyên cần tháng do vi phạm lần 3",IF(COUNTIFS($AC$3:AC138,"Quên chấm công",$S$3:S138,S138)&gt;1,"Trừ 1/2 ngày lương",50000))))</f>
        <v/>
      </c>
      <c r="AH138" s="12" t="str">
        <f>IF(AF138=0,"",IF(COUNTIFS($AF$3:AF138,"&gt;0",$S$3:S138,S138)&gt;3,"Trừ toàn bộ chuyên cần tháng",""))</f>
        <v/>
      </c>
      <c r="AI138" s="12"/>
    </row>
    <row r="139" spans="1:35" x14ac:dyDescent="0.25">
      <c r="A139" s="4" t="s">
        <v>467</v>
      </c>
      <c r="B139" s="1" t="s">
        <v>264</v>
      </c>
      <c r="C139" s="1" t="s">
        <v>19</v>
      </c>
      <c r="D139" s="1" t="s">
        <v>48</v>
      </c>
      <c r="E139" s="1" t="s">
        <v>21</v>
      </c>
      <c r="F139" s="1" t="s">
        <v>22</v>
      </c>
      <c r="G139" s="1" t="s">
        <v>28</v>
      </c>
      <c r="H139" s="1" t="s">
        <v>492</v>
      </c>
      <c r="I139" s="1" t="s">
        <v>493</v>
      </c>
      <c r="J139" s="1" t="s">
        <v>24</v>
      </c>
      <c r="K139" s="1" t="s">
        <v>248</v>
      </c>
      <c r="L139" s="1" t="s">
        <v>24</v>
      </c>
      <c r="M139" s="1" t="s">
        <v>25</v>
      </c>
      <c r="N139" s="1" t="s">
        <v>24</v>
      </c>
      <c r="O139" s="1" t="s">
        <v>249</v>
      </c>
      <c r="P139" s="1" t="s">
        <v>24</v>
      </c>
      <c r="Q139" s="1" t="s">
        <v>24</v>
      </c>
      <c r="R139" s="85" t="str">
        <f t="shared" si="22"/>
        <v>945917</v>
      </c>
      <c r="S139" t="str">
        <f>VLOOKUP(A139,Data_NV!$A:$C,3,0)</f>
        <v>Hoàng Thị Hoài Nhi</v>
      </c>
      <c r="T139" t="str">
        <f>VLOOKUP(A139,Data_NV!$A:$E,4,0)</f>
        <v>Kế toán - Văn phòng</v>
      </c>
      <c r="U139" s="82">
        <f>DATEVALUE(Table2[[#This Row],[Ngày]])</f>
        <v>45917</v>
      </c>
      <c r="V139" t="str">
        <f>VLOOKUP(A139,Data_NV!$A:$E,5,0)</f>
        <v>Đang làm việc</v>
      </c>
      <c r="W139" s="10">
        <f>VLOOKUP(A139,Data_NV!$A:$I,8,0)</f>
        <v>0.33333333333333331</v>
      </c>
      <c r="X139" s="10">
        <f>VLOOKUP(A139,Data_NV!$A:$I,9,0)</f>
        <v>0.70833333333333337</v>
      </c>
      <c r="Y139" s="10">
        <f>IFERROR(TIMEVALUE(Table2[[#This Row],[Vào]]),0)</f>
        <v>0.32704861111111111</v>
      </c>
      <c r="Z139" s="10">
        <f>IFERROR(TIMEVALUE(Table2[[#This Row],[Ra]]),0)</f>
        <v>0.76189814814814816</v>
      </c>
      <c r="AA139" t="str">
        <f t="shared" si="23"/>
        <v>x</v>
      </c>
      <c r="AB139" s="12">
        <f t="shared" si="25"/>
        <v>0</v>
      </c>
      <c r="AC139" s="12" t="str">
        <f>IF(VLOOKUP(A139,Data_NV!$A:$I,7,0)="Không","",IF(OR(AND(Y139=0,Z139=0),AND(Y139&lt;&gt;0,Z139&lt;&gt;0)),"","Quên chấm công"))</f>
        <v/>
      </c>
      <c r="AD139" s="12">
        <f>IF(VLOOKUP(A139,Data_NV!$A:$I,7,0)="Không",0,IF(AND(Y139=0,Z139=0),0,IF(X139&lt;=Z139,0,ROUNDDOWN((X139-Z139)*24*60,0))))</f>
        <v>0</v>
      </c>
      <c r="AE139" s="12">
        <f>IF(VLOOKUP(A139,Data_NV!$A:$I,6,0)="Không",0,IF(Z139&lt;=X139,0,ROUNDDOWN((Z139-X139)*24*60,0)))</f>
        <v>77</v>
      </c>
      <c r="AF139" s="26">
        <f t="shared" si="24"/>
        <v>0</v>
      </c>
      <c r="AG139" s="27" t="str">
        <f>IF(AC139="","",IF(COUNTIFS($AC$3:AC139,"Quên chấm công",$S$3:S139,S139)&gt;3,"Không chấm công do vi phạm quá 3 lần",IF(COUNTIFS($AC$3:AC139,"Quên chấm công",$S$3:S139,S139)&gt;2,"Trừ toàn bộ chuyên cần tháng do vi phạm lần 3",IF(COUNTIFS($AC$3:AC139,"Quên chấm công",$S$3:S139,S139)&gt;1,"Trừ 1/2 ngày lương",50000))))</f>
        <v/>
      </c>
      <c r="AH139" s="12" t="str">
        <f>IF(AF139=0,"",IF(COUNTIFS($AF$3:AF139,"&gt;0",$S$3:S139,S139)&gt;3,"Trừ toàn bộ chuyên cần tháng",""))</f>
        <v/>
      </c>
      <c r="AI139" s="12"/>
    </row>
    <row r="140" spans="1:35" x14ac:dyDescent="0.25">
      <c r="A140" s="4" t="s">
        <v>467</v>
      </c>
      <c r="B140" s="1" t="s">
        <v>264</v>
      </c>
      <c r="C140" s="1" t="s">
        <v>19</v>
      </c>
      <c r="D140" s="1" t="s">
        <v>50</v>
      </c>
      <c r="E140" s="1" t="s">
        <v>21</v>
      </c>
      <c r="F140" s="1" t="s">
        <v>22</v>
      </c>
      <c r="G140" s="1" t="s">
        <v>28</v>
      </c>
      <c r="H140" s="1" t="s">
        <v>494</v>
      </c>
      <c r="I140" s="1" t="s">
        <v>495</v>
      </c>
      <c r="J140" s="1" t="s">
        <v>24</v>
      </c>
      <c r="K140" s="1" t="s">
        <v>103</v>
      </c>
      <c r="L140" s="1" t="s">
        <v>24</v>
      </c>
      <c r="M140" s="1" t="s">
        <v>25</v>
      </c>
      <c r="N140" s="1" t="s">
        <v>24</v>
      </c>
      <c r="O140" s="1" t="s">
        <v>104</v>
      </c>
      <c r="P140" s="1" t="s">
        <v>24</v>
      </c>
      <c r="Q140" s="1" t="s">
        <v>24</v>
      </c>
      <c r="R140" s="85" t="str">
        <f t="shared" si="22"/>
        <v>945918</v>
      </c>
      <c r="S140" t="str">
        <f>VLOOKUP(A140,Data_NV!$A:$C,3,0)</f>
        <v>Hoàng Thị Hoài Nhi</v>
      </c>
      <c r="T140" t="str">
        <f>VLOOKUP(A140,Data_NV!$A:$E,4,0)</f>
        <v>Kế toán - Văn phòng</v>
      </c>
      <c r="U140" s="82">
        <f>DATEVALUE(Table2[[#This Row],[Ngày]])</f>
        <v>45918</v>
      </c>
      <c r="V140" t="str">
        <f>VLOOKUP(A140,Data_NV!$A:$E,5,0)</f>
        <v>Đang làm việc</v>
      </c>
      <c r="W140" s="10">
        <f>VLOOKUP(A140,Data_NV!$A:$I,8,0)</f>
        <v>0.33333333333333331</v>
      </c>
      <c r="X140" s="10">
        <f>VLOOKUP(A140,Data_NV!$A:$I,9,0)</f>
        <v>0.70833333333333337</v>
      </c>
      <c r="Y140" s="10">
        <f>IFERROR(TIMEVALUE(Table2[[#This Row],[Vào]]),0)</f>
        <v>0.32668981481481479</v>
      </c>
      <c r="Z140" s="10">
        <f>IFERROR(TIMEVALUE(Table2[[#This Row],[Ra]]),0)</f>
        <v>0.79001157407407407</v>
      </c>
      <c r="AA140" t="str">
        <f t="shared" si="23"/>
        <v>x</v>
      </c>
      <c r="AB140" s="12">
        <f t="shared" si="25"/>
        <v>0</v>
      </c>
      <c r="AC140" s="12" t="str">
        <f>IF(VLOOKUP(A140,Data_NV!$A:$I,7,0)="Không","",IF(OR(AND(Y140=0,Z140=0),AND(Y140&lt;&gt;0,Z140&lt;&gt;0)),"","Quên chấm công"))</f>
        <v/>
      </c>
      <c r="AD140" s="12">
        <f>IF(VLOOKUP(A140,Data_NV!$A:$I,7,0)="Không",0,IF(AND(Y140=0,Z140=0),0,IF(X140&lt;=Z140,0,ROUNDDOWN((X140-Z140)*24*60,0))))</f>
        <v>0</v>
      </c>
      <c r="AE140" s="12">
        <f>IF(VLOOKUP(A140,Data_NV!$A:$I,6,0)="Không",0,IF(Z140&lt;=X140,0,ROUNDDOWN((Z140-X140)*24*60,0)))</f>
        <v>117</v>
      </c>
      <c r="AF140" s="26">
        <f t="shared" si="24"/>
        <v>0</v>
      </c>
      <c r="AG140" s="27" t="str">
        <f>IF(AC140="","",IF(COUNTIFS($AC$3:AC140,"Quên chấm công",$S$3:S140,S140)&gt;3,"Không chấm công do vi phạm quá 3 lần",IF(COUNTIFS($AC$3:AC140,"Quên chấm công",$S$3:S140,S140)&gt;2,"Trừ toàn bộ chuyên cần tháng do vi phạm lần 3",IF(COUNTIFS($AC$3:AC140,"Quên chấm công",$S$3:S140,S140)&gt;1,"Trừ 1/2 ngày lương",50000))))</f>
        <v/>
      </c>
      <c r="AH140" s="12" t="str">
        <f>IF(AF140=0,"",IF(COUNTIFS($AF$3:AF140,"&gt;0",$S$3:S140,S140)&gt;3,"Trừ toàn bộ chuyên cần tháng",""))</f>
        <v/>
      </c>
      <c r="AI140" s="12"/>
    </row>
    <row r="141" spans="1:35" x14ac:dyDescent="0.25">
      <c r="A141" s="4" t="s">
        <v>467</v>
      </c>
      <c r="B141" s="1" t="s">
        <v>264</v>
      </c>
      <c r="C141" s="1" t="s">
        <v>19</v>
      </c>
      <c r="D141" s="1" t="s">
        <v>51</v>
      </c>
      <c r="E141" s="1" t="s">
        <v>21</v>
      </c>
      <c r="F141" s="1" t="s">
        <v>22</v>
      </c>
      <c r="G141" s="1" t="s">
        <v>28</v>
      </c>
      <c r="H141" s="1" t="s">
        <v>98</v>
      </c>
      <c r="I141" s="1" t="s">
        <v>496</v>
      </c>
      <c r="J141" s="1" t="s">
        <v>24</v>
      </c>
      <c r="K141" s="1" t="s">
        <v>133</v>
      </c>
      <c r="L141" s="1" t="s">
        <v>24</v>
      </c>
      <c r="M141" s="1" t="s">
        <v>25</v>
      </c>
      <c r="N141" s="1" t="s">
        <v>24</v>
      </c>
      <c r="O141" s="1" t="s">
        <v>134</v>
      </c>
      <c r="P141" s="1" t="s">
        <v>24</v>
      </c>
      <c r="Q141" s="1" t="s">
        <v>24</v>
      </c>
      <c r="R141" s="85" t="str">
        <f t="shared" si="22"/>
        <v>945919</v>
      </c>
      <c r="S141" t="str">
        <f>VLOOKUP(A141,Data_NV!$A:$C,3,0)</f>
        <v>Hoàng Thị Hoài Nhi</v>
      </c>
      <c r="T141" t="str">
        <f>VLOOKUP(A141,Data_NV!$A:$E,4,0)</f>
        <v>Kế toán - Văn phòng</v>
      </c>
      <c r="U141" s="82">
        <f>DATEVALUE(Table2[[#This Row],[Ngày]])</f>
        <v>45919</v>
      </c>
      <c r="V141" t="str">
        <f>VLOOKUP(A141,Data_NV!$A:$E,5,0)</f>
        <v>Đang làm việc</v>
      </c>
      <c r="W141" s="10">
        <f>VLOOKUP(A141,Data_NV!$A:$I,8,0)</f>
        <v>0.33333333333333331</v>
      </c>
      <c r="X141" s="10">
        <f>VLOOKUP(A141,Data_NV!$A:$I,9,0)</f>
        <v>0.70833333333333337</v>
      </c>
      <c r="Y141" s="10">
        <f>IFERROR(TIMEVALUE(Table2[[#This Row],[Vào]]),0)</f>
        <v>0.32658564814814817</v>
      </c>
      <c r="Z141" s="10">
        <f>IFERROR(TIMEVALUE(Table2[[#This Row],[Ra]]),0)</f>
        <v>0.78255787037037039</v>
      </c>
      <c r="AA141" t="str">
        <f t="shared" si="23"/>
        <v>x</v>
      </c>
      <c r="AB141" s="12">
        <f t="shared" si="25"/>
        <v>0</v>
      </c>
      <c r="AC141" s="12" t="str">
        <f>IF(VLOOKUP(A141,Data_NV!$A:$I,7,0)="Không","",IF(OR(AND(Y141=0,Z141=0),AND(Y141&lt;&gt;0,Z141&lt;&gt;0)),"","Quên chấm công"))</f>
        <v/>
      </c>
      <c r="AD141" s="12">
        <f>IF(VLOOKUP(A141,Data_NV!$A:$I,7,0)="Không",0,IF(AND(Y141=0,Z141=0),0,IF(X141&lt;=Z141,0,ROUNDDOWN((X141-Z141)*24*60,0))))</f>
        <v>0</v>
      </c>
      <c r="AE141" s="12">
        <f>IF(VLOOKUP(A141,Data_NV!$A:$I,6,0)="Không",0,IF(Z141&lt;=X141,0,ROUNDDOWN((Z141-X141)*24*60,0)))</f>
        <v>106</v>
      </c>
      <c r="AF141" s="26">
        <f t="shared" si="24"/>
        <v>0</v>
      </c>
      <c r="AG141" s="27" t="str">
        <f>IF(AC141="","",IF(COUNTIFS($AC$3:AC141,"Quên chấm công",$S$3:S141,S141)&gt;3,"Không chấm công do vi phạm quá 3 lần",IF(COUNTIFS($AC$3:AC141,"Quên chấm công",$S$3:S141,S141)&gt;2,"Trừ toàn bộ chuyên cần tháng do vi phạm lần 3",IF(COUNTIFS($AC$3:AC141,"Quên chấm công",$S$3:S141,S141)&gt;1,"Trừ 1/2 ngày lương",50000))))</f>
        <v/>
      </c>
      <c r="AH141" s="12" t="str">
        <f>IF(AF141=0,"",IF(COUNTIFS($AF$3:AF141,"&gt;0",$S$3:S141,S141)&gt;3,"Trừ toàn bộ chuyên cần tháng",""))</f>
        <v/>
      </c>
      <c r="AI141" s="12"/>
    </row>
    <row r="142" spans="1:35" x14ac:dyDescent="0.25">
      <c r="A142" s="4" t="s">
        <v>467</v>
      </c>
      <c r="B142" s="1" t="s">
        <v>264</v>
      </c>
      <c r="C142" s="1" t="s">
        <v>19</v>
      </c>
      <c r="D142" s="1" t="s">
        <v>54</v>
      </c>
      <c r="E142" s="1" t="s">
        <v>21</v>
      </c>
      <c r="F142" s="1" t="s">
        <v>22</v>
      </c>
      <c r="G142" s="1" t="s">
        <v>28</v>
      </c>
      <c r="H142" s="1" t="s">
        <v>497</v>
      </c>
      <c r="I142" s="1" t="s">
        <v>306</v>
      </c>
      <c r="J142" s="1" t="s">
        <v>24</v>
      </c>
      <c r="K142" s="1" t="s">
        <v>60</v>
      </c>
      <c r="L142" s="1" t="s">
        <v>24</v>
      </c>
      <c r="M142" s="1" t="s">
        <v>25</v>
      </c>
      <c r="N142" s="1" t="s">
        <v>24</v>
      </c>
      <c r="O142" s="1" t="s">
        <v>61</v>
      </c>
      <c r="P142" s="1" t="s">
        <v>24</v>
      </c>
      <c r="Q142" s="1" t="s">
        <v>24</v>
      </c>
      <c r="R142" s="85" t="str">
        <f t="shared" si="22"/>
        <v>945920</v>
      </c>
      <c r="S142" t="str">
        <f>VLOOKUP(A142,Data_NV!$A:$C,3,0)</f>
        <v>Hoàng Thị Hoài Nhi</v>
      </c>
      <c r="T142" t="str">
        <f>VLOOKUP(A142,Data_NV!$A:$E,4,0)</f>
        <v>Kế toán - Văn phòng</v>
      </c>
      <c r="U142" s="82">
        <f>DATEVALUE(Table2[[#This Row],[Ngày]])</f>
        <v>45920</v>
      </c>
      <c r="V142" t="str">
        <f>VLOOKUP(A142,Data_NV!$A:$E,5,0)</f>
        <v>Đang làm việc</v>
      </c>
      <c r="W142" s="10">
        <f>VLOOKUP(A142,Data_NV!$A:$I,8,0)</f>
        <v>0.33333333333333331</v>
      </c>
      <c r="X142" s="10">
        <f>VLOOKUP(A142,Data_NV!$A:$I,9,0)</f>
        <v>0.70833333333333337</v>
      </c>
      <c r="Y142" s="10">
        <f>IFERROR(TIMEVALUE(Table2[[#This Row],[Vào]]),0)</f>
        <v>0.32502314814814814</v>
      </c>
      <c r="Z142" s="10">
        <f>IFERROR(TIMEVALUE(Table2[[#This Row],[Ra]]),0)</f>
        <v>0.77908564814814818</v>
      </c>
      <c r="AA142" t="str">
        <f t="shared" si="23"/>
        <v>x</v>
      </c>
      <c r="AB142" s="12">
        <f t="shared" si="25"/>
        <v>0</v>
      </c>
      <c r="AC142" s="12" t="str">
        <f>IF(VLOOKUP(A142,Data_NV!$A:$I,7,0)="Không","",IF(OR(AND(Y142=0,Z142=0),AND(Y142&lt;&gt;0,Z142&lt;&gt;0)),"","Quên chấm công"))</f>
        <v/>
      </c>
      <c r="AD142" s="12">
        <f>IF(VLOOKUP(A142,Data_NV!$A:$I,7,0)="Không",0,IF(AND(Y142=0,Z142=0),0,IF(X142&lt;=Z142,0,ROUNDDOWN((X142-Z142)*24*60,0))))</f>
        <v>0</v>
      </c>
      <c r="AE142" s="12">
        <f>IF(VLOOKUP(A142,Data_NV!$A:$I,6,0)="Không",0,IF(Z142&lt;=X142,0,ROUNDDOWN((Z142-X142)*24*60,0)))</f>
        <v>101</v>
      </c>
      <c r="AF142" s="26">
        <f t="shared" si="24"/>
        <v>0</v>
      </c>
      <c r="AG142" s="27" t="str">
        <f>IF(AC142="","",IF(COUNTIFS($AC$3:AC142,"Quên chấm công",$S$3:S142,S142)&gt;3,"Không chấm công do vi phạm quá 3 lần",IF(COUNTIFS($AC$3:AC142,"Quên chấm công",$S$3:S142,S142)&gt;2,"Trừ toàn bộ chuyên cần tháng do vi phạm lần 3",IF(COUNTIFS($AC$3:AC142,"Quên chấm công",$S$3:S142,S142)&gt;1,"Trừ 1/2 ngày lương",50000))))</f>
        <v/>
      </c>
      <c r="AH142" s="12" t="str">
        <f>IF(AF142=0,"",IF(COUNTIFS($AF$3:AF142,"&gt;0",$S$3:S142,S142)&gt;3,"Trừ toàn bộ chuyên cần tháng",""))</f>
        <v/>
      </c>
      <c r="AI142" s="12"/>
    </row>
    <row r="143" spans="1:35" x14ac:dyDescent="0.25">
      <c r="A143" s="4" t="s">
        <v>467</v>
      </c>
      <c r="B143" s="1" t="s">
        <v>264</v>
      </c>
      <c r="C143" s="1" t="s">
        <v>19</v>
      </c>
      <c r="D143" s="1" t="s">
        <v>57</v>
      </c>
      <c r="E143" s="1" t="s">
        <v>21</v>
      </c>
      <c r="F143" s="1" t="s">
        <v>22</v>
      </c>
      <c r="G143" s="1" t="s">
        <v>12</v>
      </c>
      <c r="H143" s="1" t="s">
        <v>23</v>
      </c>
      <c r="I143" s="1" t="s">
        <v>23</v>
      </c>
      <c r="J143" s="1" t="s">
        <v>24</v>
      </c>
      <c r="K143" s="1" t="s">
        <v>24</v>
      </c>
      <c r="L143" s="1" t="s">
        <v>25</v>
      </c>
      <c r="M143" s="1" t="s">
        <v>24</v>
      </c>
      <c r="N143" s="1" t="s">
        <v>24</v>
      </c>
      <c r="O143" s="1" t="s">
        <v>24</v>
      </c>
      <c r="P143" s="1" t="s">
        <v>24</v>
      </c>
      <c r="Q143" s="1" t="s">
        <v>24</v>
      </c>
      <c r="R143" s="85" t="str">
        <f t="shared" si="22"/>
        <v>945921</v>
      </c>
      <c r="S143" t="str">
        <f>VLOOKUP(A143,Data_NV!$A:$C,3,0)</f>
        <v>Hoàng Thị Hoài Nhi</v>
      </c>
      <c r="T143" t="str">
        <f>VLOOKUP(A143,Data_NV!$A:$E,4,0)</f>
        <v>Kế toán - Văn phòng</v>
      </c>
      <c r="U143" s="82">
        <f>DATEVALUE(Table2[[#This Row],[Ngày]])</f>
        <v>45921</v>
      </c>
      <c r="V143" t="str">
        <f>VLOOKUP(A143,Data_NV!$A:$E,5,0)</f>
        <v>Đang làm việc</v>
      </c>
      <c r="W143" s="10">
        <f>VLOOKUP(A143,Data_NV!$A:$I,8,0)</f>
        <v>0.33333333333333331</v>
      </c>
      <c r="X143" s="10">
        <f>VLOOKUP(A143,Data_NV!$A:$I,9,0)</f>
        <v>0.70833333333333337</v>
      </c>
      <c r="Y143" s="10">
        <f>IFERROR(TIMEVALUE(Table2[[#This Row],[Vào]]),0)</f>
        <v>0</v>
      </c>
      <c r="Z143" s="10">
        <f>IFERROR(TIMEVALUE(Table2[[#This Row],[Ra]]),0)</f>
        <v>0</v>
      </c>
      <c r="AA143" t="str">
        <f t="shared" si="23"/>
        <v>Chủ nhật</v>
      </c>
      <c r="AB143" s="12">
        <f t="shared" si="25"/>
        <v>0</v>
      </c>
      <c r="AC143" s="12" t="str">
        <f>IF(VLOOKUP(A143,Data_NV!$A:$I,7,0)="Không","",IF(OR(AND(Y143=0,Z143=0),AND(Y143&lt;&gt;0,Z143&lt;&gt;0)),"","Quên chấm công"))</f>
        <v/>
      </c>
      <c r="AD143" s="12">
        <f>IF(VLOOKUP(A143,Data_NV!$A:$I,7,0)="Không",0,IF(AND(Y143=0,Z143=0),0,IF(X143&lt;=Z143,0,ROUNDDOWN((X143-Z143)*24*60,0))))</f>
        <v>0</v>
      </c>
      <c r="AE143" s="12">
        <f>IF(VLOOKUP(A143,Data_NV!$A:$I,6,0)="Không",0,IF(Z143&lt;=X143,0,ROUNDDOWN((Z143-X143)*24*60,0)))</f>
        <v>0</v>
      </c>
      <c r="AF143" s="26">
        <f t="shared" si="24"/>
        <v>0</v>
      </c>
      <c r="AG143" s="27" t="str">
        <f>IF(AC143="","",IF(COUNTIFS($AC$3:AC143,"Quên chấm công",$S$3:S143,S143)&gt;3,"Không chấm công do vi phạm quá 3 lần",IF(COUNTIFS($AC$3:AC143,"Quên chấm công",$S$3:S143,S143)&gt;2,"Trừ toàn bộ chuyên cần tháng do vi phạm lần 3",IF(COUNTIFS($AC$3:AC143,"Quên chấm công",$S$3:S143,S143)&gt;1,"Trừ 1/2 ngày lương",50000))))</f>
        <v/>
      </c>
      <c r="AH143" s="12" t="str">
        <f>IF(AF143=0,"",IF(COUNTIFS($AF$3:AF143,"&gt;0",$S$3:S143,S143)&gt;3,"Trừ toàn bộ chuyên cần tháng",""))</f>
        <v/>
      </c>
      <c r="AI143" s="12"/>
    </row>
    <row r="144" spans="1:35" x14ac:dyDescent="0.25">
      <c r="A144" s="4" t="s">
        <v>467</v>
      </c>
      <c r="B144" s="1" t="s">
        <v>264</v>
      </c>
      <c r="C144" s="1" t="s">
        <v>19</v>
      </c>
      <c r="D144" s="1" t="s">
        <v>58</v>
      </c>
      <c r="E144" s="1" t="s">
        <v>21</v>
      </c>
      <c r="F144" s="1" t="s">
        <v>22</v>
      </c>
      <c r="G144" s="1" t="s">
        <v>10</v>
      </c>
      <c r="H144" s="1" t="s">
        <v>498</v>
      </c>
      <c r="I144" s="1" t="s">
        <v>499</v>
      </c>
      <c r="J144" s="1" t="s">
        <v>24</v>
      </c>
      <c r="K144" s="1" t="s">
        <v>157</v>
      </c>
      <c r="L144" s="1" t="s">
        <v>24</v>
      </c>
      <c r="M144" s="1" t="s">
        <v>25</v>
      </c>
      <c r="N144" s="1" t="s">
        <v>24</v>
      </c>
      <c r="O144" s="1" t="s">
        <v>29</v>
      </c>
      <c r="P144" s="1" t="s">
        <v>334</v>
      </c>
      <c r="Q144" s="1" t="s">
        <v>24</v>
      </c>
      <c r="R144" s="85" t="str">
        <f t="shared" si="22"/>
        <v>945922</v>
      </c>
      <c r="S144" t="str">
        <f>VLOOKUP(A144,Data_NV!$A:$C,3,0)</f>
        <v>Hoàng Thị Hoài Nhi</v>
      </c>
      <c r="T144" t="str">
        <f>VLOOKUP(A144,Data_NV!$A:$E,4,0)</f>
        <v>Kế toán - Văn phòng</v>
      </c>
      <c r="U144" s="82">
        <f>DATEVALUE(Table2[[#This Row],[Ngày]])</f>
        <v>45922</v>
      </c>
      <c r="V144" t="str">
        <f>VLOOKUP(A144,Data_NV!$A:$E,5,0)</f>
        <v>Đang làm việc</v>
      </c>
      <c r="W144" s="10">
        <f>VLOOKUP(A144,Data_NV!$A:$I,8,0)</f>
        <v>0.33333333333333331</v>
      </c>
      <c r="X144" s="10">
        <f>VLOOKUP(A144,Data_NV!$A:$I,9,0)</f>
        <v>0.70833333333333337</v>
      </c>
      <c r="Y144" s="10">
        <f>IFERROR(TIMEVALUE(Table2[[#This Row],[Vào]]),0)</f>
        <v>0.33333333333333331</v>
      </c>
      <c r="Z144" s="10">
        <f>IFERROR(TIMEVALUE(Table2[[#This Row],[Ra]]),0)</f>
        <v>0.80280092592592589</v>
      </c>
      <c r="AA144" t="str">
        <f t="shared" si="23"/>
        <v>x</v>
      </c>
      <c r="AB144" s="12">
        <f t="shared" si="25"/>
        <v>0</v>
      </c>
      <c r="AC144" s="12" t="str">
        <f>IF(VLOOKUP(A144,Data_NV!$A:$I,7,0)="Không","",IF(OR(AND(Y144=0,Z144=0),AND(Y144&lt;&gt;0,Z144&lt;&gt;0)),"","Quên chấm công"))</f>
        <v/>
      </c>
      <c r="AD144" s="12">
        <f>IF(VLOOKUP(A144,Data_NV!$A:$I,7,0)="Không",0,IF(AND(Y144=0,Z144=0),0,IF(X144&lt;=Z144,0,ROUNDDOWN((X144-Z144)*24*60,0))))</f>
        <v>0</v>
      </c>
      <c r="AE144" s="12">
        <f>IF(VLOOKUP(A144,Data_NV!$A:$I,6,0)="Không",0,IF(Z144&lt;=X144,0,ROUNDDOWN((Z144-X144)*24*60,0)))</f>
        <v>136</v>
      </c>
      <c r="AF144" s="26">
        <f t="shared" si="24"/>
        <v>0</v>
      </c>
      <c r="AG144" s="27" t="str">
        <f>IF(AC144="","",IF(COUNTIFS($AC$3:AC144,"Quên chấm công",$S$3:S144,S144)&gt;3,"Không chấm công do vi phạm quá 3 lần",IF(COUNTIFS($AC$3:AC144,"Quên chấm công",$S$3:S144,S144)&gt;2,"Trừ toàn bộ chuyên cần tháng do vi phạm lần 3",IF(COUNTIFS($AC$3:AC144,"Quên chấm công",$S$3:S144,S144)&gt;1,"Trừ 1/2 ngày lương",50000))))</f>
        <v/>
      </c>
      <c r="AH144" s="12" t="str">
        <f>IF(AF144=0,"",IF(COUNTIFS($AF$3:AF144,"&gt;0",$S$3:S144,S144)&gt;3,"Trừ toàn bộ chuyên cần tháng",""))</f>
        <v/>
      </c>
      <c r="AI144" s="12"/>
    </row>
    <row r="145" spans="1:35" x14ac:dyDescent="0.25">
      <c r="A145" s="4" t="s">
        <v>467</v>
      </c>
      <c r="B145" s="1" t="s">
        <v>264</v>
      </c>
      <c r="C145" s="1" t="s">
        <v>19</v>
      </c>
      <c r="D145" s="1" t="s">
        <v>59</v>
      </c>
      <c r="E145" s="1" t="s">
        <v>21</v>
      </c>
      <c r="F145" s="1" t="s">
        <v>22</v>
      </c>
      <c r="G145" s="1" t="s">
        <v>28</v>
      </c>
      <c r="H145" s="1" t="s">
        <v>500</v>
      </c>
      <c r="I145" s="1" t="s">
        <v>501</v>
      </c>
      <c r="J145" s="1" t="s">
        <v>24</v>
      </c>
      <c r="K145" s="1" t="s">
        <v>471</v>
      </c>
      <c r="L145" s="1" t="s">
        <v>24</v>
      </c>
      <c r="M145" s="1" t="s">
        <v>25</v>
      </c>
      <c r="N145" s="1" t="s">
        <v>24</v>
      </c>
      <c r="O145" s="1" t="s">
        <v>198</v>
      </c>
      <c r="P145" s="1" t="s">
        <v>24</v>
      </c>
      <c r="Q145" s="1" t="s">
        <v>24</v>
      </c>
      <c r="R145" s="85" t="str">
        <f t="shared" ref="R145:R152" si="26">A145&amp;U145</f>
        <v>945923</v>
      </c>
      <c r="S145" t="str">
        <f>VLOOKUP(A145,Data_NV!$A:$C,3,0)</f>
        <v>Hoàng Thị Hoài Nhi</v>
      </c>
      <c r="T145" t="str">
        <f>VLOOKUP(A145,Data_NV!$A:$E,4,0)</f>
        <v>Kế toán - Văn phòng</v>
      </c>
      <c r="U145" s="82">
        <f>DATEVALUE(Table2[[#This Row],[Ngày]])</f>
        <v>45923</v>
      </c>
      <c r="V145" t="str">
        <f>VLOOKUP(A145,Data_NV!$A:$E,5,0)</f>
        <v>Đang làm việc</v>
      </c>
      <c r="W145" s="10">
        <f>VLOOKUP(A145,Data_NV!$A:$I,8,0)</f>
        <v>0.33333333333333331</v>
      </c>
      <c r="X145" s="10">
        <f>VLOOKUP(A145,Data_NV!$A:$I,9,0)</f>
        <v>0.70833333333333337</v>
      </c>
      <c r="Y145" s="10">
        <f>IFERROR(TIMEVALUE(Table2[[#This Row],[Vào]]),0)</f>
        <v>0.32504629629629628</v>
      </c>
      <c r="Z145" s="10">
        <f>IFERROR(TIMEVALUE(Table2[[#This Row],[Ra]]),0)</f>
        <v>0.75795138888888891</v>
      </c>
      <c r="AA145" t="str">
        <f t="shared" ref="AA145:AA152" si="27">IF(TEXT($U145,"ddd")="CN","Chủ nhật",IF(OR(AND(Y145=0,Z145=0),AG145="Không chấm công do vi phạm quá 3 lần"),"",IF(OR(AG145="Trừ 1/2 ngày lương",AF145="Trừ 1/2 ngày lương",AB145&gt;=60),"1/2","x")))</f>
        <v>x</v>
      </c>
      <c r="AB145" s="12">
        <f t="shared" si="25"/>
        <v>0</v>
      </c>
      <c r="AC145" s="12" t="str">
        <f>IF(VLOOKUP(A145,Data_NV!$A:$I,7,0)="Không","",IF(OR(AND(Y145=0,Z145=0),AND(Y145&lt;&gt;0,Z145&lt;&gt;0)),"","Quên chấm công"))</f>
        <v/>
      </c>
      <c r="AD145" s="12">
        <f>IF(VLOOKUP(A145,Data_NV!$A:$I,7,0)="Không",0,IF(AND(Y145=0,Z145=0),0,IF(X145&lt;=Z145,0,ROUNDDOWN((X145-Z145)*24*60,0))))</f>
        <v>0</v>
      </c>
      <c r="AE145" s="12">
        <f>IF(VLOOKUP(A145,Data_NV!$A:$I,6,0)="Không",0,IF(Z145&lt;=X145,0,ROUNDDOWN((Z145-X145)*24*60,0)))</f>
        <v>71</v>
      </c>
      <c r="AF145" s="26">
        <f t="shared" ref="AF145:AF152" si="28">IF(AB145&gt;60,"Trừ 1/2 ngày lương",IF(AB145&gt;15,50000,IF(AB145&gt;6,30000,0)))</f>
        <v>0</v>
      </c>
      <c r="AG145" s="27" t="str">
        <f>IF(AC145="","",IF(COUNTIFS($AC$3:AC145,"Quên chấm công",$S$3:S145,S145)&gt;3,"Không chấm công do vi phạm quá 3 lần",IF(COUNTIFS($AC$3:AC145,"Quên chấm công",$S$3:S145,S145)&gt;2,"Trừ toàn bộ chuyên cần tháng do vi phạm lần 3",IF(COUNTIFS($AC$3:AC145,"Quên chấm công",$S$3:S145,S145)&gt;1,"Trừ 1/2 ngày lương",50000))))</f>
        <v/>
      </c>
      <c r="AH145" s="12" t="str">
        <f>IF(AF145=0,"",IF(COUNTIFS($AF$3:AF145,"&gt;0",$S$3:S145,S145)&gt;3,"Trừ toàn bộ chuyên cần tháng",""))</f>
        <v/>
      </c>
      <c r="AI145" s="12"/>
    </row>
    <row r="146" spans="1:35" x14ac:dyDescent="0.25">
      <c r="A146" s="4" t="s">
        <v>467</v>
      </c>
      <c r="B146" s="1" t="s">
        <v>264</v>
      </c>
      <c r="C146" s="1" t="s">
        <v>19</v>
      </c>
      <c r="D146" s="1" t="s">
        <v>62</v>
      </c>
      <c r="E146" s="1" t="s">
        <v>21</v>
      </c>
      <c r="F146" s="1" t="s">
        <v>22</v>
      </c>
      <c r="G146" s="1" t="s">
        <v>28</v>
      </c>
      <c r="H146" s="1" t="s">
        <v>502</v>
      </c>
      <c r="I146" s="1" t="s">
        <v>503</v>
      </c>
      <c r="J146" s="1" t="s">
        <v>24</v>
      </c>
      <c r="K146" s="1" t="s">
        <v>504</v>
      </c>
      <c r="L146" s="1" t="s">
        <v>24</v>
      </c>
      <c r="M146" s="1" t="s">
        <v>25</v>
      </c>
      <c r="N146" s="1" t="s">
        <v>24</v>
      </c>
      <c r="O146" s="1" t="s">
        <v>505</v>
      </c>
      <c r="P146" s="1" t="s">
        <v>24</v>
      </c>
      <c r="Q146" s="1" t="s">
        <v>24</v>
      </c>
      <c r="R146" s="85" t="str">
        <f t="shared" si="26"/>
        <v>945924</v>
      </c>
      <c r="S146" t="str">
        <f>VLOOKUP(A146,Data_NV!$A:$C,3,0)</f>
        <v>Hoàng Thị Hoài Nhi</v>
      </c>
      <c r="T146" t="str">
        <f>VLOOKUP(A146,Data_NV!$A:$E,4,0)</f>
        <v>Kế toán - Văn phòng</v>
      </c>
      <c r="U146" s="82">
        <f>DATEVALUE(Table2[[#This Row],[Ngày]])</f>
        <v>45924</v>
      </c>
      <c r="V146" t="str">
        <f>VLOOKUP(A146,Data_NV!$A:$E,5,0)</f>
        <v>Đang làm việc</v>
      </c>
      <c r="W146" s="10">
        <f>VLOOKUP(A146,Data_NV!$A:$I,8,0)</f>
        <v>0.33333333333333331</v>
      </c>
      <c r="X146" s="10">
        <f>VLOOKUP(A146,Data_NV!$A:$I,9,0)</f>
        <v>0.70833333333333337</v>
      </c>
      <c r="Y146" s="10">
        <f>IFERROR(TIMEVALUE(Table2[[#This Row],[Vào]]),0)</f>
        <v>0.32700231481481479</v>
      </c>
      <c r="Z146" s="10">
        <f>IFERROR(TIMEVALUE(Table2[[#This Row],[Ra]]),0)</f>
        <v>0.78835648148148152</v>
      </c>
      <c r="AA146" t="str">
        <f t="shared" si="27"/>
        <v>x</v>
      </c>
      <c r="AB146" s="12">
        <f t="shared" si="25"/>
        <v>0</v>
      </c>
      <c r="AC146" s="12" t="str">
        <f>IF(VLOOKUP(A146,Data_NV!$A:$I,7,0)="Không","",IF(OR(AND(Y146=0,Z146=0),AND(Y146&lt;&gt;0,Z146&lt;&gt;0)),"","Quên chấm công"))</f>
        <v/>
      </c>
      <c r="AD146" s="12">
        <f>IF(VLOOKUP(A146,Data_NV!$A:$I,7,0)="Không",0,IF(AND(Y146=0,Z146=0),0,IF(X146&lt;=Z146,0,ROUNDDOWN((X146-Z146)*24*60,0))))</f>
        <v>0</v>
      </c>
      <c r="AE146" s="12">
        <f>IF(VLOOKUP(A146,Data_NV!$A:$I,6,0)="Không",0,IF(Z146&lt;=X146,0,ROUNDDOWN((Z146-X146)*24*60,0)))</f>
        <v>115</v>
      </c>
      <c r="AF146" s="26">
        <f t="shared" si="28"/>
        <v>0</v>
      </c>
      <c r="AG146" s="27" t="str">
        <f>IF(AC146="","",IF(COUNTIFS($AC$3:AC146,"Quên chấm công",$S$3:S146,S146)&gt;3,"Không chấm công do vi phạm quá 3 lần",IF(COUNTIFS($AC$3:AC146,"Quên chấm công",$S$3:S146,S146)&gt;2,"Trừ toàn bộ chuyên cần tháng do vi phạm lần 3",IF(COUNTIFS($AC$3:AC146,"Quên chấm công",$S$3:S146,S146)&gt;1,"Trừ 1/2 ngày lương",50000))))</f>
        <v/>
      </c>
      <c r="AH146" s="12" t="str">
        <f>IF(AF146=0,"",IF(COUNTIFS($AF$3:AF146,"&gt;0",$S$3:S146,S146)&gt;3,"Trừ toàn bộ chuyên cần tháng",""))</f>
        <v/>
      </c>
      <c r="AI146" s="12"/>
    </row>
    <row r="147" spans="1:35" x14ac:dyDescent="0.25">
      <c r="A147" s="4" t="s">
        <v>467</v>
      </c>
      <c r="B147" s="1" t="s">
        <v>264</v>
      </c>
      <c r="C147" s="1" t="s">
        <v>19</v>
      </c>
      <c r="D147" s="1" t="s">
        <v>65</v>
      </c>
      <c r="E147" s="1" t="s">
        <v>21</v>
      </c>
      <c r="F147" s="1" t="s">
        <v>22</v>
      </c>
      <c r="G147" s="1" t="s">
        <v>28</v>
      </c>
      <c r="H147" s="1" t="s">
        <v>506</v>
      </c>
      <c r="I147" s="1" t="s">
        <v>507</v>
      </c>
      <c r="J147" s="1" t="s">
        <v>24</v>
      </c>
      <c r="K147" s="1" t="s">
        <v>508</v>
      </c>
      <c r="L147" s="1" t="s">
        <v>24</v>
      </c>
      <c r="M147" s="1" t="s">
        <v>25</v>
      </c>
      <c r="N147" s="1" t="s">
        <v>24</v>
      </c>
      <c r="O147" s="1" t="s">
        <v>29</v>
      </c>
      <c r="P147" s="1" t="s">
        <v>227</v>
      </c>
      <c r="Q147" s="1" t="s">
        <v>24</v>
      </c>
      <c r="R147" s="85" t="str">
        <f t="shared" si="26"/>
        <v>945925</v>
      </c>
      <c r="S147" t="str">
        <f>VLOOKUP(A147,Data_NV!$A:$C,3,0)</f>
        <v>Hoàng Thị Hoài Nhi</v>
      </c>
      <c r="T147" t="str">
        <f>VLOOKUP(A147,Data_NV!$A:$E,4,0)</f>
        <v>Kế toán - Văn phòng</v>
      </c>
      <c r="U147" s="82">
        <f>DATEVALUE(Table2[[#This Row],[Ngày]])</f>
        <v>45925</v>
      </c>
      <c r="V147" t="str">
        <f>VLOOKUP(A147,Data_NV!$A:$E,5,0)</f>
        <v>Đang làm việc</v>
      </c>
      <c r="W147" s="10">
        <f>VLOOKUP(A147,Data_NV!$A:$I,8,0)</f>
        <v>0.33333333333333331</v>
      </c>
      <c r="X147" s="10">
        <f>VLOOKUP(A147,Data_NV!$A:$I,9,0)</f>
        <v>0.70833333333333337</v>
      </c>
      <c r="Y147" s="10">
        <f>IFERROR(TIMEVALUE(Table2[[#This Row],[Vào]]),0)</f>
        <v>0.32656249999999998</v>
      </c>
      <c r="Z147" s="10">
        <f>IFERROR(TIMEVALUE(Table2[[#This Row],[Ra]]),0)</f>
        <v>0.79920138888888892</v>
      </c>
      <c r="AA147" t="str">
        <f t="shared" si="27"/>
        <v>x</v>
      </c>
      <c r="AB147" s="12">
        <f t="shared" si="25"/>
        <v>0</v>
      </c>
      <c r="AC147" s="12" t="str">
        <f>IF(VLOOKUP(A147,Data_NV!$A:$I,7,0)="Không","",IF(OR(AND(Y147=0,Z147=0),AND(Y147&lt;&gt;0,Z147&lt;&gt;0)),"","Quên chấm công"))</f>
        <v/>
      </c>
      <c r="AD147" s="12">
        <f>IF(VLOOKUP(A147,Data_NV!$A:$I,7,0)="Không",0,IF(AND(Y147=0,Z147=0),0,IF(X147&lt;=Z147,0,ROUNDDOWN((X147-Z147)*24*60,0))))</f>
        <v>0</v>
      </c>
      <c r="AE147" s="12">
        <f>IF(VLOOKUP(A147,Data_NV!$A:$I,6,0)="Không",0,IF(Z147&lt;=X147,0,ROUNDDOWN((Z147-X147)*24*60,0)))</f>
        <v>130</v>
      </c>
      <c r="AF147" s="26">
        <f t="shared" si="28"/>
        <v>0</v>
      </c>
      <c r="AG147" s="27" t="str">
        <f>IF(AC147="","",IF(COUNTIFS($AC$3:AC147,"Quên chấm công",$S$3:S147,S147)&gt;3,"Không chấm công do vi phạm quá 3 lần",IF(COUNTIFS($AC$3:AC147,"Quên chấm công",$S$3:S147,S147)&gt;2,"Trừ toàn bộ chuyên cần tháng do vi phạm lần 3",IF(COUNTIFS($AC$3:AC147,"Quên chấm công",$S$3:S147,S147)&gt;1,"Trừ 1/2 ngày lương",50000))))</f>
        <v/>
      </c>
      <c r="AH147" s="12" t="str">
        <f>IF(AF147=0,"",IF(COUNTIFS($AF$3:AF147,"&gt;0",$S$3:S147,S147)&gt;3,"Trừ toàn bộ chuyên cần tháng",""))</f>
        <v/>
      </c>
      <c r="AI147" s="12"/>
    </row>
    <row r="148" spans="1:35" x14ac:dyDescent="0.25">
      <c r="A148" s="4" t="s">
        <v>467</v>
      </c>
      <c r="B148" s="1" t="s">
        <v>264</v>
      </c>
      <c r="C148" s="1" t="s">
        <v>19</v>
      </c>
      <c r="D148" s="1" t="s">
        <v>66</v>
      </c>
      <c r="E148" s="1" t="s">
        <v>21</v>
      </c>
      <c r="F148" s="1" t="s">
        <v>22</v>
      </c>
      <c r="G148" s="1" t="s">
        <v>28</v>
      </c>
      <c r="H148" s="1" t="s">
        <v>349</v>
      </c>
      <c r="I148" s="1" t="s">
        <v>509</v>
      </c>
      <c r="J148" s="1" t="s">
        <v>24</v>
      </c>
      <c r="K148" s="1" t="s">
        <v>508</v>
      </c>
      <c r="L148" s="1" t="s">
        <v>24</v>
      </c>
      <c r="M148" s="1" t="s">
        <v>25</v>
      </c>
      <c r="N148" s="1" t="s">
        <v>24</v>
      </c>
      <c r="O148" s="1" t="s">
        <v>29</v>
      </c>
      <c r="P148" s="1" t="s">
        <v>227</v>
      </c>
      <c r="Q148" s="1" t="s">
        <v>24</v>
      </c>
      <c r="R148" s="85" t="str">
        <f t="shared" si="26"/>
        <v>945926</v>
      </c>
      <c r="S148" t="str">
        <f>VLOOKUP(A148,Data_NV!$A:$C,3,0)</f>
        <v>Hoàng Thị Hoài Nhi</v>
      </c>
      <c r="T148" t="str">
        <f>VLOOKUP(A148,Data_NV!$A:$E,4,0)</f>
        <v>Kế toán - Văn phòng</v>
      </c>
      <c r="U148" s="82">
        <f>DATEVALUE(Table2[[#This Row],[Ngày]])</f>
        <v>45926</v>
      </c>
      <c r="V148" t="str">
        <f>VLOOKUP(A148,Data_NV!$A:$E,5,0)</f>
        <v>Đang làm việc</v>
      </c>
      <c r="W148" s="10">
        <f>VLOOKUP(A148,Data_NV!$A:$I,8,0)</f>
        <v>0.33333333333333331</v>
      </c>
      <c r="X148" s="10">
        <f>VLOOKUP(A148,Data_NV!$A:$I,9,0)</f>
        <v>0.70833333333333337</v>
      </c>
      <c r="Y148" s="10">
        <f>IFERROR(TIMEVALUE(Table2[[#This Row],[Vào]]),0)</f>
        <v>0.32609953703703703</v>
      </c>
      <c r="Z148" s="10">
        <f>IFERROR(TIMEVALUE(Table2[[#This Row],[Ra]]),0)</f>
        <v>0.7994444444444444</v>
      </c>
      <c r="AA148" t="str">
        <f t="shared" si="27"/>
        <v>x</v>
      </c>
      <c r="AB148" s="12">
        <f t="shared" si="25"/>
        <v>0</v>
      </c>
      <c r="AC148" s="12" t="str">
        <f>IF(VLOOKUP(A148,Data_NV!$A:$I,7,0)="Không","",IF(OR(AND(Y148=0,Z148=0),AND(Y148&lt;&gt;0,Z148&lt;&gt;0)),"","Quên chấm công"))</f>
        <v/>
      </c>
      <c r="AD148" s="12">
        <f>IF(VLOOKUP(A148,Data_NV!$A:$I,7,0)="Không",0,IF(AND(Y148=0,Z148=0),0,IF(X148&lt;=Z148,0,ROUNDDOWN((X148-Z148)*24*60,0))))</f>
        <v>0</v>
      </c>
      <c r="AE148" s="12">
        <f>IF(VLOOKUP(A148,Data_NV!$A:$I,6,0)="Không",0,IF(Z148&lt;=X148,0,ROUNDDOWN((Z148-X148)*24*60,0)))</f>
        <v>131</v>
      </c>
      <c r="AF148" s="26">
        <f t="shared" si="28"/>
        <v>0</v>
      </c>
      <c r="AG148" s="27" t="str">
        <f>IF(AC148="","",IF(COUNTIFS($AC$3:AC148,"Quên chấm công",$S$3:S148,S148)&gt;3,"Không chấm công do vi phạm quá 3 lần",IF(COUNTIFS($AC$3:AC148,"Quên chấm công",$S$3:S148,S148)&gt;2,"Trừ toàn bộ chuyên cần tháng do vi phạm lần 3",IF(COUNTIFS($AC$3:AC148,"Quên chấm công",$S$3:S148,S148)&gt;1,"Trừ 1/2 ngày lương",50000))))</f>
        <v/>
      </c>
      <c r="AH148" s="12" t="str">
        <f>IF(AF148=0,"",IF(COUNTIFS($AF$3:AF148,"&gt;0",$S$3:S148,S148)&gt;3,"Trừ toàn bộ chuyên cần tháng",""))</f>
        <v/>
      </c>
      <c r="AI148" s="12"/>
    </row>
    <row r="149" spans="1:35" x14ac:dyDescent="0.25">
      <c r="A149" s="4" t="s">
        <v>467</v>
      </c>
      <c r="B149" s="1" t="s">
        <v>264</v>
      </c>
      <c r="C149" s="1" t="s">
        <v>19</v>
      </c>
      <c r="D149" s="1" t="s">
        <v>67</v>
      </c>
      <c r="E149" s="1" t="s">
        <v>21</v>
      </c>
      <c r="F149" s="1" t="s">
        <v>22</v>
      </c>
      <c r="G149" s="1" t="s">
        <v>28</v>
      </c>
      <c r="H149" s="1" t="s">
        <v>510</v>
      </c>
      <c r="I149" s="1" t="s">
        <v>511</v>
      </c>
      <c r="J149" s="1" t="s">
        <v>24</v>
      </c>
      <c r="K149" s="1" t="s">
        <v>504</v>
      </c>
      <c r="L149" s="1" t="s">
        <v>24</v>
      </c>
      <c r="M149" s="1" t="s">
        <v>25</v>
      </c>
      <c r="N149" s="1" t="s">
        <v>24</v>
      </c>
      <c r="O149" s="1" t="s">
        <v>505</v>
      </c>
      <c r="P149" s="1" t="s">
        <v>24</v>
      </c>
      <c r="Q149" s="1" t="s">
        <v>24</v>
      </c>
      <c r="R149" s="85" t="str">
        <f t="shared" si="26"/>
        <v>945927</v>
      </c>
      <c r="S149" t="str">
        <f>VLOOKUP(A149,Data_NV!$A:$C,3,0)</f>
        <v>Hoàng Thị Hoài Nhi</v>
      </c>
      <c r="T149" t="str">
        <f>VLOOKUP(A149,Data_NV!$A:$E,4,0)</f>
        <v>Kế toán - Văn phòng</v>
      </c>
      <c r="U149" s="82">
        <f>DATEVALUE(Table2[[#This Row],[Ngày]])</f>
        <v>45927</v>
      </c>
      <c r="V149" t="str">
        <f>VLOOKUP(A149,Data_NV!$A:$E,5,0)</f>
        <v>Đang làm việc</v>
      </c>
      <c r="W149" s="10">
        <f>VLOOKUP(A149,Data_NV!$A:$I,8,0)</f>
        <v>0.33333333333333331</v>
      </c>
      <c r="X149" s="10">
        <f>VLOOKUP(A149,Data_NV!$A:$I,9,0)</f>
        <v>0.70833333333333337</v>
      </c>
      <c r="Y149" s="10">
        <f>IFERROR(TIMEVALUE(Table2[[#This Row],[Vào]]),0)</f>
        <v>0.32612268518518517</v>
      </c>
      <c r="Z149" s="10">
        <f>IFERROR(TIMEVALUE(Table2[[#This Row],[Ra]]),0)</f>
        <v>0.78825231481481484</v>
      </c>
      <c r="AA149" t="str">
        <f t="shared" si="27"/>
        <v>x</v>
      </c>
      <c r="AB149" s="12">
        <f t="shared" si="25"/>
        <v>0</v>
      </c>
      <c r="AC149" s="12" t="str">
        <f>IF(VLOOKUP(A149,Data_NV!$A:$I,7,0)="Không","",IF(OR(AND(Y149=0,Z149=0),AND(Y149&lt;&gt;0,Z149&lt;&gt;0)),"","Quên chấm công"))</f>
        <v/>
      </c>
      <c r="AD149" s="12">
        <f>IF(VLOOKUP(A149,Data_NV!$A:$I,7,0)="Không",0,IF(AND(Y149=0,Z149=0),0,IF(X149&lt;=Z149,0,ROUNDDOWN((X149-Z149)*24*60,0))))</f>
        <v>0</v>
      </c>
      <c r="AE149" s="12">
        <f>IF(VLOOKUP(A149,Data_NV!$A:$I,6,0)="Không",0,IF(Z149&lt;=X149,0,ROUNDDOWN((Z149-X149)*24*60,0)))</f>
        <v>115</v>
      </c>
      <c r="AF149" s="26">
        <f t="shared" si="28"/>
        <v>0</v>
      </c>
      <c r="AG149" s="27" t="str">
        <f>IF(AC149="","",IF(COUNTIFS($AC$3:AC149,"Quên chấm công",$S$3:S149,S149)&gt;3,"Không chấm công do vi phạm quá 3 lần",IF(COUNTIFS($AC$3:AC149,"Quên chấm công",$S$3:S149,S149)&gt;2,"Trừ toàn bộ chuyên cần tháng do vi phạm lần 3",IF(COUNTIFS($AC$3:AC149,"Quên chấm công",$S$3:S149,S149)&gt;1,"Trừ 1/2 ngày lương",50000))))</f>
        <v/>
      </c>
      <c r="AH149" s="12" t="str">
        <f>IF(AF149=0,"",IF(COUNTIFS($AF$3:AF149,"&gt;0",$S$3:S149,S149)&gt;3,"Trừ toàn bộ chuyên cần tháng",""))</f>
        <v/>
      </c>
      <c r="AI149" s="12"/>
    </row>
    <row r="150" spans="1:35" x14ac:dyDescent="0.25">
      <c r="A150" s="4" t="s">
        <v>467</v>
      </c>
      <c r="B150" s="1" t="s">
        <v>264</v>
      </c>
      <c r="C150" s="1" t="s">
        <v>19</v>
      </c>
      <c r="D150" s="1" t="s">
        <v>69</v>
      </c>
      <c r="E150" s="1" t="s">
        <v>21</v>
      </c>
      <c r="F150" s="1" t="s">
        <v>22</v>
      </c>
      <c r="G150" s="1" t="s">
        <v>12</v>
      </c>
      <c r="H150" s="1" t="s">
        <v>23</v>
      </c>
      <c r="I150" s="1" t="s">
        <v>23</v>
      </c>
      <c r="J150" s="1" t="s">
        <v>24</v>
      </c>
      <c r="K150" s="1" t="s">
        <v>24</v>
      </c>
      <c r="L150" s="1" t="s">
        <v>25</v>
      </c>
      <c r="M150" s="1" t="s">
        <v>24</v>
      </c>
      <c r="N150" s="1" t="s">
        <v>24</v>
      </c>
      <c r="O150" s="1" t="s">
        <v>24</v>
      </c>
      <c r="P150" s="1" t="s">
        <v>24</v>
      </c>
      <c r="Q150" s="1" t="s">
        <v>24</v>
      </c>
      <c r="R150" s="85" t="str">
        <f t="shared" si="26"/>
        <v>945928</v>
      </c>
      <c r="S150" t="str">
        <f>VLOOKUP(A150,Data_NV!$A:$C,3,0)</f>
        <v>Hoàng Thị Hoài Nhi</v>
      </c>
      <c r="T150" t="str">
        <f>VLOOKUP(A150,Data_NV!$A:$E,4,0)</f>
        <v>Kế toán - Văn phòng</v>
      </c>
      <c r="U150" s="82">
        <f>DATEVALUE(Table2[[#This Row],[Ngày]])</f>
        <v>45928</v>
      </c>
      <c r="V150" t="str">
        <f>VLOOKUP(A150,Data_NV!$A:$E,5,0)</f>
        <v>Đang làm việc</v>
      </c>
      <c r="W150" s="10">
        <f>VLOOKUP(A150,Data_NV!$A:$I,8,0)</f>
        <v>0.33333333333333331</v>
      </c>
      <c r="X150" s="10">
        <f>VLOOKUP(A150,Data_NV!$A:$I,9,0)</f>
        <v>0.70833333333333337</v>
      </c>
      <c r="Y150" s="10">
        <f>IFERROR(TIMEVALUE(Table2[[#This Row],[Vào]]),0)</f>
        <v>0</v>
      </c>
      <c r="Z150" s="10">
        <f>IFERROR(TIMEVALUE(Table2[[#This Row],[Ra]]),0)</f>
        <v>0</v>
      </c>
      <c r="AA150" t="str">
        <f t="shared" si="27"/>
        <v>Chủ nhật</v>
      </c>
      <c r="AB150" s="12">
        <f t="shared" si="25"/>
        <v>0</v>
      </c>
      <c r="AC150" s="12" t="str">
        <f>IF(VLOOKUP(A150,Data_NV!$A:$I,7,0)="Không","",IF(OR(AND(Y150=0,Z150=0),AND(Y150&lt;&gt;0,Z150&lt;&gt;0)),"","Quên chấm công"))</f>
        <v/>
      </c>
      <c r="AD150" s="12">
        <f>IF(VLOOKUP(A150,Data_NV!$A:$I,7,0)="Không",0,IF(AND(Y150=0,Z150=0),0,IF(X150&lt;=Z150,0,ROUNDDOWN((X150-Z150)*24*60,0))))</f>
        <v>0</v>
      </c>
      <c r="AE150" s="12">
        <f>IF(VLOOKUP(A150,Data_NV!$A:$I,6,0)="Không",0,IF(Z150&lt;=X150,0,ROUNDDOWN((Z150-X150)*24*60,0)))</f>
        <v>0</v>
      </c>
      <c r="AF150" s="26">
        <f t="shared" si="28"/>
        <v>0</v>
      </c>
      <c r="AG150" s="27" t="str">
        <f>IF(AC150="","",IF(COUNTIFS($AC$3:AC150,"Quên chấm công",$S$3:S150,S150)&gt;3,"Không chấm công do vi phạm quá 3 lần",IF(COUNTIFS($AC$3:AC150,"Quên chấm công",$S$3:S150,S150)&gt;2,"Trừ toàn bộ chuyên cần tháng do vi phạm lần 3",IF(COUNTIFS($AC$3:AC150,"Quên chấm công",$S$3:S150,S150)&gt;1,"Trừ 1/2 ngày lương",50000))))</f>
        <v/>
      </c>
      <c r="AH150" s="12" t="str">
        <f>IF(AF150=0,"",IF(COUNTIFS($AF$3:AF150,"&gt;0",$S$3:S150,S150)&gt;3,"Trừ toàn bộ chuyên cần tháng",""))</f>
        <v/>
      </c>
      <c r="AI150" s="12"/>
    </row>
    <row r="151" spans="1:35" x14ac:dyDescent="0.25">
      <c r="A151" s="4" t="s">
        <v>467</v>
      </c>
      <c r="B151" s="1" t="s">
        <v>264</v>
      </c>
      <c r="C151" s="1" t="s">
        <v>19</v>
      </c>
      <c r="D151" s="1" t="s">
        <v>70</v>
      </c>
      <c r="E151" s="1" t="s">
        <v>21</v>
      </c>
      <c r="F151" s="1" t="s">
        <v>22</v>
      </c>
      <c r="G151" s="1" t="s">
        <v>28</v>
      </c>
      <c r="H151" s="1" t="s">
        <v>512</v>
      </c>
      <c r="I151" s="1" t="s">
        <v>513</v>
      </c>
      <c r="J151" s="1" t="s">
        <v>24</v>
      </c>
      <c r="K151" s="1" t="s">
        <v>514</v>
      </c>
      <c r="L151" s="1" t="s">
        <v>24</v>
      </c>
      <c r="M151" s="1" t="s">
        <v>25</v>
      </c>
      <c r="N151" s="1" t="s">
        <v>24</v>
      </c>
      <c r="O151" s="1" t="s">
        <v>29</v>
      </c>
      <c r="P151" s="1" t="s">
        <v>348</v>
      </c>
      <c r="Q151" s="1" t="s">
        <v>24</v>
      </c>
      <c r="R151" s="85" t="str">
        <f t="shared" si="26"/>
        <v>945929</v>
      </c>
      <c r="S151" t="str">
        <f>VLOOKUP(A151,Data_NV!$A:$C,3,0)</f>
        <v>Hoàng Thị Hoài Nhi</v>
      </c>
      <c r="T151" t="str">
        <f>VLOOKUP(A151,Data_NV!$A:$E,4,0)</f>
        <v>Kế toán - Văn phòng</v>
      </c>
      <c r="U151" s="82">
        <f>DATEVALUE(Table2[[#This Row],[Ngày]])</f>
        <v>45929</v>
      </c>
      <c r="V151" t="str">
        <f>VLOOKUP(A151,Data_NV!$A:$E,5,0)</f>
        <v>Đang làm việc</v>
      </c>
      <c r="W151" s="10">
        <f>VLOOKUP(A151,Data_NV!$A:$I,8,0)</f>
        <v>0.33333333333333331</v>
      </c>
      <c r="X151" s="10">
        <f>VLOOKUP(A151,Data_NV!$A:$I,9,0)</f>
        <v>0.70833333333333337</v>
      </c>
      <c r="Y151" s="10">
        <f>IFERROR(TIMEVALUE(Table2[[#This Row],[Vào]]),0)</f>
        <v>0.3278240740740741</v>
      </c>
      <c r="Z151" s="10">
        <f>IFERROR(TIMEVALUE(Table2[[#This Row],[Ra]]),0)</f>
        <v>0.79462962962962957</v>
      </c>
      <c r="AA151" t="str">
        <f t="shared" si="27"/>
        <v>x</v>
      </c>
      <c r="AB151" s="12">
        <f t="shared" si="25"/>
        <v>0</v>
      </c>
      <c r="AC151" s="12" t="str">
        <f>IF(VLOOKUP(A151,Data_NV!$A:$I,7,0)="Không","",IF(OR(AND(Y151=0,Z151=0),AND(Y151&lt;&gt;0,Z151&lt;&gt;0)),"","Quên chấm công"))</f>
        <v/>
      </c>
      <c r="AD151" s="12">
        <f>IF(VLOOKUP(A151,Data_NV!$A:$I,7,0)="Không",0,IF(AND(Y151=0,Z151=0),0,IF(X151&lt;=Z151,0,ROUNDDOWN((X151-Z151)*24*60,0))))</f>
        <v>0</v>
      </c>
      <c r="AE151" s="12">
        <f>IF(VLOOKUP(A151,Data_NV!$A:$I,6,0)="Không",0,IF(Z151&lt;=X151,0,ROUNDDOWN((Z151-X151)*24*60,0)))</f>
        <v>124</v>
      </c>
      <c r="AF151" s="26">
        <f t="shared" si="28"/>
        <v>0</v>
      </c>
      <c r="AG151" s="27" t="str">
        <f>IF(AC151="","",IF(COUNTIFS($AC$3:AC151,"Quên chấm công",$S$3:S151,S151)&gt;3,"Không chấm công do vi phạm quá 3 lần",IF(COUNTIFS($AC$3:AC151,"Quên chấm công",$S$3:S151,S151)&gt;2,"Trừ toàn bộ chuyên cần tháng do vi phạm lần 3",IF(COUNTIFS($AC$3:AC151,"Quên chấm công",$S$3:S151,S151)&gt;1,"Trừ 1/2 ngày lương",50000))))</f>
        <v/>
      </c>
      <c r="AH151" s="12" t="str">
        <f>IF(AF151=0,"",IF(COUNTIFS($AF$3:AF151,"&gt;0",$S$3:S151,S151)&gt;3,"Trừ toàn bộ chuyên cần tháng",""))</f>
        <v/>
      </c>
      <c r="AI151" s="12"/>
    </row>
    <row r="152" spans="1:35" x14ac:dyDescent="0.25">
      <c r="A152" s="4" t="s">
        <v>467</v>
      </c>
      <c r="B152" s="1" t="s">
        <v>264</v>
      </c>
      <c r="C152" s="1" t="s">
        <v>19</v>
      </c>
      <c r="D152" s="1" t="s">
        <v>71</v>
      </c>
      <c r="E152" s="1" t="s">
        <v>21</v>
      </c>
      <c r="F152" s="1" t="s">
        <v>22</v>
      </c>
      <c r="G152" s="1" t="s">
        <v>28</v>
      </c>
      <c r="H152" s="1" t="s">
        <v>515</v>
      </c>
      <c r="I152" s="1" t="s">
        <v>516</v>
      </c>
      <c r="J152" s="1" t="s">
        <v>24</v>
      </c>
      <c r="K152" s="1" t="s">
        <v>63</v>
      </c>
      <c r="L152" s="1" t="s">
        <v>24</v>
      </c>
      <c r="M152" s="1" t="s">
        <v>25</v>
      </c>
      <c r="N152" s="1" t="s">
        <v>24</v>
      </c>
      <c r="O152" s="1" t="s">
        <v>64</v>
      </c>
      <c r="P152" s="1" t="s">
        <v>24</v>
      </c>
      <c r="Q152" s="1" t="s">
        <v>24</v>
      </c>
      <c r="R152" s="85" t="str">
        <f t="shared" si="26"/>
        <v>945930</v>
      </c>
      <c r="S152" t="str">
        <f>VLOOKUP(A152,Data_NV!$A:$C,3,0)</f>
        <v>Hoàng Thị Hoài Nhi</v>
      </c>
      <c r="T152" t="str">
        <f>VLOOKUP(A152,Data_NV!$A:$E,4,0)</f>
        <v>Kế toán - Văn phòng</v>
      </c>
      <c r="U152" s="82">
        <f>DATEVALUE(Table2[[#This Row],[Ngày]])</f>
        <v>45930</v>
      </c>
      <c r="V152" t="str">
        <f>VLOOKUP(A152,Data_NV!$A:$E,5,0)</f>
        <v>Đang làm việc</v>
      </c>
      <c r="W152" s="10">
        <f>VLOOKUP(A152,Data_NV!$A:$I,8,0)</f>
        <v>0.33333333333333331</v>
      </c>
      <c r="X152" s="10">
        <f>VLOOKUP(A152,Data_NV!$A:$I,9,0)</f>
        <v>0.70833333333333337</v>
      </c>
      <c r="Y152" s="10">
        <f>IFERROR(TIMEVALUE(Table2[[#This Row],[Vào]]),0)</f>
        <v>0.32662037037037039</v>
      </c>
      <c r="Z152" s="10">
        <f>IFERROR(TIMEVALUE(Table2[[#This Row],[Ra]]),0)</f>
        <v>0.75611111111111107</v>
      </c>
      <c r="AA152" t="str">
        <f t="shared" si="27"/>
        <v>x</v>
      </c>
      <c r="AB152" s="12">
        <f t="shared" si="25"/>
        <v>0</v>
      </c>
      <c r="AC152" s="12" t="str">
        <f>IF(VLOOKUP(A152,Data_NV!$A:$I,7,0)="Không","",IF(OR(AND(Y152=0,Z152=0),AND(Y152&lt;&gt;0,Z152&lt;&gt;0)),"","Quên chấm công"))</f>
        <v/>
      </c>
      <c r="AD152" s="12">
        <f>IF(VLOOKUP(A152,Data_NV!$A:$I,7,0)="Không",0,IF(AND(Y152=0,Z152=0),0,IF(X152&lt;=Z152,0,ROUNDDOWN((X152-Z152)*24*60,0))))</f>
        <v>0</v>
      </c>
      <c r="AE152" s="12">
        <f>IF(VLOOKUP(A152,Data_NV!$A:$I,6,0)="Không",0,IF(Z152&lt;=X152,0,ROUNDDOWN((Z152-X152)*24*60,0)))</f>
        <v>68</v>
      </c>
      <c r="AF152" s="26">
        <f t="shared" si="28"/>
        <v>0</v>
      </c>
      <c r="AG152" s="27" t="str">
        <f>IF(AC152="","",IF(COUNTIFS($AC$3:AC152,"Quên chấm công",$S$3:S152,S152)&gt;3,"Không chấm công do vi phạm quá 3 lần",IF(COUNTIFS($AC$3:AC152,"Quên chấm công",$S$3:S152,S152)&gt;2,"Trừ toàn bộ chuyên cần tháng do vi phạm lần 3",IF(COUNTIFS($AC$3:AC152,"Quên chấm công",$S$3:S152,S152)&gt;1,"Trừ 1/2 ngày lương",50000))))</f>
        <v/>
      </c>
      <c r="AH152" s="12" t="str">
        <f>IF(AF152=0,"",IF(COUNTIFS($AF$3:AF152,"&gt;0",$S$3:S152,S152)&gt;3,"Trừ toàn bộ chuyên cần tháng",""))</f>
        <v/>
      </c>
      <c r="AI152" s="12"/>
    </row>
  </sheetData>
  <phoneticPr fontId="44" type="noConversion"/>
  <conditionalFormatting sqref="A2:AI152">
    <cfRule type="expression" dxfId="3" priority="1">
      <formula>$AG2="Không chấm công do vi phạm quá 3 lần"</formula>
    </cfRule>
    <cfRule type="expression" dxfId="2" priority="2">
      <formula>$AC2="Quên Chấm Công"</formula>
    </cfRule>
    <cfRule type="expression" dxfId="1" priority="3">
      <formula>$AH2="Trừ toàn bộ chuyên cần tháng"</formula>
    </cfRule>
  </conditionalFormatting>
  <conditionalFormatting sqref="AA2:AA152">
    <cfRule type="expression" dxfId="0" priority="4">
      <formula>$AA2="Chủ Nhật"</formula>
    </cfRule>
  </conditionalFormatting>
  <pageMargins left="0.75" right="0.75" top="1" bottom="1" header="0.5" footer="0.5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D3E85-38C0-41F9-B1C6-79FC7B9134AC}">
  <dimension ref="A1:J66"/>
  <sheetViews>
    <sheetView topLeftCell="A16" workbookViewId="0">
      <selection activeCell="J25" sqref="J25"/>
    </sheetView>
  </sheetViews>
  <sheetFormatPr defaultRowHeight="15" x14ac:dyDescent="0.25"/>
  <cols>
    <col min="1" max="1" width="5" customWidth="1"/>
    <col min="2" max="2" width="6.5703125" customWidth="1"/>
    <col min="3" max="3" width="23.28515625" bestFit="1" customWidth="1"/>
    <col min="4" max="4" width="20.85546875" bestFit="1" customWidth="1"/>
    <col min="5" max="5" width="14.85546875" customWidth="1"/>
    <col min="7" max="7" width="9.28515625" customWidth="1"/>
    <col min="8" max="8" width="17" style="10" bestFit="1" customWidth="1"/>
    <col min="9" max="9" width="12.42578125" style="10" bestFit="1" customWidth="1"/>
    <col min="10" max="10" width="10.42578125" style="82" bestFit="1" customWidth="1"/>
  </cols>
  <sheetData>
    <row r="1" spans="1:10" ht="47.25" x14ac:dyDescent="0.25">
      <c r="A1" s="5" t="s">
        <v>519</v>
      </c>
      <c r="B1" s="6" t="s">
        <v>517</v>
      </c>
      <c r="C1" s="7" t="s">
        <v>518</v>
      </c>
      <c r="D1" s="7" t="s">
        <v>3</v>
      </c>
      <c r="E1" s="7" t="s">
        <v>556</v>
      </c>
      <c r="F1" s="8" t="s">
        <v>558</v>
      </c>
      <c r="G1" s="9" t="s">
        <v>561</v>
      </c>
      <c r="H1" s="11" t="s">
        <v>564</v>
      </c>
      <c r="I1" s="11" t="s">
        <v>566</v>
      </c>
      <c r="J1" s="89" t="s">
        <v>636</v>
      </c>
    </row>
    <row r="2" spans="1:10" ht="15.75" x14ac:dyDescent="0.25">
      <c r="A2" s="3" t="s">
        <v>337</v>
      </c>
      <c r="B2" s="3">
        <v>1</v>
      </c>
      <c r="C2" s="2" t="s">
        <v>521</v>
      </c>
      <c r="D2" s="2" t="s">
        <v>520</v>
      </c>
      <c r="E2" t="s">
        <v>554</v>
      </c>
      <c r="F2" t="s">
        <v>559</v>
      </c>
      <c r="G2" t="s">
        <v>559</v>
      </c>
      <c r="H2" s="10">
        <v>0.33333333333333331</v>
      </c>
      <c r="I2" s="10">
        <v>0.70833333333333337</v>
      </c>
      <c r="J2" s="82">
        <v>32109</v>
      </c>
    </row>
    <row r="3" spans="1:10" ht="15.75" x14ac:dyDescent="0.25">
      <c r="A3" s="3" t="s">
        <v>255</v>
      </c>
      <c r="B3" s="3">
        <v>2</v>
      </c>
      <c r="C3" s="2" t="s">
        <v>522</v>
      </c>
      <c r="D3" s="2" t="s">
        <v>520</v>
      </c>
      <c r="E3" t="s">
        <v>554</v>
      </c>
      <c r="F3" t="s">
        <v>559</v>
      </c>
      <c r="G3" t="s">
        <v>559</v>
      </c>
      <c r="H3" s="10">
        <v>0.33333333333333331</v>
      </c>
      <c r="I3" s="10">
        <v>0.70833333333333337</v>
      </c>
      <c r="J3" s="82">
        <v>35418</v>
      </c>
    </row>
    <row r="4" spans="1:10" ht="15.75" x14ac:dyDescent="0.25">
      <c r="A4" s="3" t="s">
        <v>112</v>
      </c>
      <c r="B4" s="3">
        <v>3</v>
      </c>
      <c r="C4" s="2" t="s">
        <v>523</v>
      </c>
      <c r="D4" s="2" t="s">
        <v>520</v>
      </c>
      <c r="E4" t="s">
        <v>554</v>
      </c>
      <c r="F4" t="s">
        <v>559</v>
      </c>
      <c r="G4" t="s">
        <v>559</v>
      </c>
      <c r="H4" s="10">
        <v>0.33333333333333331</v>
      </c>
      <c r="I4" s="10">
        <v>0.70833333333333337</v>
      </c>
      <c r="J4" s="82">
        <v>30993</v>
      </c>
    </row>
    <row r="5" spans="1:10" ht="15.75" x14ac:dyDescent="0.25">
      <c r="A5" s="3" t="s">
        <v>88</v>
      </c>
      <c r="B5" s="3">
        <v>4</v>
      </c>
      <c r="C5" s="2" t="s">
        <v>524</v>
      </c>
      <c r="D5" s="2" t="s">
        <v>520</v>
      </c>
      <c r="E5" t="s">
        <v>554</v>
      </c>
      <c r="F5" t="s">
        <v>559</v>
      </c>
      <c r="G5" t="s">
        <v>559</v>
      </c>
      <c r="H5" s="10">
        <v>0.33333333333333331</v>
      </c>
      <c r="I5" s="10">
        <v>0.70833333333333337</v>
      </c>
      <c r="J5" s="82">
        <v>34596</v>
      </c>
    </row>
    <row r="6" spans="1:10" ht="15.75" x14ac:dyDescent="0.25">
      <c r="A6" s="3" t="s">
        <v>250</v>
      </c>
      <c r="B6" s="3">
        <v>5</v>
      </c>
      <c r="C6" s="2" t="s">
        <v>525</v>
      </c>
      <c r="D6" s="2" t="s">
        <v>520</v>
      </c>
      <c r="E6" t="s">
        <v>554</v>
      </c>
      <c r="F6" t="s">
        <v>559</v>
      </c>
      <c r="G6" t="s">
        <v>559</v>
      </c>
      <c r="H6" s="10">
        <v>0.33333333333333331</v>
      </c>
      <c r="I6" s="10">
        <v>0.70833333333333337</v>
      </c>
      <c r="J6" s="82">
        <v>34500</v>
      </c>
    </row>
    <row r="7" spans="1:10" ht="15.75" x14ac:dyDescent="0.25">
      <c r="A7" s="3" t="s">
        <v>263</v>
      </c>
      <c r="B7" s="3">
        <v>6</v>
      </c>
      <c r="C7" s="2" t="s">
        <v>526</v>
      </c>
      <c r="D7" s="2" t="s">
        <v>520</v>
      </c>
      <c r="E7" t="s">
        <v>554</v>
      </c>
      <c r="F7" t="s">
        <v>559</v>
      </c>
      <c r="G7" t="s">
        <v>559</v>
      </c>
      <c r="H7" s="10">
        <v>0.33333333333333331</v>
      </c>
      <c r="I7" s="10">
        <v>0.70833333333333337</v>
      </c>
      <c r="J7" s="82">
        <v>34729</v>
      </c>
    </row>
    <row r="8" spans="1:10" ht="15.75" x14ac:dyDescent="0.25">
      <c r="A8" s="3" t="s">
        <v>332</v>
      </c>
      <c r="B8" s="3">
        <v>7</v>
      </c>
      <c r="C8" s="2" t="s">
        <v>527</v>
      </c>
      <c r="D8" s="2" t="s">
        <v>520</v>
      </c>
      <c r="E8" t="s">
        <v>554</v>
      </c>
      <c r="F8" t="s">
        <v>559</v>
      </c>
      <c r="G8" t="s">
        <v>559</v>
      </c>
      <c r="H8" s="10">
        <v>0.33333333333333331</v>
      </c>
      <c r="I8" s="10">
        <v>0.70833333333333337</v>
      </c>
      <c r="J8" s="82">
        <v>30760</v>
      </c>
    </row>
    <row r="9" spans="1:10" ht="15.75" x14ac:dyDescent="0.25">
      <c r="A9" s="3" t="s">
        <v>240</v>
      </c>
      <c r="B9" s="3">
        <v>8</v>
      </c>
      <c r="C9" s="2" t="s">
        <v>528</v>
      </c>
      <c r="D9" s="2" t="s">
        <v>520</v>
      </c>
      <c r="E9" t="s">
        <v>554</v>
      </c>
      <c r="F9" t="s">
        <v>560</v>
      </c>
      <c r="G9" t="s">
        <v>560</v>
      </c>
      <c r="H9" s="10">
        <v>0.33333333333333331</v>
      </c>
      <c r="I9" s="10">
        <v>0.70833333333333337</v>
      </c>
      <c r="J9" s="82">
        <v>37236</v>
      </c>
    </row>
    <row r="10" spans="1:10" ht="15.75" x14ac:dyDescent="0.25">
      <c r="A10" s="3" t="s">
        <v>18</v>
      </c>
      <c r="B10" s="3">
        <v>9</v>
      </c>
      <c r="C10" s="2" t="s">
        <v>529</v>
      </c>
      <c r="D10" s="2" t="s">
        <v>555</v>
      </c>
      <c r="E10" t="s">
        <v>554</v>
      </c>
      <c r="F10" t="s">
        <v>559</v>
      </c>
      <c r="G10" t="s">
        <v>560</v>
      </c>
      <c r="H10" s="10">
        <v>0.3125</v>
      </c>
      <c r="I10" s="10">
        <v>0.6875</v>
      </c>
      <c r="J10" s="82">
        <v>31312</v>
      </c>
    </row>
    <row r="11" spans="1:10" ht="15.75" x14ac:dyDescent="0.25">
      <c r="A11" s="3" t="s">
        <v>76</v>
      </c>
      <c r="B11" s="3">
        <v>10</v>
      </c>
      <c r="C11" s="2" t="s">
        <v>530</v>
      </c>
      <c r="D11" s="2" t="s">
        <v>555</v>
      </c>
      <c r="E11" t="s">
        <v>554</v>
      </c>
      <c r="F11" t="s">
        <v>559</v>
      </c>
      <c r="G11" t="s">
        <v>559</v>
      </c>
      <c r="H11" s="10">
        <v>0.3125</v>
      </c>
      <c r="I11" s="10">
        <v>0.6875</v>
      </c>
      <c r="J11" s="82">
        <v>29481</v>
      </c>
    </row>
    <row r="12" spans="1:10" ht="15.75" x14ac:dyDescent="0.25">
      <c r="A12" s="3" t="s">
        <v>77</v>
      </c>
      <c r="B12" s="3">
        <v>11</v>
      </c>
      <c r="C12" s="2" t="s">
        <v>531</v>
      </c>
      <c r="D12" s="2" t="s">
        <v>555</v>
      </c>
      <c r="E12" t="s">
        <v>554</v>
      </c>
      <c r="F12" t="s">
        <v>559</v>
      </c>
      <c r="G12" t="s">
        <v>559</v>
      </c>
      <c r="H12" s="10">
        <v>0.3125</v>
      </c>
      <c r="I12" s="10">
        <v>0.6875</v>
      </c>
      <c r="J12" s="82">
        <v>35744</v>
      </c>
    </row>
    <row r="13" spans="1:10" ht="15.75" x14ac:dyDescent="0.25">
      <c r="A13" s="3" t="s">
        <v>210</v>
      </c>
      <c r="B13" s="3">
        <v>12</v>
      </c>
      <c r="C13" s="2" t="s">
        <v>532</v>
      </c>
      <c r="D13" s="2" t="s">
        <v>555</v>
      </c>
      <c r="E13" t="s">
        <v>554</v>
      </c>
      <c r="F13" t="s">
        <v>559</v>
      </c>
      <c r="G13" t="s">
        <v>559</v>
      </c>
      <c r="H13" s="10">
        <v>0.3125</v>
      </c>
      <c r="I13" s="10">
        <v>0.6875</v>
      </c>
      <c r="J13" s="82">
        <v>29537</v>
      </c>
    </row>
    <row r="14" spans="1:10" ht="15.75" x14ac:dyDescent="0.25">
      <c r="A14" s="3" t="s">
        <v>75</v>
      </c>
      <c r="B14" s="3">
        <v>13</v>
      </c>
      <c r="C14" s="2" t="s">
        <v>533</v>
      </c>
      <c r="D14" s="2" t="s">
        <v>555</v>
      </c>
      <c r="E14" t="s">
        <v>554</v>
      </c>
      <c r="F14" t="s">
        <v>559</v>
      </c>
      <c r="G14" t="s">
        <v>559</v>
      </c>
      <c r="H14" s="10">
        <v>0.3125</v>
      </c>
      <c r="I14" s="10">
        <v>0.6875</v>
      </c>
      <c r="J14" s="82">
        <v>36069</v>
      </c>
    </row>
    <row r="15" spans="1:10" ht="15.75" x14ac:dyDescent="0.25">
      <c r="A15" s="3" t="s">
        <v>74</v>
      </c>
      <c r="B15" s="3">
        <v>14</v>
      </c>
      <c r="C15" s="2" t="s">
        <v>534</v>
      </c>
      <c r="D15" s="2" t="s">
        <v>555</v>
      </c>
      <c r="E15" t="s">
        <v>554</v>
      </c>
      <c r="F15" t="s">
        <v>559</v>
      </c>
      <c r="G15" t="s">
        <v>559</v>
      </c>
      <c r="H15" s="10">
        <v>0.3125</v>
      </c>
      <c r="I15" s="10">
        <v>0.6875</v>
      </c>
      <c r="J15" s="82">
        <v>28529</v>
      </c>
    </row>
    <row r="16" spans="1:10" ht="15.75" x14ac:dyDescent="0.25">
      <c r="A16" s="3" t="s">
        <v>202</v>
      </c>
      <c r="B16" s="3">
        <v>15</v>
      </c>
      <c r="C16" s="2" t="s">
        <v>535</v>
      </c>
      <c r="D16" s="2" t="s">
        <v>555</v>
      </c>
      <c r="E16" t="s">
        <v>554</v>
      </c>
      <c r="F16" t="s">
        <v>560</v>
      </c>
      <c r="G16" t="s">
        <v>560</v>
      </c>
      <c r="H16" s="10">
        <v>0.33333333333333331</v>
      </c>
      <c r="I16" s="10">
        <v>0.70833333333333337</v>
      </c>
      <c r="J16" s="82">
        <v>36357</v>
      </c>
    </row>
    <row r="17" spans="1:10" ht="15.75" x14ac:dyDescent="0.25">
      <c r="A17" s="3" t="s">
        <v>194</v>
      </c>
      <c r="B17" s="3">
        <v>16</v>
      </c>
      <c r="C17" s="2" t="s">
        <v>536</v>
      </c>
      <c r="D17" s="2" t="s">
        <v>555</v>
      </c>
      <c r="E17" t="s">
        <v>554</v>
      </c>
      <c r="F17" t="s">
        <v>560</v>
      </c>
      <c r="G17" t="s">
        <v>560</v>
      </c>
      <c r="H17" s="10">
        <v>0.33333333333333331</v>
      </c>
      <c r="I17" s="10">
        <v>0.70833333333333337</v>
      </c>
      <c r="J17" s="82">
        <v>37177</v>
      </c>
    </row>
    <row r="18" spans="1:10" ht="15.75" x14ac:dyDescent="0.25">
      <c r="A18" s="3" t="s">
        <v>225</v>
      </c>
      <c r="B18" s="3">
        <v>17</v>
      </c>
      <c r="C18" s="2" t="s">
        <v>537</v>
      </c>
      <c r="D18" s="2" t="s">
        <v>555</v>
      </c>
      <c r="E18" t="s">
        <v>554</v>
      </c>
      <c r="F18" t="s">
        <v>560</v>
      </c>
      <c r="G18" t="s">
        <v>560</v>
      </c>
      <c r="H18" s="10">
        <v>0.3125</v>
      </c>
      <c r="I18" s="10">
        <v>0.6875</v>
      </c>
      <c r="J18" s="82">
        <v>36170</v>
      </c>
    </row>
    <row r="19" spans="1:10" ht="15.75" x14ac:dyDescent="0.25">
      <c r="A19" s="3" t="s">
        <v>331</v>
      </c>
      <c r="B19" s="3">
        <v>18</v>
      </c>
      <c r="C19" s="2" t="s">
        <v>538</v>
      </c>
      <c r="D19" s="2" t="s">
        <v>555</v>
      </c>
      <c r="E19" t="s">
        <v>554</v>
      </c>
      <c r="F19" t="s">
        <v>559</v>
      </c>
      <c r="G19" t="s">
        <v>559</v>
      </c>
      <c r="H19" s="10">
        <v>0.3125</v>
      </c>
      <c r="I19" s="10">
        <v>0.6875</v>
      </c>
      <c r="J19" s="82">
        <v>34055</v>
      </c>
    </row>
    <row r="20" spans="1:10" ht="15.75" x14ac:dyDescent="0.25">
      <c r="A20" s="3" t="s">
        <v>357</v>
      </c>
      <c r="B20" s="3">
        <v>19</v>
      </c>
      <c r="C20" s="2" t="s">
        <v>539</v>
      </c>
      <c r="D20" s="2" t="s">
        <v>555</v>
      </c>
      <c r="E20" t="s">
        <v>554</v>
      </c>
      <c r="F20" t="s">
        <v>559</v>
      </c>
      <c r="G20" t="s">
        <v>559</v>
      </c>
      <c r="H20" s="10">
        <v>0.3125</v>
      </c>
      <c r="I20" s="10">
        <v>0.6875</v>
      </c>
      <c r="J20" s="82">
        <v>35733</v>
      </c>
    </row>
    <row r="21" spans="1:10" ht="15.75" x14ac:dyDescent="0.25">
      <c r="A21" s="3" t="s">
        <v>92</v>
      </c>
      <c r="B21" s="3">
        <v>20</v>
      </c>
      <c r="C21" s="2" t="s">
        <v>540</v>
      </c>
      <c r="D21" s="2" t="s">
        <v>555</v>
      </c>
      <c r="E21" t="s">
        <v>554</v>
      </c>
      <c r="F21" t="s">
        <v>560</v>
      </c>
      <c r="G21" t="s">
        <v>560</v>
      </c>
      <c r="H21" s="10">
        <v>0.33333333333333331</v>
      </c>
      <c r="I21" s="10">
        <v>0.70833333333333337</v>
      </c>
      <c r="J21" s="82">
        <v>34736</v>
      </c>
    </row>
    <row r="22" spans="1:10" ht="15.75" x14ac:dyDescent="0.25">
      <c r="A22" s="3" t="s">
        <v>415</v>
      </c>
      <c r="B22" s="3">
        <v>21</v>
      </c>
      <c r="C22" s="2" t="s">
        <v>542</v>
      </c>
      <c r="D22" s="2" t="s">
        <v>541</v>
      </c>
      <c r="E22" t="s">
        <v>554</v>
      </c>
      <c r="F22" t="s">
        <v>559</v>
      </c>
      <c r="G22" t="s">
        <v>560</v>
      </c>
      <c r="H22" s="10">
        <v>0.33333333333333331</v>
      </c>
      <c r="I22" s="10">
        <v>0.70833333333333337</v>
      </c>
      <c r="J22" s="82">
        <v>31434</v>
      </c>
    </row>
    <row r="23" spans="1:10" ht="15.75" x14ac:dyDescent="0.25">
      <c r="A23" s="3" t="s">
        <v>363</v>
      </c>
      <c r="B23" s="3">
        <v>22</v>
      </c>
      <c r="C23" s="2" t="s">
        <v>543</v>
      </c>
      <c r="D23" s="2" t="s">
        <v>541</v>
      </c>
      <c r="E23" t="s">
        <v>554</v>
      </c>
      <c r="F23" t="s">
        <v>560</v>
      </c>
      <c r="G23" t="s">
        <v>560</v>
      </c>
      <c r="H23" s="10">
        <v>0.33333333333333331</v>
      </c>
      <c r="I23" s="10">
        <v>0.70833333333333337</v>
      </c>
      <c r="J23" s="82">
        <v>31066</v>
      </c>
    </row>
    <row r="24" spans="1:10" ht="15.75" x14ac:dyDescent="0.25">
      <c r="A24" s="3" t="s">
        <v>417</v>
      </c>
      <c r="B24" s="3">
        <v>23</v>
      </c>
      <c r="C24" s="2" t="s">
        <v>544</v>
      </c>
      <c r="D24" s="2" t="s">
        <v>541</v>
      </c>
      <c r="E24" t="s">
        <v>554</v>
      </c>
      <c r="F24" t="s">
        <v>560</v>
      </c>
      <c r="G24" t="s">
        <v>560</v>
      </c>
      <c r="H24" s="10">
        <v>0.33333333333333331</v>
      </c>
      <c r="I24" s="10">
        <v>0.70833333333333337</v>
      </c>
      <c r="J24" s="82">
        <v>32114</v>
      </c>
    </row>
    <row r="25" spans="1:10" ht="15.75" x14ac:dyDescent="0.25">
      <c r="A25" s="3" t="s">
        <v>467</v>
      </c>
      <c r="B25" s="3">
        <v>24</v>
      </c>
      <c r="C25" s="2" t="s">
        <v>545</v>
      </c>
      <c r="D25" s="2" t="s">
        <v>541</v>
      </c>
      <c r="E25" t="s">
        <v>554</v>
      </c>
      <c r="F25" t="s">
        <v>560</v>
      </c>
      <c r="G25" t="s">
        <v>560</v>
      </c>
      <c r="H25" s="10">
        <v>0.33333333333333331</v>
      </c>
      <c r="I25" s="10">
        <v>0.70833333333333337</v>
      </c>
      <c r="J25" s="82">
        <v>36558</v>
      </c>
    </row>
    <row r="26" spans="1:10" ht="15.75" x14ac:dyDescent="0.25">
      <c r="A26" s="3" t="s">
        <v>113</v>
      </c>
      <c r="B26" s="3">
        <v>25</v>
      </c>
      <c r="C26" s="2" t="s">
        <v>546</v>
      </c>
      <c r="D26" s="2" t="s">
        <v>541</v>
      </c>
      <c r="E26" t="s">
        <v>554</v>
      </c>
      <c r="F26" t="s">
        <v>560</v>
      </c>
      <c r="G26" t="s">
        <v>560</v>
      </c>
      <c r="H26" s="10">
        <v>0.33333333333333331</v>
      </c>
      <c r="I26" s="10">
        <v>0.70833333333333337</v>
      </c>
      <c r="J26" s="82">
        <v>33767</v>
      </c>
    </row>
    <row r="27" spans="1:10" ht="15.75" x14ac:dyDescent="0.25">
      <c r="A27" s="3" t="s">
        <v>276</v>
      </c>
      <c r="B27" s="3">
        <v>26</v>
      </c>
      <c r="C27" s="2" t="s">
        <v>547</v>
      </c>
      <c r="D27" s="2" t="s">
        <v>541</v>
      </c>
      <c r="E27" t="s">
        <v>554</v>
      </c>
      <c r="F27" t="s">
        <v>560</v>
      </c>
      <c r="G27" t="s">
        <v>560</v>
      </c>
      <c r="H27" s="10">
        <v>0.33333333333333331</v>
      </c>
      <c r="I27" s="10">
        <v>0.70833333333333337</v>
      </c>
      <c r="J27" s="82">
        <v>31828</v>
      </c>
    </row>
    <row r="28" spans="1:10" ht="15.75" x14ac:dyDescent="0.25">
      <c r="A28" s="3" t="s">
        <v>344</v>
      </c>
      <c r="B28" s="3">
        <v>27</v>
      </c>
      <c r="C28" s="2" t="s">
        <v>548</v>
      </c>
      <c r="D28" s="2" t="s">
        <v>541</v>
      </c>
      <c r="E28" t="s">
        <v>554</v>
      </c>
      <c r="F28" t="s">
        <v>560</v>
      </c>
      <c r="G28" t="s">
        <v>560</v>
      </c>
      <c r="H28" s="10">
        <v>0.33333333333333331</v>
      </c>
      <c r="I28" s="10">
        <v>0.70833333333333337</v>
      </c>
      <c r="J28" s="82">
        <v>37494</v>
      </c>
    </row>
    <row r="29" spans="1:10" ht="15.75" x14ac:dyDescent="0.25">
      <c r="A29" s="3" t="s">
        <v>356</v>
      </c>
      <c r="B29" s="3">
        <v>28</v>
      </c>
      <c r="C29" s="2" t="s">
        <v>549</v>
      </c>
      <c r="D29" s="2" t="s">
        <v>541</v>
      </c>
      <c r="E29" t="s">
        <v>553</v>
      </c>
      <c r="F29" t="s">
        <v>560</v>
      </c>
      <c r="G29" t="s">
        <v>560</v>
      </c>
      <c r="H29" s="10">
        <v>0.33333333333333331</v>
      </c>
      <c r="I29" s="10">
        <v>0.70833333333333337</v>
      </c>
    </row>
    <row r="30" spans="1:10" ht="15.75" x14ac:dyDescent="0.25">
      <c r="A30" s="3" t="s">
        <v>360</v>
      </c>
      <c r="B30" s="3">
        <v>29</v>
      </c>
      <c r="C30" s="2" t="s">
        <v>550</v>
      </c>
      <c r="D30" s="2" t="s">
        <v>541</v>
      </c>
      <c r="E30" t="s">
        <v>553</v>
      </c>
      <c r="F30" t="s">
        <v>560</v>
      </c>
      <c r="G30" t="s">
        <v>560</v>
      </c>
      <c r="H30" s="10">
        <v>0.33333333333333331</v>
      </c>
      <c r="I30" s="10">
        <v>0.70833333333333337</v>
      </c>
    </row>
    <row r="31" spans="1:10" ht="15.75" x14ac:dyDescent="0.25">
      <c r="A31" s="3" t="s">
        <v>463</v>
      </c>
      <c r="B31" s="3">
        <v>30</v>
      </c>
      <c r="C31" s="2" t="s">
        <v>552</v>
      </c>
      <c r="D31" s="2" t="s">
        <v>541</v>
      </c>
      <c r="E31" t="s">
        <v>554</v>
      </c>
      <c r="F31" t="s">
        <v>560</v>
      </c>
      <c r="G31" t="s">
        <v>560</v>
      </c>
      <c r="H31" s="10">
        <v>0.33333333333333331</v>
      </c>
      <c r="I31" s="10">
        <v>0.70833333333333337</v>
      </c>
      <c r="J31" s="82">
        <v>27340</v>
      </c>
    </row>
    <row r="32" spans="1:10" ht="15.75" x14ac:dyDescent="0.25">
      <c r="A32" s="3" t="s">
        <v>78</v>
      </c>
      <c r="B32" s="3">
        <v>31</v>
      </c>
      <c r="C32" s="2" t="s">
        <v>79</v>
      </c>
      <c r="D32" s="2"/>
      <c r="E32" t="s">
        <v>553</v>
      </c>
      <c r="H32" s="10">
        <v>0.33333333333333331</v>
      </c>
      <c r="I32" s="10">
        <v>0.70833333333333337</v>
      </c>
    </row>
    <row r="33" spans="1:9" ht="15.75" x14ac:dyDescent="0.25">
      <c r="A33" s="3" t="s">
        <v>80</v>
      </c>
      <c r="B33" s="3">
        <v>32</v>
      </c>
      <c r="C33" s="2" t="s">
        <v>81</v>
      </c>
      <c r="D33" s="2"/>
      <c r="E33" t="s">
        <v>553</v>
      </c>
      <c r="H33" s="10">
        <v>0.33333333333333331</v>
      </c>
      <c r="I33" s="10">
        <v>0.70833333333333337</v>
      </c>
    </row>
    <row r="34" spans="1:9" ht="15.75" x14ac:dyDescent="0.25">
      <c r="A34" s="3" t="s">
        <v>82</v>
      </c>
      <c r="B34" s="3">
        <v>33</v>
      </c>
      <c r="C34" s="2" t="s">
        <v>83</v>
      </c>
      <c r="D34" s="2"/>
      <c r="E34" t="s">
        <v>553</v>
      </c>
      <c r="H34" s="10">
        <v>0.33333333333333331</v>
      </c>
      <c r="I34" s="10">
        <v>0.70833333333333337</v>
      </c>
    </row>
    <row r="35" spans="1:9" ht="15.75" x14ac:dyDescent="0.25">
      <c r="A35" s="3" t="s">
        <v>84</v>
      </c>
      <c r="B35" s="3">
        <v>34</v>
      </c>
      <c r="C35" s="2" t="s">
        <v>85</v>
      </c>
      <c r="D35" s="2"/>
      <c r="E35" t="s">
        <v>553</v>
      </c>
      <c r="H35" s="10">
        <v>0.33333333333333331</v>
      </c>
      <c r="I35" s="10">
        <v>0.70833333333333337</v>
      </c>
    </row>
    <row r="36" spans="1:9" ht="15.75" x14ac:dyDescent="0.25">
      <c r="A36" s="3" t="s">
        <v>86</v>
      </c>
      <c r="B36" s="3">
        <v>35</v>
      </c>
      <c r="C36" s="2" t="s">
        <v>87</v>
      </c>
      <c r="D36" s="2"/>
      <c r="E36" t="s">
        <v>553</v>
      </c>
      <c r="H36" s="10">
        <v>0.33333333333333331</v>
      </c>
      <c r="I36" s="10">
        <v>0.70833333333333337</v>
      </c>
    </row>
    <row r="37" spans="1:9" ht="15.75" x14ac:dyDescent="0.25">
      <c r="A37" s="3" t="s">
        <v>192</v>
      </c>
      <c r="B37" s="3">
        <v>36</v>
      </c>
      <c r="C37" s="2" t="s">
        <v>193</v>
      </c>
      <c r="D37" s="2"/>
      <c r="E37" t="s">
        <v>553</v>
      </c>
      <c r="H37" s="10">
        <v>0.33333333333333331</v>
      </c>
      <c r="I37" s="10">
        <v>0.70833333333333337</v>
      </c>
    </row>
    <row r="38" spans="1:9" ht="15.75" x14ac:dyDescent="0.25">
      <c r="A38" s="3" t="s">
        <v>211</v>
      </c>
      <c r="B38" s="3">
        <v>37</v>
      </c>
      <c r="C38" s="2" t="s">
        <v>212</v>
      </c>
      <c r="D38" s="2"/>
      <c r="E38" t="s">
        <v>553</v>
      </c>
      <c r="H38" s="10">
        <v>0.33333333333333331</v>
      </c>
      <c r="I38" s="10">
        <v>0.70833333333333337</v>
      </c>
    </row>
    <row r="39" spans="1:9" ht="15.75" x14ac:dyDescent="0.25">
      <c r="A39" s="3" t="s">
        <v>213</v>
      </c>
      <c r="B39" s="3">
        <v>38</v>
      </c>
      <c r="C39" s="2" t="s">
        <v>214</v>
      </c>
      <c r="D39" s="2"/>
      <c r="E39" t="s">
        <v>553</v>
      </c>
      <c r="H39" s="10">
        <v>0.33333333333333331</v>
      </c>
      <c r="I39" s="10">
        <v>0.70833333333333337</v>
      </c>
    </row>
    <row r="40" spans="1:9" ht="15.75" x14ac:dyDescent="0.25">
      <c r="A40" s="3" t="s">
        <v>215</v>
      </c>
      <c r="B40" s="3">
        <v>39</v>
      </c>
      <c r="C40" s="2" t="s">
        <v>216</v>
      </c>
      <c r="D40" s="2"/>
      <c r="E40" t="s">
        <v>553</v>
      </c>
      <c r="H40" s="10">
        <v>0.33333333333333331</v>
      </c>
      <c r="I40" s="10">
        <v>0.70833333333333337</v>
      </c>
    </row>
    <row r="41" spans="1:9" ht="15.75" x14ac:dyDescent="0.25">
      <c r="A41" s="3" t="s">
        <v>217</v>
      </c>
      <c r="B41" s="3">
        <v>40</v>
      </c>
      <c r="C41" s="2" t="s">
        <v>218</v>
      </c>
      <c r="D41" s="2"/>
      <c r="E41" t="s">
        <v>553</v>
      </c>
      <c r="H41" s="10">
        <v>0.33333333333333331</v>
      </c>
      <c r="I41" s="10">
        <v>0.70833333333333337</v>
      </c>
    </row>
    <row r="42" spans="1:9" ht="15.75" x14ac:dyDescent="0.25">
      <c r="A42" s="3" t="s">
        <v>219</v>
      </c>
      <c r="B42" s="3">
        <v>41</v>
      </c>
      <c r="C42" s="2" t="s">
        <v>220</v>
      </c>
      <c r="D42" s="2"/>
      <c r="E42" t="s">
        <v>553</v>
      </c>
      <c r="H42" s="10">
        <v>0.33333333333333331</v>
      </c>
      <c r="I42" s="10">
        <v>0.70833333333333337</v>
      </c>
    </row>
    <row r="43" spans="1:9" ht="15.75" x14ac:dyDescent="0.25">
      <c r="A43" s="3" t="s">
        <v>221</v>
      </c>
      <c r="B43" s="3">
        <v>42</v>
      </c>
      <c r="C43" s="2" t="s">
        <v>222</v>
      </c>
      <c r="D43" s="2"/>
      <c r="E43" t="s">
        <v>553</v>
      </c>
      <c r="H43" s="10">
        <v>0.33333333333333331</v>
      </c>
      <c r="I43" s="10">
        <v>0.70833333333333337</v>
      </c>
    </row>
    <row r="44" spans="1:9" ht="15.75" x14ac:dyDescent="0.25">
      <c r="A44" s="3" t="s">
        <v>223</v>
      </c>
      <c r="B44" s="3">
        <v>43</v>
      </c>
      <c r="C44" s="2" t="s">
        <v>224</v>
      </c>
      <c r="D44" s="2"/>
      <c r="E44" t="s">
        <v>553</v>
      </c>
      <c r="H44" s="10">
        <v>0.33333333333333331</v>
      </c>
      <c r="I44" s="10">
        <v>0.70833333333333337</v>
      </c>
    </row>
    <row r="45" spans="1:9" ht="15.75" x14ac:dyDescent="0.25">
      <c r="A45" s="3" t="s">
        <v>232</v>
      </c>
      <c r="B45" s="3">
        <v>44</v>
      </c>
      <c r="C45" s="2" t="s">
        <v>233</v>
      </c>
      <c r="D45" s="2"/>
      <c r="E45" t="s">
        <v>553</v>
      </c>
      <c r="H45" s="10">
        <v>0.33333333333333331</v>
      </c>
      <c r="I45" s="10">
        <v>0.70833333333333337</v>
      </c>
    </row>
    <row r="46" spans="1:9" ht="15.75" x14ac:dyDescent="0.25">
      <c r="A46" s="3" t="s">
        <v>234</v>
      </c>
      <c r="B46" s="3">
        <v>45</v>
      </c>
      <c r="C46" s="2" t="s">
        <v>235</v>
      </c>
      <c r="D46" s="2"/>
      <c r="E46" t="s">
        <v>553</v>
      </c>
      <c r="H46" s="10">
        <v>0.33333333333333331</v>
      </c>
      <c r="I46" s="10">
        <v>0.70833333333333337</v>
      </c>
    </row>
    <row r="47" spans="1:9" ht="15.75" x14ac:dyDescent="0.25">
      <c r="A47" s="3" t="s">
        <v>236</v>
      </c>
      <c r="B47" s="3">
        <v>46</v>
      </c>
      <c r="C47" s="2" t="s">
        <v>237</v>
      </c>
      <c r="D47" s="2"/>
      <c r="E47" t="s">
        <v>553</v>
      </c>
      <c r="H47" s="10">
        <v>0.33333333333333331</v>
      </c>
      <c r="I47" s="10">
        <v>0.70833333333333337</v>
      </c>
    </row>
    <row r="48" spans="1:9" ht="15.75" x14ac:dyDescent="0.25">
      <c r="A48" s="3" t="s">
        <v>238</v>
      </c>
      <c r="B48" s="3">
        <v>47</v>
      </c>
      <c r="C48" s="2" t="s">
        <v>239</v>
      </c>
      <c r="D48" s="2"/>
      <c r="E48" t="s">
        <v>553</v>
      </c>
      <c r="H48" s="10">
        <v>0.33333333333333331</v>
      </c>
      <c r="I48" s="10">
        <v>0.70833333333333337</v>
      </c>
    </row>
    <row r="49" spans="1:9" ht="15.75" x14ac:dyDescent="0.25">
      <c r="A49" s="3" t="s">
        <v>252</v>
      </c>
      <c r="B49" s="3">
        <v>48</v>
      </c>
      <c r="C49" s="2" t="s">
        <v>218</v>
      </c>
      <c r="D49" s="2"/>
      <c r="E49" t="s">
        <v>553</v>
      </c>
      <c r="H49" s="10">
        <v>0.33333333333333331</v>
      </c>
      <c r="I49" s="10">
        <v>0.70833333333333337</v>
      </c>
    </row>
    <row r="50" spans="1:9" ht="15.75" x14ac:dyDescent="0.25">
      <c r="A50" s="3" t="s">
        <v>253</v>
      </c>
      <c r="B50" s="3">
        <v>49</v>
      </c>
      <c r="C50" s="2" t="s">
        <v>254</v>
      </c>
      <c r="D50" s="2"/>
      <c r="E50" t="s">
        <v>553</v>
      </c>
      <c r="H50" s="10">
        <v>0.33333333333333331</v>
      </c>
      <c r="I50" s="10">
        <v>0.70833333333333337</v>
      </c>
    </row>
    <row r="51" spans="1:9" ht="15.75" x14ac:dyDescent="0.25">
      <c r="A51" s="3" t="s">
        <v>256</v>
      </c>
      <c r="B51" s="3">
        <v>50</v>
      </c>
      <c r="C51" s="2" t="s">
        <v>257</v>
      </c>
      <c r="D51" s="2"/>
      <c r="E51" t="s">
        <v>553</v>
      </c>
      <c r="H51" s="10">
        <v>0.33333333333333331</v>
      </c>
      <c r="I51" s="10">
        <v>0.70833333333333337</v>
      </c>
    </row>
    <row r="52" spans="1:9" ht="15.75" x14ac:dyDescent="0.25">
      <c r="A52" s="3" t="s">
        <v>258</v>
      </c>
      <c r="B52" s="3">
        <v>51</v>
      </c>
      <c r="C52" s="2" t="s">
        <v>259</v>
      </c>
      <c r="D52" s="2"/>
      <c r="E52" t="s">
        <v>553</v>
      </c>
      <c r="H52" s="10">
        <v>0.33333333333333331</v>
      </c>
      <c r="I52" s="10">
        <v>0.70833333333333337</v>
      </c>
    </row>
    <row r="53" spans="1:9" ht="15.75" x14ac:dyDescent="0.25">
      <c r="A53" s="3" t="s">
        <v>260</v>
      </c>
      <c r="B53" s="3">
        <v>52</v>
      </c>
      <c r="C53" s="2" t="s">
        <v>254</v>
      </c>
      <c r="D53" s="2"/>
      <c r="E53" t="s">
        <v>553</v>
      </c>
      <c r="H53" s="10">
        <v>0.33333333333333331</v>
      </c>
      <c r="I53" s="10">
        <v>0.70833333333333337</v>
      </c>
    </row>
    <row r="54" spans="1:9" ht="15.75" x14ac:dyDescent="0.25">
      <c r="A54" s="3" t="s">
        <v>261</v>
      </c>
      <c r="B54" s="3">
        <v>53</v>
      </c>
      <c r="C54" s="2" t="s">
        <v>262</v>
      </c>
      <c r="D54" s="2"/>
      <c r="E54" t="s">
        <v>553</v>
      </c>
      <c r="H54" s="10">
        <v>0.33333333333333331</v>
      </c>
      <c r="I54" s="10">
        <v>0.70833333333333337</v>
      </c>
    </row>
    <row r="55" spans="1:9" ht="15.75" x14ac:dyDescent="0.25">
      <c r="A55" s="3" t="s">
        <v>268</v>
      </c>
      <c r="B55" s="3">
        <v>54</v>
      </c>
      <c r="C55" s="2" t="s">
        <v>269</v>
      </c>
      <c r="D55" s="2"/>
      <c r="E55" t="s">
        <v>553</v>
      </c>
      <c r="H55" s="10">
        <v>0.33333333333333331</v>
      </c>
      <c r="I55" s="10">
        <v>0.70833333333333337</v>
      </c>
    </row>
    <row r="56" spans="1:9" ht="15.75" x14ac:dyDescent="0.25">
      <c r="A56" s="3" t="s">
        <v>270</v>
      </c>
      <c r="B56" s="3">
        <v>55</v>
      </c>
      <c r="C56" s="2" t="s">
        <v>271</v>
      </c>
      <c r="D56" s="2"/>
      <c r="E56" t="s">
        <v>553</v>
      </c>
      <c r="H56" s="10">
        <v>0.33333333333333331</v>
      </c>
      <c r="I56" s="10">
        <v>0.70833333333333337</v>
      </c>
    </row>
    <row r="57" spans="1:9" ht="15.75" x14ac:dyDescent="0.25">
      <c r="A57" s="3" t="s">
        <v>272</v>
      </c>
      <c r="B57" s="3">
        <v>56</v>
      </c>
      <c r="C57" s="2" t="s">
        <v>273</v>
      </c>
      <c r="D57" s="2"/>
      <c r="E57" t="s">
        <v>553</v>
      </c>
      <c r="H57" s="10">
        <v>0.33333333333333331</v>
      </c>
      <c r="I57" s="10">
        <v>0.70833333333333337</v>
      </c>
    </row>
    <row r="58" spans="1:9" ht="15.75" x14ac:dyDescent="0.25">
      <c r="A58" s="3" t="s">
        <v>274</v>
      </c>
      <c r="B58" s="3">
        <v>57</v>
      </c>
      <c r="C58" s="2" t="s">
        <v>275</v>
      </c>
      <c r="D58" s="2"/>
      <c r="E58" t="s">
        <v>553</v>
      </c>
      <c r="H58" s="10">
        <v>0.33333333333333331</v>
      </c>
      <c r="I58" s="10">
        <v>0.70833333333333337</v>
      </c>
    </row>
    <row r="59" spans="1:9" ht="15.75" x14ac:dyDescent="0.25">
      <c r="A59" s="3" t="s">
        <v>335</v>
      </c>
      <c r="B59" s="3">
        <v>58</v>
      </c>
      <c r="C59" s="2" t="s">
        <v>336</v>
      </c>
      <c r="D59" s="2"/>
      <c r="E59" t="s">
        <v>553</v>
      </c>
      <c r="H59" s="10">
        <v>0.33333333333333331</v>
      </c>
      <c r="I59" s="10">
        <v>0.70833333333333337</v>
      </c>
    </row>
    <row r="60" spans="1:9" ht="15.75" x14ac:dyDescent="0.25">
      <c r="A60" s="3" t="s">
        <v>340</v>
      </c>
      <c r="B60" s="3">
        <v>59</v>
      </c>
      <c r="C60" s="2" t="s">
        <v>341</v>
      </c>
      <c r="D60" s="2"/>
      <c r="E60" t="s">
        <v>553</v>
      </c>
      <c r="H60" s="10">
        <v>0.33333333333333331</v>
      </c>
      <c r="I60" s="10">
        <v>0.70833333333333337</v>
      </c>
    </row>
    <row r="61" spans="1:9" ht="15.75" x14ac:dyDescent="0.25">
      <c r="A61" s="3" t="s">
        <v>342</v>
      </c>
      <c r="B61" s="3">
        <v>60</v>
      </c>
      <c r="C61" s="2" t="s">
        <v>343</v>
      </c>
      <c r="D61" s="2"/>
      <c r="E61" t="s">
        <v>553</v>
      </c>
      <c r="H61" s="10">
        <v>0.33333333333333331</v>
      </c>
      <c r="I61" s="10">
        <v>0.70833333333333337</v>
      </c>
    </row>
    <row r="62" spans="1:9" ht="15.75" x14ac:dyDescent="0.25">
      <c r="A62" s="3" t="s">
        <v>354</v>
      </c>
      <c r="B62" s="3">
        <v>61</v>
      </c>
      <c r="C62" s="2" t="s">
        <v>355</v>
      </c>
      <c r="D62" s="2"/>
      <c r="E62" t="s">
        <v>553</v>
      </c>
      <c r="H62" s="10">
        <v>0.33333333333333331</v>
      </c>
      <c r="I62" s="10">
        <v>0.70833333333333337</v>
      </c>
    </row>
    <row r="63" spans="1:9" ht="15.75" x14ac:dyDescent="0.25">
      <c r="A63" s="3" t="s">
        <v>358</v>
      </c>
      <c r="B63" s="3">
        <v>62</v>
      </c>
      <c r="C63" s="2" t="s">
        <v>359</v>
      </c>
      <c r="D63" s="2"/>
      <c r="E63" t="s">
        <v>553</v>
      </c>
      <c r="H63" s="10">
        <v>0.33333333333333331</v>
      </c>
      <c r="I63" s="10">
        <v>0.70833333333333337</v>
      </c>
    </row>
    <row r="64" spans="1:9" ht="15.75" x14ac:dyDescent="0.25">
      <c r="A64" s="3" t="s">
        <v>361</v>
      </c>
      <c r="B64" s="3">
        <v>63</v>
      </c>
      <c r="C64" s="2" t="s">
        <v>362</v>
      </c>
      <c r="D64" s="2"/>
      <c r="E64" t="s">
        <v>553</v>
      </c>
      <c r="H64" s="10">
        <v>0.33333333333333331</v>
      </c>
      <c r="I64" s="10">
        <v>0.70833333333333337</v>
      </c>
    </row>
    <row r="65" spans="1:9" ht="15.75" x14ac:dyDescent="0.25">
      <c r="A65" s="3" t="s">
        <v>464</v>
      </c>
      <c r="B65" s="3">
        <v>64</v>
      </c>
      <c r="C65" s="2" t="s">
        <v>465</v>
      </c>
      <c r="D65" s="2"/>
      <c r="E65" t="s">
        <v>553</v>
      </c>
      <c r="H65" s="10">
        <v>0.33333333333333331</v>
      </c>
      <c r="I65" s="10">
        <v>0.70833333333333337</v>
      </c>
    </row>
    <row r="66" spans="1:9" ht="15.75" x14ac:dyDescent="0.25">
      <c r="A66" s="3" t="s">
        <v>466</v>
      </c>
      <c r="B66" s="3">
        <v>65</v>
      </c>
      <c r="C66" s="2" t="s">
        <v>333</v>
      </c>
      <c r="D66" s="2"/>
      <c r="E66" t="s">
        <v>553</v>
      </c>
      <c r="H66" s="10">
        <v>0.33333333333333331</v>
      </c>
      <c r="I66" s="10">
        <v>0.70833333333333337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7C6C6-6E44-4E46-93EB-0CAA4DA6691E}">
  <dimension ref="A1:C24"/>
  <sheetViews>
    <sheetView workbookViewId="0">
      <selection activeCell="G1" sqref="G1"/>
    </sheetView>
  </sheetViews>
  <sheetFormatPr defaultRowHeight="15" x14ac:dyDescent="0.25"/>
  <cols>
    <col min="1" max="1" width="33.140625" bestFit="1" customWidth="1"/>
    <col min="2" max="2" width="27.42578125" bestFit="1" customWidth="1"/>
  </cols>
  <sheetData>
    <row r="1" spans="1:3" x14ac:dyDescent="0.25">
      <c r="A1" s="19" t="s">
        <v>570</v>
      </c>
      <c r="B1" s="19" t="s">
        <v>571</v>
      </c>
      <c r="C1" s="19" t="s">
        <v>572</v>
      </c>
    </row>
    <row r="2" spans="1:3" x14ac:dyDescent="0.25">
      <c r="A2" t="s">
        <v>541</v>
      </c>
      <c r="B2" s="10">
        <v>0.33333333333333331</v>
      </c>
      <c r="C2" s="10">
        <v>0.70833333333333337</v>
      </c>
    </row>
    <row r="3" spans="1:3" x14ac:dyDescent="0.25">
      <c r="A3" t="s">
        <v>520</v>
      </c>
      <c r="B3" s="10">
        <v>0.33333333333333331</v>
      </c>
      <c r="C3" s="10">
        <v>0.70833333333333337</v>
      </c>
    </row>
    <row r="4" spans="1:3" x14ac:dyDescent="0.25">
      <c r="A4" t="s">
        <v>573</v>
      </c>
      <c r="B4" s="10">
        <v>0.3125</v>
      </c>
      <c r="C4" s="10">
        <v>0.6875</v>
      </c>
    </row>
    <row r="6" spans="1:3" x14ac:dyDescent="0.25">
      <c r="A6" s="23" t="s">
        <v>574</v>
      </c>
      <c r="B6" s="23"/>
      <c r="C6" s="23"/>
    </row>
    <row r="7" spans="1:3" x14ac:dyDescent="0.25">
      <c r="A7" t="s">
        <v>575</v>
      </c>
      <c r="B7" s="20">
        <v>30000</v>
      </c>
      <c r="C7" t="s">
        <v>576</v>
      </c>
    </row>
    <row r="8" spans="1:3" x14ac:dyDescent="0.25">
      <c r="A8" t="s">
        <v>577</v>
      </c>
      <c r="B8" s="20">
        <v>50000</v>
      </c>
      <c r="C8" t="s">
        <v>576</v>
      </c>
    </row>
    <row r="9" spans="1:3" x14ac:dyDescent="0.25">
      <c r="A9" t="s">
        <v>578</v>
      </c>
      <c r="B9" s="21" t="s">
        <v>579</v>
      </c>
    </row>
    <row r="10" spans="1:3" x14ac:dyDescent="0.25">
      <c r="A10" t="s">
        <v>580</v>
      </c>
      <c r="B10" s="22" t="s">
        <v>581</v>
      </c>
    </row>
    <row r="13" spans="1:3" x14ac:dyDescent="0.25">
      <c r="A13" s="23" t="s">
        <v>582</v>
      </c>
      <c r="B13" s="23"/>
      <c r="C13" s="23"/>
    </row>
    <row r="14" spans="1:3" x14ac:dyDescent="0.25">
      <c r="A14" t="s">
        <v>583</v>
      </c>
      <c r="B14" s="20">
        <v>50000</v>
      </c>
      <c r="C14" t="s">
        <v>576</v>
      </c>
    </row>
    <row r="15" spans="1:3" x14ac:dyDescent="0.25">
      <c r="A15" t="s">
        <v>585</v>
      </c>
      <c r="B15" s="21" t="s">
        <v>588</v>
      </c>
    </row>
    <row r="16" spans="1:3" x14ac:dyDescent="0.25">
      <c r="A16" t="s">
        <v>584</v>
      </c>
      <c r="B16" s="21" t="s">
        <v>587</v>
      </c>
    </row>
    <row r="17" spans="1:3" x14ac:dyDescent="0.25">
      <c r="A17" t="s">
        <v>586</v>
      </c>
      <c r="B17" s="22" t="s">
        <v>581</v>
      </c>
    </row>
    <row r="20" spans="1:3" x14ac:dyDescent="0.25">
      <c r="A20" s="23" t="s">
        <v>589</v>
      </c>
      <c r="B20" s="23"/>
      <c r="C20" s="23"/>
    </row>
    <row r="21" spans="1:3" x14ac:dyDescent="0.25">
      <c r="A21" t="s">
        <v>590</v>
      </c>
      <c r="B21" s="20" t="s">
        <v>591</v>
      </c>
    </row>
    <row r="22" spans="1:3" x14ac:dyDescent="0.25">
      <c r="A22" t="s">
        <v>585</v>
      </c>
      <c r="B22" s="21" t="s">
        <v>592</v>
      </c>
    </row>
    <row r="23" spans="1:3" x14ac:dyDescent="0.25">
      <c r="A23" t="s">
        <v>593</v>
      </c>
      <c r="B23" s="21" t="s">
        <v>594</v>
      </c>
    </row>
    <row r="24" spans="1:3" x14ac:dyDescent="0.25">
      <c r="B24" s="22"/>
    </row>
  </sheetData>
  <pageMargins left="0.7" right="0.7" top="0.75" bottom="0.75" header="0.3" footer="0.3"/>
  <pageSetup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PDF" shapeId="3073" r:id="rId4">
          <objectPr defaultSize="0" autoPict="0" r:id="rId5">
            <anchor moveWithCells="1">
              <from>
                <xdr:col>7</xdr:col>
                <xdr:colOff>247650</xdr:colOff>
                <xdr:row>0</xdr:row>
                <xdr:rowOff>0</xdr:rowOff>
              </from>
              <to>
                <xdr:col>15</xdr:col>
                <xdr:colOff>161925</xdr:colOff>
                <xdr:row>35</xdr:row>
                <xdr:rowOff>114300</xdr:rowOff>
              </to>
            </anchor>
          </objectPr>
        </oleObject>
      </mc:Choice>
      <mc:Fallback>
        <oleObject progId="PDF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BANG_CHAM_CONG</vt:lpstr>
      <vt:lpstr>Data_Cong</vt:lpstr>
      <vt:lpstr>Data_NV</vt:lpstr>
      <vt:lpstr>NQ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</dc:title>
  <dc:creator>PC</dc:creator>
  <cp:lastModifiedBy>PC</cp:lastModifiedBy>
  <dcterms:created xsi:type="dcterms:W3CDTF">2025-10-01T07:04:14Z</dcterms:created>
  <dcterms:modified xsi:type="dcterms:W3CDTF">2025-10-01T10:35:19Z</dcterms:modified>
</cp:coreProperties>
</file>