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MAYCHUDELL\PKT - Copy 2\01 KTT\CHAM CONG\"/>
    </mc:Choice>
  </mc:AlternateContent>
  <xr:revisionPtr revIDLastSave="0" documentId="13_ncr:1_{62597BE2-8BEA-4D67-B87F-EDF029268C45}" xr6:coauthVersionLast="47" xr6:coauthVersionMax="47" xr10:uidLastSave="{00000000-0000-0000-0000-000000000000}"/>
  <bookViews>
    <workbookView xWindow="-120" yWindow="-120" windowWidth="29040" windowHeight="15720" xr2:uid="{7D0D8955-9970-4CC8-A9C3-9E0BDCE4E355}"/>
  </bookViews>
  <sheets>
    <sheet name="BANG_CHAM_CONG" sheetId="4" r:id="rId1"/>
    <sheet name="Data_Cong" sheetId="1" r:id="rId2"/>
    <sheet name="Data_NV" sheetId="2" state="hidden" r:id="rId3"/>
    <sheet name="NQ" sheetId="3" state="hidden" r:id="rId4"/>
  </sheets>
  <definedNames>
    <definedName name="_xlnm._FilterDatabase" localSheetId="1" hidden="1">Data_Cong!$A$2:$S$32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5" i="4" l="1"/>
  <c r="AE35" i="4"/>
  <c r="X35" i="4"/>
  <c r="Q35" i="4"/>
  <c r="J35" i="4"/>
  <c r="AH34" i="4"/>
  <c r="AE34" i="4"/>
  <c r="X34" i="4"/>
  <c r="Q34" i="4"/>
  <c r="J34" i="4"/>
  <c r="AH33" i="4"/>
  <c r="AE33" i="4"/>
  <c r="X33" i="4"/>
  <c r="Q33" i="4"/>
  <c r="J33" i="4"/>
  <c r="AH32" i="4"/>
  <c r="AE32" i="4"/>
  <c r="X32" i="4"/>
  <c r="Q32" i="4"/>
  <c r="J32" i="4"/>
  <c r="AH31" i="4"/>
  <c r="AE31" i="4"/>
  <c r="X31" i="4"/>
  <c r="Q31" i="4"/>
  <c r="J31" i="4"/>
  <c r="AH30" i="4"/>
  <c r="AE30" i="4"/>
  <c r="X30" i="4"/>
  <c r="Q30" i="4"/>
  <c r="J30" i="4"/>
  <c r="AH29" i="4"/>
  <c r="AE29" i="4"/>
  <c r="X29" i="4"/>
  <c r="Q29" i="4"/>
  <c r="J29" i="4"/>
  <c r="AH28" i="4"/>
  <c r="AE28" i="4"/>
  <c r="X28" i="4"/>
  <c r="Q28" i="4"/>
  <c r="J28" i="4"/>
  <c r="AH26" i="4"/>
  <c r="AE26" i="4"/>
  <c r="X26" i="4"/>
  <c r="Q26" i="4"/>
  <c r="J26" i="4"/>
  <c r="AH25" i="4"/>
  <c r="AE25" i="4"/>
  <c r="X25" i="4"/>
  <c r="Q25" i="4"/>
  <c r="J25" i="4"/>
  <c r="AH24" i="4"/>
  <c r="AE24" i="4"/>
  <c r="X24" i="4"/>
  <c r="Q24" i="4"/>
  <c r="J24" i="4"/>
  <c r="AH23" i="4"/>
  <c r="AE23" i="4"/>
  <c r="X23" i="4"/>
  <c r="Q23" i="4"/>
  <c r="J23" i="4"/>
  <c r="AH22" i="4"/>
  <c r="AE22" i="4"/>
  <c r="X22" i="4"/>
  <c r="Q22" i="4"/>
  <c r="J22" i="4"/>
  <c r="AH21" i="4"/>
  <c r="AE21" i="4"/>
  <c r="X21" i="4"/>
  <c r="Q21" i="4"/>
  <c r="J21" i="4"/>
  <c r="AH20" i="4"/>
  <c r="AE20" i="4"/>
  <c r="X20" i="4"/>
  <c r="Q20" i="4"/>
  <c r="J20" i="4"/>
  <c r="AH19" i="4"/>
  <c r="AE19" i="4"/>
  <c r="X19" i="4"/>
  <c r="Q19" i="4"/>
  <c r="J19" i="4"/>
  <c r="AH18" i="4"/>
  <c r="AE18" i="4"/>
  <c r="X18" i="4"/>
  <c r="Q18" i="4"/>
  <c r="J18" i="4"/>
  <c r="AH17" i="4"/>
  <c r="AE17" i="4"/>
  <c r="X17" i="4"/>
  <c r="Q17" i="4"/>
  <c r="J17" i="4"/>
  <c r="AH16" i="4"/>
  <c r="AE16" i="4"/>
  <c r="X16" i="4"/>
  <c r="Q16" i="4"/>
  <c r="J16" i="4"/>
  <c r="AH15" i="4"/>
  <c r="AE15" i="4"/>
  <c r="X15" i="4"/>
  <c r="Q15" i="4"/>
  <c r="J15" i="4"/>
  <c r="AH13" i="4"/>
  <c r="AE13" i="4"/>
  <c r="X13" i="4"/>
  <c r="Q13" i="4"/>
  <c r="J13" i="4"/>
  <c r="AH12" i="4"/>
  <c r="AE12" i="4"/>
  <c r="X12" i="4"/>
  <c r="Q12" i="4"/>
  <c r="J12" i="4"/>
  <c r="AH11" i="4"/>
  <c r="AE11" i="4"/>
  <c r="X11" i="4"/>
  <c r="Q11" i="4"/>
  <c r="J11" i="4"/>
  <c r="AH10" i="4"/>
  <c r="AE10" i="4"/>
  <c r="X10" i="4"/>
  <c r="Q10" i="4"/>
  <c r="J10" i="4"/>
  <c r="AH9" i="4"/>
  <c r="AE9" i="4"/>
  <c r="X9" i="4"/>
  <c r="Q9" i="4"/>
  <c r="J9" i="4"/>
  <c r="AH8" i="4"/>
  <c r="AE8" i="4"/>
  <c r="X8" i="4"/>
  <c r="Q8" i="4"/>
  <c r="J8" i="4"/>
  <c r="AH7" i="4"/>
  <c r="AE7" i="4"/>
  <c r="X7" i="4"/>
  <c r="Q7" i="4"/>
  <c r="J7" i="4"/>
  <c r="J6" i="4"/>
  <c r="Q6" i="4"/>
  <c r="X6" i="4"/>
  <c r="AE6" i="4"/>
  <c r="AH6" i="4"/>
  <c r="AL35" i="4"/>
  <c r="AL34" i="4"/>
  <c r="AL33" i="4"/>
  <c r="AL32" i="4"/>
  <c r="AL31" i="4"/>
  <c r="AL30" i="4"/>
  <c r="AL29" i="4"/>
  <c r="AL28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7" i="4"/>
  <c r="AL8" i="4"/>
  <c r="AL9" i="4"/>
  <c r="AL10" i="4"/>
  <c r="AL11" i="4"/>
  <c r="AL12" i="4"/>
  <c r="AL13" i="4"/>
  <c r="AL6" i="4"/>
  <c r="U3" i="1" l="1"/>
  <c r="U4" i="1"/>
  <c r="U5" i="1"/>
  <c r="U6" i="1"/>
  <c r="U7" i="1"/>
  <c r="U8" i="1"/>
  <c r="U9" i="1"/>
  <c r="AA9" i="1" s="1"/>
  <c r="U10" i="1"/>
  <c r="U11" i="1"/>
  <c r="U12" i="1"/>
  <c r="U13" i="1"/>
  <c r="U14" i="1"/>
  <c r="U15" i="1"/>
  <c r="U16" i="1"/>
  <c r="AA16" i="1" s="1"/>
  <c r="U17" i="1"/>
  <c r="U18" i="1"/>
  <c r="U19" i="1"/>
  <c r="U20" i="1"/>
  <c r="U21" i="1"/>
  <c r="U22" i="1"/>
  <c r="U23" i="1"/>
  <c r="AA23" i="1" s="1"/>
  <c r="U24" i="1"/>
  <c r="U25" i="1"/>
  <c r="U26" i="1"/>
  <c r="U27" i="1"/>
  <c r="U28" i="1"/>
  <c r="U29" i="1"/>
  <c r="U30" i="1"/>
  <c r="AA30" i="1" s="1"/>
  <c r="U31" i="1"/>
  <c r="U32" i="1"/>
  <c r="AG14" i="4"/>
  <c r="AN1" i="4"/>
  <c r="D3" i="4" s="1"/>
  <c r="R17" i="1" l="1"/>
  <c r="R3" i="1"/>
  <c r="R18" i="1"/>
  <c r="R32" i="1"/>
  <c r="R16" i="1"/>
  <c r="R4" i="1"/>
  <c r="R31" i="1"/>
  <c r="R15" i="1"/>
  <c r="R30" i="1"/>
  <c r="R14" i="1"/>
  <c r="R29" i="1"/>
  <c r="R13" i="1"/>
  <c r="R28" i="1"/>
  <c r="R12" i="1"/>
  <c r="R27" i="1"/>
  <c r="R11" i="1"/>
  <c r="R26" i="1"/>
  <c r="R10" i="1"/>
  <c r="R25" i="1"/>
  <c r="R9" i="1"/>
  <c r="R20" i="1"/>
  <c r="R24" i="1"/>
  <c r="R8" i="1"/>
  <c r="R19" i="1"/>
  <c r="R23" i="1"/>
  <c r="R7" i="1"/>
  <c r="R22" i="1"/>
  <c r="R6" i="1"/>
  <c r="R21" i="1"/>
  <c r="R5" i="1"/>
  <c r="E3" i="4"/>
  <c r="Y49" i="4"/>
  <c r="D4" i="4"/>
  <c r="E4" i="4" s="1"/>
  <c r="F4" i="4" s="1"/>
  <c r="G4" i="4" s="1"/>
  <c r="H4" i="4" s="1"/>
  <c r="I4" i="4" s="1"/>
  <c r="J4" i="4" s="1"/>
  <c r="K4" i="4" s="1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E21" i="4" l="1"/>
  <c r="D20" i="4"/>
  <c r="I8" i="4"/>
  <c r="E22" i="4"/>
  <c r="D21" i="4"/>
  <c r="O16" i="4"/>
  <c r="E23" i="4"/>
  <c r="D22" i="4"/>
  <c r="AA12" i="4"/>
  <c r="E24" i="4"/>
  <c r="D23" i="4"/>
  <c r="U25" i="4"/>
  <c r="E25" i="4"/>
  <c r="D24" i="4"/>
  <c r="E8" i="4"/>
  <c r="D7" i="4"/>
  <c r="K34" i="4"/>
  <c r="F11" i="4"/>
  <c r="E29" i="4"/>
  <c r="D28" i="4"/>
  <c r="E26" i="4"/>
  <c r="D25" i="4"/>
  <c r="AD19" i="4"/>
  <c r="M18" i="4"/>
  <c r="K16" i="4"/>
  <c r="G11" i="4"/>
  <c r="F10" i="4"/>
  <c r="E9" i="4"/>
  <c r="D8" i="4"/>
  <c r="S7" i="4"/>
  <c r="E6" i="4"/>
  <c r="G30" i="4"/>
  <c r="E28" i="4"/>
  <c r="D26" i="4"/>
  <c r="AC19" i="4"/>
  <c r="Z16" i="4"/>
  <c r="E10" i="4"/>
  <c r="D9" i="4"/>
  <c r="D35" i="4"/>
  <c r="AB20" i="4"/>
  <c r="T18" i="4"/>
  <c r="W17" i="4"/>
  <c r="D16" i="4"/>
  <c r="AF10" i="4"/>
  <c r="P9" i="4"/>
  <c r="AA20" i="4"/>
  <c r="AD10" i="4"/>
  <c r="Y6" i="4"/>
  <c r="D33" i="4"/>
  <c r="D31" i="4"/>
  <c r="T16" i="4"/>
  <c r="D18" i="4"/>
  <c r="F8" i="4"/>
  <c r="Y17" i="4"/>
  <c r="E34" i="4"/>
  <c r="E20" i="4"/>
  <c r="T17" i="4"/>
  <c r="D15" i="4"/>
  <c r="E13" i="4"/>
  <c r="P8" i="4"/>
  <c r="P25" i="4"/>
  <c r="AF12" i="4"/>
  <c r="V19" i="4"/>
  <c r="E17" i="4"/>
  <c r="AD8" i="4"/>
  <c r="D17" i="4"/>
  <c r="D11" i="4"/>
  <c r="N7" i="4"/>
  <c r="R9" i="4"/>
  <c r="E35" i="4"/>
  <c r="G20" i="4"/>
  <c r="D34" i="4"/>
  <c r="E33" i="4"/>
  <c r="AB25" i="4"/>
  <c r="H19" i="4"/>
  <c r="U17" i="4"/>
  <c r="E15" i="4"/>
  <c r="D10" i="4"/>
  <c r="G19" i="4"/>
  <c r="AC10" i="4"/>
  <c r="Z10" i="4"/>
  <c r="E30" i="4"/>
  <c r="Z19" i="4"/>
  <c r="AD6" i="4"/>
  <c r="D29" i="4"/>
  <c r="E12" i="4"/>
  <c r="N25" i="4"/>
  <c r="U19" i="4"/>
  <c r="D6" i="4"/>
  <c r="L24" i="4"/>
  <c r="T12" i="4"/>
  <c r="E32" i="4"/>
  <c r="F19" i="4"/>
  <c r="R11" i="4"/>
  <c r="AB10" i="4"/>
  <c r="E7" i="4"/>
  <c r="D32" i="4"/>
  <c r="E31" i="4"/>
  <c r="Z24" i="4"/>
  <c r="E19" i="4"/>
  <c r="AC6" i="4"/>
  <c r="G18" i="4"/>
  <c r="I6" i="4"/>
  <c r="N11" i="4"/>
  <c r="AD12" i="4"/>
  <c r="N10" i="4"/>
  <c r="F16" i="4"/>
  <c r="AG7" i="4"/>
  <c r="E16" i="4"/>
  <c r="L10" i="4"/>
  <c r="K9" i="4"/>
  <c r="D19" i="4"/>
  <c r="E18" i="4"/>
  <c r="D12" i="4"/>
  <c r="G17" i="4"/>
  <c r="L25" i="4"/>
  <c r="E11" i="4"/>
  <c r="I20" i="4"/>
  <c r="AF25" i="4"/>
  <c r="M7" i="4"/>
  <c r="D13" i="4"/>
  <c r="S10" i="4"/>
  <c r="W9" i="4"/>
  <c r="D30" i="4"/>
  <c r="AC9" i="4"/>
  <c r="W19" i="4"/>
  <c r="G16" i="4"/>
  <c r="AD11" i="4"/>
  <c r="T19" i="4"/>
  <c r="S19" i="4"/>
  <c r="AC7" i="4"/>
  <c r="O7" i="4"/>
  <c r="O8" i="4"/>
  <c r="U8" i="4"/>
  <c r="O12" i="4"/>
  <c r="AG17" i="4"/>
  <c r="M19" i="4"/>
  <c r="V6" i="4"/>
  <c r="P20" i="4"/>
  <c r="AG19" i="4"/>
  <c r="O20" i="4"/>
  <c r="AF19" i="4"/>
  <c r="L19" i="4"/>
  <c r="W10" i="4"/>
  <c r="Y8" i="4"/>
  <c r="O19" i="4"/>
  <c r="K19" i="4"/>
  <c r="Y20" i="4"/>
  <c r="U11" i="4"/>
  <c r="Y19" i="4"/>
  <c r="I19" i="4"/>
  <c r="AD9" i="4"/>
  <c r="AJ15" i="4"/>
  <c r="AJ6" i="4"/>
  <c r="AJ28" i="4"/>
  <c r="F3" i="4"/>
  <c r="AB27" i="1"/>
  <c r="AF27" i="1" s="1"/>
  <c r="AH27" i="1" s="1"/>
  <c r="AC27" i="1"/>
  <c r="AG27" i="1" s="1"/>
  <c r="AB11" i="1"/>
  <c r="AF11" i="1" s="1"/>
  <c r="AH11" i="1" s="1"/>
  <c r="AC11" i="1"/>
  <c r="AG11" i="1" s="1"/>
  <c r="AA11" i="1" s="1"/>
  <c r="L35" i="4" s="1"/>
  <c r="F29" i="4"/>
  <c r="AD25" i="4"/>
  <c r="R6" i="4"/>
  <c r="N12" i="4"/>
  <c r="AB24" i="4"/>
  <c r="Z33" i="4"/>
  <c r="AF11" i="4"/>
  <c r="P11" i="4"/>
  <c r="V7" i="4"/>
  <c r="F7" i="4"/>
  <c r="P10" i="4"/>
  <c r="Z8" i="4"/>
  <c r="V9" i="4"/>
  <c r="F9" i="4"/>
  <c r="Z17" i="4"/>
  <c r="H16" i="4"/>
  <c r="T20" i="4"/>
  <c r="AD26" i="1"/>
  <c r="AB26" i="1"/>
  <c r="AF26" i="1" s="1"/>
  <c r="AH26" i="1" s="1"/>
  <c r="AC26" i="1"/>
  <c r="AG26" i="1" s="1"/>
  <c r="AD10" i="1"/>
  <c r="AB10" i="1"/>
  <c r="AF10" i="1" s="1"/>
  <c r="AH10" i="1" s="1"/>
  <c r="AC10" i="1"/>
  <c r="AG10" i="1" s="1"/>
  <c r="AA10" i="1" s="1"/>
  <c r="K35" i="4" s="1"/>
  <c r="AC25" i="4"/>
  <c r="M25" i="4"/>
  <c r="AG6" i="4"/>
  <c r="AC12" i="4"/>
  <c r="M12" i="4"/>
  <c r="AA24" i="4"/>
  <c r="K24" i="4"/>
  <c r="O11" i="4"/>
  <c r="U7" i="4"/>
  <c r="O10" i="4"/>
  <c r="S18" i="4"/>
  <c r="W26" i="4"/>
  <c r="U9" i="4"/>
  <c r="I17" i="4"/>
  <c r="W16" i="4"/>
  <c r="S20" i="4"/>
  <c r="AB25" i="1"/>
  <c r="AF25" i="1" s="1"/>
  <c r="AH25" i="1" s="1"/>
  <c r="AC25" i="1"/>
  <c r="AG25" i="1" s="1"/>
  <c r="AB9" i="1"/>
  <c r="AF9" i="1" s="1"/>
  <c r="AH9" i="1" s="1"/>
  <c r="AC9" i="1"/>
  <c r="AG9" i="1" s="1"/>
  <c r="AF6" i="4"/>
  <c r="P6" i="4"/>
  <c r="AB12" i="4"/>
  <c r="L12" i="4"/>
  <c r="T7" i="4"/>
  <c r="R18" i="4"/>
  <c r="H8" i="4"/>
  <c r="V26" i="4"/>
  <c r="T9" i="4"/>
  <c r="H17" i="4"/>
  <c r="V16" i="4"/>
  <c r="R20" i="4"/>
  <c r="AB24" i="1"/>
  <c r="AF24" i="1" s="1"/>
  <c r="AH24" i="1" s="1"/>
  <c r="AC24" i="1"/>
  <c r="AG24" i="1" s="1"/>
  <c r="AB8" i="1"/>
  <c r="AF8" i="1" s="1"/>
  <c r="AH8" i="1" s="1"/>
  <c r="AC8" i="1"/>
  <c r="AG8" i="1" s="1"/>
  <c r="AA8" i="1" s="1"/>
  <c r="I35" i="4" s="1"/>
  <c r="AA25" i="4"/>
  <c r="K25" i="4"/>
  <c r="O6" i="4"/>
  <c r="K12" i="4"/>
  <c r="Y24" i="4"/>
  <c r="I24" i="4"/>
  <c r="AC11" i="4"/>
  <c r="M11" i="4"/>
  <c r="M10" i="4"/>
  <c r="AG18" i="4"/>
  <c r="W8" i="4"/>
  <c r="G8" i="4"/>
  <c r="U26" i="4"/>
  <c r="S9" i="4"/>
  <c r="U16" i="4"/>
  <c r="AG20" i="4"/>
  <c r="AB23" i="1"/>
  <c r="AF23" i="1" s="1"/>
  <c r="AH23" i="1" s="1"/>
  <c r="AC23" i="1"/>
  <c r="AG23" i="1" s="1"/>
  <c r="AB7" i="1"/>
  <c r="AF7" i="1" s="1"/>
  <c r="AH7" i="1" s="1"/>
  <c r="AC7" i="1"/>
  <c r="AG7" i="1" s="1"/>
  <c r="AA7" i="1" s="1"/>
  <c r="H35" i="4" s="1"/>
  <c r="Z25" i="4"/>
  <c r="N6" i="4"/>
  <c r="Z12" i="4"/>
  <c r="H24" i="4"/>
  <c r="AB11" i="4"/>
  <c r="L11" i="4"/>
  <c r="R7" i="4"/>
  <c r="AF18" i="4"/>
  <c r="P18" i="4"/>
  <c r="V8" i="4"/>
  <c r="T26" i="4"/>
  <c r="V17" i="4"/>
  <c r="F17" i="4"/>
  <c r="R19" i="4"/>
  <c r="AF20" i="4"/>
  <c r="AD22" i="1"/>
  <c r="AB22" i="1"/>
  <c r="AF22" i="1" s="1"/>
  <c r="AH22" i="1" s="1"/>
  <c r="AC22" i="1"/>
  <c r="AG22" i="1" s="1"/>
  <c r="AD6" i="1"/>
  <c r="AB6" i="1"/>
  <c r="AF6" i="1" s="1"/>
  <c r="AH6" i="1" s="1"/>
  <c r="AC6" i="1"/>
  <c r="AG6" i="1" s="1"/>
  <c r="AA6" i="1" s="1"/>
  <c r="G35" i="4" s="1"/>
  <c r="Y25" i="4"/>
  <c r="I25" i="4"/>
  <c r="M6" i="4"/>
  <c r="Y12" i="4"/>
  <c r="I12" i="4"/>
  <c r="W24" i="4"/>
  <c r="G24" i="4"/>
  <c r="AA11" i="4"/>
  <c r="K11" i="4"/>
  <c r="AA10" i="4"/>
  <c r="K10" i="4"/>
  <c r="O18" i="4"/>
  <c r="S26" i="4"/>
  <c r="AG9" i="4"/>
  <c r="S16" i="4"/>
  <c r="AD21" i="1"/>
  <c r="AB21" i="1"/>
  <c r="AF21" i="1" s="1"/>
  <c r="AH21" i="1" s="1"/>
  <c r="AC21" i="1"/>
  <c r="AG21" i="1" s="1"/>
  <c r="AD5" i="1"/>
  <c r="AB5" i="1"/>
  <c r="AF5" i="1" s="1"/>
  <c r="AH5" i="1" s="1"/>
  <c r="AC5" i="1"/>
  <c r="AG5" i="1" s="1"/>
  <c r="AA5" i="1" s="1"/>
  <c r="F35" i="4" s="1"/>
  <c r="R28" i="4"/>
  <c r="H25" i="4"/>
  <c r="AB6" i="4"/>
  <c r="L6" i="4"/>
  <c r="H12" i="4"/>
  <c r="V24" i="4"/>
  <c r="F24" i="4"/>
  <c r="Z11" i="4"/>
  <c r="AF7" i="4"/>
  <c r="P7" i="4"/>
  <c r="AD18" i="4"/>
  <c r="N18" i="4"/>
  <c r="F32" i="4"/>
  <c r="T8" i="4"/>
  <c r="AF9" i="4"/>
  <c r="R16" i="4"/>
  <c r="P19" i="4"/>
  <c r="AD20" i="4"/>
  <c r="N20" i="4"/>
  <c r="AD20" i="1"/>
  <c r="AB20" i="1"/>
  <c r="AF20" i="1" s="1"/>
  <c r="AH20" i="1" s="1"/>
  <c r="AC20" i="1"/>
  <c r="AG20" i="1" s="1"/>
  <c r="AD4" i="1"/>
  <c r="AB4" i="1"/>
  <c r="AF4" i="1" s="1"/>
  <c r="AH4" i="1" s="1"/>
  <c r="AC4" i="1"/>
  <c r="AG4" i="1" s="1"/>
  <c r="W25" i="4"/>
  <c r="G25" i="4"/>
  <c r="AA6" i="4"/>
  <c r="K6" i="4"/>
  <c r="W12" i="4"/>
  <c r="G12" i="4"/>
  <c r="U24" i="4"/>
  <c r="Y11" i="4"/>
  <c r="I11" i="4"/>
  <c r="Y10" i="4"/>
  <c r="I10" i="4"/>
  <c r="AC18" i="4"/>
  <c r="S8" i="4"/>
  <c r="O9" i="4"/>
  <c r="S17" i="4"/>
  <c r="AG16" i="4"/>
  <c r="AC20" i="4"/>
  <c r="M20" i="4"/>
  <c r="AD19" i="1"/>
  <c r="AB19" i="1"/>
  <c r="AF19" i="1" s="1"/>
  <c r="AH19" i="1" s="1"/>
  <c r="AC19" i="1"/>
  <c r="AG19" i="1" s="1"/>
  <c r="AD3" i="1"/>
  <c r="AB3" i="1"/>
  <c r="AF3" i="1" s="1"/>
  <c r="AC3" i="1"/>
  <c r="AG3" i="1" s="1"/>
  <c r="P28" i="4"/>
  <c r="V25" i="4"/>
  <c r="F25" i="4"/>
  <c r="AF34" i="4"/>
  <c r="V12" i="4"/>
  <c r="F12" i="4"/>
  <c r="T24" i="4"/>
  <c r="H11" i="4"/>
  <c r="AD7" i="4"/>
  <c r="H10" i="4"/>
  <c r="AB18" i="4"/>
  <c r="L18" i="4"/>
  <c r="R8" i="4"/>
  <c r="N9" i="4"/>
  <c r="R17" i="4"/>
  <c r="AF16" i="4"/>
  <c r="P16" i="4"/>
  <c r="N19" i="4"/>
  <c r="L20" i="4"/>
  <c r="AB18" i="1"/>
  <c r="AF18" i="1" s="1"/>
  <c r="AH18" i="1" s="1"/>
  <c r="AC18" i="1"/>
  <c r="AG18" i="1" s="1"/>
  <c r="U12" i="4"/>
  <c r="W11" i="4"/>
  <c r="G10" i="4"/>
  <c r="AA18" i="4"/>
  <c r="K18" i="4"/>
  <c r="AG8" i="4"/>
  <c r="M9" i="4"/>
  <c r="K20" i="4"/>
  <c r="AB17" i="1"/>
  <c r="AF17" i="1" s="1"/>
  <c r="AH17" i="1" s="1"/>
  <c r="AC17" i="1"/>
  <c r="AG17" i="1" s="1"/>
  <c r="T25" i="4"/>
  <c r="AD34" i="4"/>
  <c r="H6" i="4"/>
  <c r="R24" i="4"/>
  <c r="V11" i="4"/>
  <c r="AB7" i="4"/>
  <c r="L7" i="4"/>
  <c r="V10" i="4"/>
  <c r="Z18" i="4"/>
  <c r="AF8" i="4"/>
  <c r="AB9" i="4"/>
  <c r="L9" i="4"/>
  <c r="AF17" i="4"/>
  <c r="P17" i="4"/>
  <c r="AD16" i="4"/>
  <c r="N16" i="4"/>
  <c r="AB19" i="4"/>
  <c r="Z20" i="4"/>
  <c r="AB32" i="1"/>
  <c r="AF32" i="1" s="1"/>
  <c r="AH32" i="1" s="1"/>
  <c r="AC32" i="1"/>
  <c r="AG32" i="1" s="1"/>
  <c r="AB16" i="1"/>
  <c r="AF16" i="1" s="1"/>
  <c r="AH16" i="1" s="1"/>
  <c r="AC16" i="1"/>
  <c r="AG16" i="1" s="1"/>
  <c r="S25" i="4"/>
  <c r="M34" i="4"/>
  <c r="W6" i="4"/>
  <c r="G6" i="4"/>
  <c r="S12" i="4"/>
  <c r="AG24" i="4"/>
  <c r="AA7" i="4"/>
  <c r="K7" i="4"/>
  <c r="U10" i="4"/>
  <c r="Y18" i="4"/>
  <c r="I18" i="4"/>
  <c r="AA9" i="4"/>
  <c r="O17" i="4"/>
  <c r="AC16" i="4"/>
  <c r="M16" i="4"/>
  <c r="AA19" i="4"/>
  <c r="AB31" i="1"/>
  <c r="AF31" i="1" s="1"/>
  <c r="AH31" i="1" s="1"/>
  <c r="AC31" i="1"/>
  <c r="AB15" i="1"/>
  <c r="AF15" i="1" s="1"/>
  <c r="AH15" i="1" s="1"/>
  <c r="AC15" i="1"/>
  <c r="AG15" i="1" s="1"/>
  <c r="R25" i="4"/>
  <c r="L34" i="4"/>
  <c r="F6" i="4"/>
  <c r="R12" i="4"/>
  <c r="AF24" i="4"/>
  <c r="P24" i="4"/>
  <c r="T11" i="4"/>
  <c r="Z7" i="4"/>
  <c r="T10" i="4"/>
  <c r="H18" i="4"/>
  <c r="N8" i="4"/>
  <c r="Z9" i="4"/>
  <c r="AD17" i="4"/>
  <c r="N17" i="4"/>
  <c r="AB16" i="4"/>
  <c r="L16" i="4"/>
  <c r="H20" i="4"/>
  <c r="AB30" i="1"/>
  <c r="AF30" i="1" s="1"/>
  <c r="AH30" i="1" s="1"/>
  <c r="AC30" i="1"/>
  <c r="AG30" i="1" s="1"/>
  <c r="AB14" i="1"/>
  <c r="AF14" i="1" s="1"/>
  <c r="AH14" i="1" s="1"/>
  <c r="AC14" i="1"/>
  <c r="AG14" i="1" s="1"/>
  <c r="AG25" i="4"/>
  <c r="U6" i="4"/>
  <c r="AG12" i="4"/>
  <c r="O24" i="4"/>
  <c r="S11" i="4"/>
  <c r="Y7" i="4"/>
  <c r="I7" i="4"/>
  <c r="W18" i="4"/>
  <c r="AC8" i="4"/>
  <c r="M8" i="4"/>
  <c r="Y9" i="4"/>
  <c r="I9" i="4"/>
  <c r="AC17" i="4"/>
  <c r="M17" i="4"/>
  <c r="AA16" i="4"/>
  <c r="W20" i="4"/>
  <c r="AD29" i="1"/>
  <c r="AB29" i="1"/>
  <c r="AF29" i="1" s="1"/>
  <c r="AH29" i="1" s="1"/>
  <c r="AC29" i="1"/>
  <c r="AG29" i="1" s="1"/>
  <c r="AD13" i="1"/>
  <c r="AB13" i="1"/>
  <c r="AF13" i="1" s="1"/>
  <c r="AH13" i="1" s="1"/>
  <c r="AC13" i="1"/>
  <c r="AG13" i="1" s="1"/>
  <c r="AB30" i="4"/>
  <c r="T6" i="4"/>
  <c r="P12" i="4"/>
  <c r="AD24" i="4"/>
  <c r="N24" i="4"/>
  <c r="H7" i="4"/>
  <c r="R10" i="4"/>
  <c r="V18" i="4"/>
  <c r="F18" i="4"/>
  <c r="AB8" i="4"/>
  <c r="L8" i="4"/>
  <c r="H9" i="4"/>
  <c r="AB17" i="4"/>
  <c r="L17" i="4"/>
  <c r="V20" i="4"/>
  <c r="F20" i="4"/>
  <c r="AB28" i="1"/>
  <c r="AF28" i="1" s="1"/>
  <c r="AH28" i="1" s="1"/>
  <c r="AC28" i="1"/>
  <c r="AG28" i="1" s="1"/>
  <c r="AB12" i="1"/>
  <c r="AF12" i="1" s="1"/>
  <c r="AH12" i="1" s="1"/>
  <c r="AC12" i="1"/>
  <c r="AG12" i="1" s="1"/>
  <c r="O25" i="4"/>
  <c r="S6" i="4"/>
  <c r="AC24" i="4"/>
  <c r="M24" i="4"/>
  <c r="AA33" i="4"/>
  <c r="AG11" i="4"/>
  <c r="W7" i="4"/>
  <c r="G7" i="4"/>
  <c r="AG10" i="4"/>
  <c r="U18" i="4"/>
  <c r="AA8" i="4"/>
  <c r="K8" i="4"/>
  <c r="G9" i="4"/>
  <c r="AA17" i="4"/>
  <c r="K17" i="4"/>
  <c r="Y16" i="4"/>
  <c r="I16" i="4"/>
  <c r="U20" i="4"/>
  <c r="AD23" i="1"/>
  <c r="AD7" i="1"/>
  <c r="AD28" i="1"/>
  <c r="AD12" i="1"/>
  <c r="AD27" i="1"/>
  <c r="AD11" i="1"/>
  <c r="AD16" i="1"/>
  <c r="AD30" i="1"/>
  <c r="AD14" i="1"/>
  <c r="AD24" i="1"/>
  <c r="AD8" i="1"/>
  <c r="AD25" i="1"/>
  <c r="AD9" i="1"/>
  <c r="AD15" i="1"/>
  <c r="AD17" i="1"/>
  <c r="AD18" i="1"/>
  <c r="AD32" i="1"/>
  <c r="AD31" i="1"/>
  <c r="AE17" i="1"/>
  <c r="AE28" i="1"/>
  <c r="AE27" i="1"/>
  <c r="AE11" i="1"/>
  <c r="AE12" i="1"/>
  <c r="AE26" i="1"/>
  <c r="AE10" i="1"/>
  <c r="AE25" i="1"/>
  <c r="AE9" i="1"/>
  <c r="AE22" i="1"/>
  <c r="AE6" i="1"/>
  <c r="AE21" i="1"/>
  <c r="AE5" i="1"/>
  <c r="AE20" i="1"/>
  <c r="AE4" i="1"/>
  <c r="AE29" i="1"/>
  <c r="AE19" i="1"/>
  <c r="AE3" i="1"/>
  <c r="AE18" i="1"/>
  <c r="AE32" i="1"/>
  <c r="AE16" i="1"/>
  <c r="AE30" i="1"/>
  <c r="AE15" i="1"/>
  <c r="AE14" i="1"/>
  <c r="AE13" i="1"/>
  <c r="AE31" i="1"/>
  <c r="AE24" i="1"/>
  <c r="AE8" i="1"/>
  <c r="AE23" i="1"/>
  <c r="AE7" i="1"/>
  <c r="S34" i="4" l="1"/>
  <c r="T34" i="4"/>
  <c r="U34" i="4"/>
  <c r="O28" i="4"/>
  <c r="AA22" i="1"/>
  <c r="W35" i="4" s="1"/>
  <c r="AA19" i="1"/>
  <c r="T35" i="4" s="1"/>
  <c r="AA26" i="1"/>
  <c r="AA35" i="4" s="1"/>
  <c r="V29" i="4"/>
  <c r="U23" i="4"/>
  <c r="U21" i="4"/>
  <c r="M33" i="4"/>
  <c r="I29" i="4"/>
  <c r="F21" i="4"/>
  <c r="F31" i="4"/>
  <c r="G21" i="4"/>
  <c r="K29" i="4"/>
  <c r="G31" i="4"/>
  <c r="M29" i="4"/>
  <c r="Y31" i="4"/>
  <c r="AG28" i="4"/>
  <c r="T33" i="4"/>
  <c r="AB31" i="4"/>
  <c r="M31" i="4"/>
  <c r="AA27" i="1"/>
  <c r="AB35" i="4" s="1"/>
  <c r="AA12" i="1"/>
  <c r="M35" i="4" s="1"/>
  <c r="AA20" i="1"/>
  <c r="U35" i="4" s="1"/>
  <c r="W22" i="4"/>
  <c r="R26" i="4"/>
  <c r="AB21" i="4"/>
  <c r="AA21" i="1"/>
  <c r="V35" i="4" s="1"/>
  <c r="M21" i="4"/>
  <c r="AC22" i="4"/>
  <c r="AD22" i="4"/>
  <c r="G34" i="4"/>
  <c r="L32" i="4"/>
  <c r="N13" i="4"/>
  <c r="AA29" i="1"/>
  <c r="AD35" i="4" s="1"/>
  <c r="K30" i="4"/>
  <c r="AD32" i="4"/>
  <c r="AF13" i="4"/>
  <c r="N33" i="4"/>
  <c r="O33" i="4"/>
  <c r="P33" i="4"/>
  <c r="AB29" i="4"/>
  <c r="I15" i="4"/>
  <c r="K23" i="4"/>
  <c r="AG33" i="4"/>
  <c r="N29" i="4"/>
  <c r="H13" i="4"/>
  <c r="V33" i="4"/>
  <c r="Y33" i="4"/>
  <c r="K21" i="4"/>
  <c r="AA17" i="1"/>
  <c r="R35" i="4" s="1"/>
  <c r="N31" i="4"/>
  <c r="F26" i="4"/>
  <c r="AF21" i="4"/>
  <c r="G26" i="4"/>
  <c r="P22" i="4"/>
  <c r="AA14" i="1"/>
  <c r="O35" i="4" s="1"/>
  <c r="AA15" i="1"/>
  <c r="P35" i="4" s="1"/>
  <c r="AA18" i="1"/>
  <c r="S35" i="4" s="1"/>
  <c r="AA24" i="1"/>
  <c r="Y35" i="4" s="1"/>
  <c r="AA25" i="1"/>
  <c r="Z35" i="4" s="1"/>
  <c r="AA28" i="1"/>
  <c r="AC35" i="4" s="1"/>
  <c r="AA13" i="1"/>
  <c r="N35" i="4" s="1"/>
  <c r="I28" i="4"/>
  <c r="H31" i="4"/>
  <c r="Y21" i="4"/>
  <c r="U32" i="4"/>
  <c r="N23" i="4"/>
  <c r="AD21" i="4"/>
  <c r="G33" i="4"/>
  <c r="S29" i="4"/>
  <c r="T29" i="4"/>
  <c r="AF31" i="4"/>
  <c r="R21" i="4"/>
  <c r="U28" i="4"/>
  <c r="L13" i="4"/>
  <c r="AG15" i="4"/>
  <c r="U29" i="4"/>
  <c r="R31" i="4"/>
  <c r="Z34" i="4"/>
  <c r="U15" i="4"/>
  <c r="W23" i="4"/>
  <c r="AA28" i="4"/>
  <c r="V15" i="4"/>
  <c r="H23" i="4"/>
  <c r="AB28" i="4"/>
  <c r="W15" i="4"/>
  <c r="I23" i="4"/>
  <c r="AC28" i="4"/>
  <c r="Z23" i="4"/>
  <c r="T30" i="4"/>
  <c r="AD15" i="4"/>
  <c r="H32" i="4"/>
  <c r="AF23" i="4"/>
  <c r="AB13" i="4"/>
  <c r="H30" i="4"/>
  <c r="K32" i="4"/>
  <c r="Z22" i="4"/>
  <c r="G22" i="4"/>
  <c r="S33" i="4"/>
  <c r="AA22" i="4"/>
  <c r="N22" i="4"/>
  <c r="S21" i="4"/>
  <c r="H29" i="4"/>
  <c r="AG13" i="4"/>
  <c r="AC30" i="4"/>
  <c r="AF32" i="4"/>
  <c r="R13" i="4"/>
  <c r="AD30" i="4"/>
  <c r="AG32" i="4"/>
  <c r="F22" i="4"/>
  <c r="O34" i="4"/>
  <c r="AG30" i="4"/>
  <c r="H22" i="4"/>
  <c r="AF28" i="4"/>
  <c r="L22" i="4"/>
  <c r="V34" i="4"/>
  <c r="Z13" i="4"/>
  <c r="I30" i="4"/>
  <c r="W29" i="4"/>
  <c r="Z26" i="4"/>
  <c r="F23" i="4"/>
  <c r="AB34" i="4"/>
  <c r="I21" i="4"/>
  <c r="AC23" i="4"/>
  <c r="AC21" i="4"/>
  <c r="O21" i="4"/>
  <c r="P21" i="4"/>
  <c r="W34" i="4"/>
  <c r="AB32" i="4"/>
  <c r="AD13" i="4"/>
  <c r="U33" i="4"/>
  <c r="AH3" i="1"/>
  <c r="G23" i="4"/>
  <c r="I13" i="4"/>
  <c r="AJ35" i="4"/>
  <c r="S31" i="4"/>
  <c r="V22" i="4"/>
  <c r="P34" i="4"/>
  <c r="Y30" i="4"/>
  <c r="Y26" i="4"/>
  <c r="T22" i="4"/>
  <c r="U22" i="4"/>
  <c r="AA32" i="1"/>
  <c r="AG35" i="4" s="1"/>
  <c r="L15" i="4"/>
  <c r="AF29" i="4"/>
  <c r="L31" i="4"/>
  <c r="N21" i="4"/>
  <c r="H33" i="4"/>
  <c r="P31" i="4"/>
  <c r="H34" i="4"/>
  <c r="AC33" i="4"/>
  <c r="AC32" i="4"/>
  <c r="L30" i="4"/>
  <c r="AA26" i="4"/>
  <c r="K28" i="4"/>
  <c r="AB26" i="4"/>
  <c r="AD33" i="4"/>
  <c r="L28" i="4"/>
  <c r="AC26" i="4"/>
  <c r="M28" i="4"/>
  <c r="H15" i="4"/>
  <c r="AD26" i="4"/>
  <c r="AF33" i="4"/>
  <c r="R33" i="4"/>
  <c r="AG34" i="4"/>
  <c r="V28" i="4"/>
  <c r="K22" i="4"/>
  <c r="F30" i="4"/>
  <c r="Y32" i="4"/>
  <c r="Z32" i="4"/>
  <c r="M13" i="4"/>
  <c r="AG31" i="4"/>
  <c r="AG22" i="4"/>
  <c r="O32" i="4"/>
  <c r="M30" i="4"/>
  <c r="P32" i="4"/>
  <c r="N30" i="4"/>
  <c r="Y23" i="4"/>
  <c r="O30" i="4"/>
  <c r="R32" i="4"/>
  <c r="T32" i="4"/>
  <c r="AB23" i="4"/>
  <c r="O29" i="4"/>
  <c r="R34" i="4"/>
  <c r="U30" i="4"/>
  <c r="W30" i="4"/>
  <c r="F34" i="4"/>
  <c r="AA32" i="4"/>
  <c r="W28" i="4"/>
  <c r="H28" i="4"/>
  <c r="G29" i="4"/>
  <c r="AB33" i="4"/>
  <c r="N34" i="4"/>
  <c r="AF30" i="4"/>
  <c r="AA15" i="4"/>
  <c r="M23" i="4"/>
  <c r="I26" i="4"/>
  <c r="AA34" i="4"/>
  <c r="V13" i="4"/>
  <c r="R30" i="4"/>
  <c r="AA31" i="4"/>
  <c r="P29" i="4"/>
  <c r="K26" i="4"/>
  <c r="AA13" i="4"/>
  <c r="G13" i="4"/>
  <c r="Y28" i="4"/>
  <c r="N32" i="4"/>
  <c r="P13" i="4"/>
  <c r="L29" i="4"/>
  <c r="O26" i="4"/>
  <c r="AG29" i="4"/>
  <c r="F33" i="4"/>
  <c r="R29" i="4"/>
  <c r="AD31" i="4"/>
  <c r="I33" i="4"/>
  <c r="AF22" i="4"/>
  <c r="M32" i="4"/>
  <c r="O13" i="4"/>
  <c r="Z28" i="4"/>
  <c r="T31" i="4"/>
  <c r="U31" i="4"/>
  <c r="L26" i="4"/>
  <c r="V21" i="4"/>
  <c r="Z29" i="4"/>
  <c r="V31" i="4"/>
  <c r="M26" i="4"/>
  <c r="W21" i="4"/>
  <c r="AA29" i="4"/>
  <c r="N26" i="4"/>
  <c r="AC29" i="4"/>
  <c r="AF26" i="4"/>
  <c r="Z21" i="4"/>
  <c r="S30" i="4"/>
  <c r="V32" i="4"/>
  <c r="AC31" i="4"/>
  <c r="W33" i="4"/>
  <c r="P15" i="4"/>
  <c r="R23" i="4"/>
  <c r="F28" i="4"/>
  <c r="AG21" i="4"/>
  <c r="W31" i="4"/>
  <c r="Y22" i="4"/>
  <c r="AA30" i="4"/>
  <c r="R22" i="4"/>
  <c r="F15" i="4"/>
  <c r="N28" i="4"/>
  <c r="Y15" i="4"/>
  <c r="AA23" i="4"/>
  <c r="Z15" i="4"/>
  <c r="AD29" i="4"/>
  <c r="N15" i="4"/>
  <c r="T28" i="4"/>
  <c r="I32" i="4"/>
  <c r="AF15" i="4"/>
  <c r="H26" i="4"/>
  <c r="G28" i="4"/>
  <c r="Y34" i="4"/>
  <c r="AD28" i="4"/>
  <c r="S32" i="4"/>
  <c r="Y13" i="4"/>
  <c r="T21" i="4"/>
  <c r="L33" i="4"/>
  <c r="U13" i="4"/>
  <c r="AG26" i="4"/>
  <c r="L21" i="4"/>
  <c r="M22" i="4"/>
  <c r="R15" i="4"/>
  <c r="T23" i="4"/>
  <c r="Y29" i="4"/>
  <c r="P26" i="4"/>
  <c r="I22" i="4"/>
  <c r="Z31" i="4"/>
  <c r="O22" i="4"/>
  <c r="G32" i="4"/>
  <c r="S28" i="4"/>
  <c r="I34" i="4"/>
  <c r="W32" i="4"/>
  <c r="AG23" i="4"/>
  <c r="AA21" i="4"/>
  <c r="T15" i="4"/>
  <c r="O31" i="4"/>
  <c r="V30" i="4"/>
  <c r="AC13" i="4"/>
  <c r="S13" i="4"/>
  <c r="T13" i="4"/>
  <c r="F13" i="4"/>
  <c r="K31" i="4"/>
  <c r="K33" i="4"/>
  <c r="S22" i="4"/>
  <c r="AB22" i="4"/>
  <c r="H21" i="4"/>
  <c r="Z30" i="4"/>
  <c r="Z6" i="4"/>
  <c r="AJ9" i="4"/>
  <c r="AJ33" i="4"/>
  <c r="AK30" i="4"/>
  <c r="AK28" i="4"/>
  <c r="AJ20" i="4"/>
  <c r="S24" i="4"/>
  <c r="AP18" i="4"/>
  <c r="AK6" i="4"/>
  <c r="AK26" i="4"/>
  <c r="AJ8" i="4"/>
  <c r="AJ19" i="4"/>
  <c r="AK32" i="4"/>
  <c r="AK24" i="4"/>
  <c r="AJ26" i="4"/>
  <c r="AK12" i="4"/>
  <c r="AK17" i="4"/>
  <c r="AK19" i="4"/>
  <c r="AK21" i="4"/>
  <c r="AK23" i="4"/>
  <c r="AK13" i="4"/>
  <c r="AK7" i="4"/>
  <c r="AK16" i="4"/>
  <c r="AK20" i="4"/>
  <c r="AK10" i="4"/>
  <c r="AK34" i="4"/>
  <c r="AP22" i="4"/>
  <c r="AK8" i="4"/>
  <c r="AP9" i="4"/>
  <c r="AJ18" i="4"/>
  <c r="AK22" i="4"/>
  <c r="AK35" i="4"/>
  <c r="AK18" i="4"/>
  <c r="AK29" i="4"/>
  <c r="AK9" i="4"/>
  <c r="AK15" i="4"/>
  <c r="AK33" i="4"/>
  <c r="AK25" i="4"/>
  <c r="AP29" i="4"/>
  <c r="AK31" i="4"/>
  <c r="AK11" i="4"/>
  <c r="AJ21" i="4"/>
  <c r="AJ7" i="4"/>
  <c r="AJ32" i="4"/>
  <c r="AJ11" i="4"/>
  <c r="AJ25" i="4"/>
  <c r="AJ23" i="4"/>
  <c r="AJ17" i="4"/>
  <c r="AJ13" i="4"/>
  <c r="AJ10" i="4"/>
  <c r="AJ24" i="4"/>
  <c r="AJ31" i="4"/>
  <c r="AJ30" i="4"/>
  <c r="AJ29" i="4"/>
  <c r="AJ22" i="4"/>
  <c r="AJ34" i="4"/>
  <c r="AJ12" i="4"/>
  <c r="AJ16" i="4"/>
  <c r="G3" i="4"/>
  <c r="M15" i="4"/>
  <c r="K15" i="4"/>
  <c r="S15" i="4"/>
  <c r="AP11" i="4" l="1"/>
  <c r="AP25" i="4"/>
  <c r="AP19" i="4"/>
  <c r="AP21" i="4"/>
  <c r="AP33" i="4"/>
  <c r="AP10" i="4"/>
  <c r="AP17" i="4"/>
  <c r="AP8" i="4"/>
  <c r="AP26" i="4"/>
  <c r="AP20" i="4"/>
  <c r="AP12" i="4"/>
  <c r="AP28" i="4"/>
  <c r="AP6" i="4"/>
  <c r="AP16" i="4"/>
  <c r="AP24" i="4"/>
  <c r="AP7" i="4"/>
  <c r="AP32" i="4"/>
  <c r="H3" i="4"/>
  <c r="I3" i="4" l="1"/>
  <c r="T3" i="1"/>
  <c r="V3" i="1"/>
  <c r="T4" i="1"/>
  <c r="V4" i="1"/>
  <c r="T5" i="1"/>
  <c r="V5" i="1"/>
  <c r="T6" i="1"/>
  <c r="V6" i="1"/>
  <c r="T7" i="1"/>
  <c r="V7" i="1"/>
  <c r="T8" i="1"/>
  <c r="V8" i="1"/>
  <c r="T9" i="1"/>
  <c r="V9" i="1"/>
  <c r="T10" i="1"/>
  <c r="V10" i="1"/>
  <c r="T11" i="1"/>
  <c r="V11" i="1"/>
  <c r="T12" i="1"/>
  <c r="V12" i="1"/>
  <c r="T13" i="1"/>
  <c r="V13" i="1"/>
  <c r="T14" i="1"/>
  <c r="V14" i="1"/>
  <c r="T15" i="1"/>
  <c r="V15" i="1"/>
  <c r="T16" i="1"/>
  <c r="V16" i="1"/>
  <c r="T17" i="1"/>
  <c r="V17" i="1"/>
  <c r="T18" i="1"/>
  <c r="V18" i="1"/>
  <c r="T19" i="1"/>
  <c r="V19" i="1"/>
  <c r="T20" i="1"/>
  <c r="V20" i="1"/>
  <c r="T21" i="1"/>
  <c r="V21" i="1"/>
  <c r="T22" i="1"/>
  <c r="V22" i="1"/>
  <c r="T23" i="1"/>
  <c r="V23" i="1"/>
  <c r="T24" i="1"/>
  <c r="V24" i="1"/>
  <c r="T25" i="1"/>
  <c r="V25" i="1"/>
  <c r="T26" i="1"/>
  <c r="V26" i="1"/>
  <c r="T27" i="1"/>
  <c r="V27" i="1"/>
  <c r="T28" i="1"/>
  <c r="V28" i="1"/>
  <c r="T29" i="1"/>
  <c r="V29" i="1"/>
  <c r="T30" i="1"/>
  <c r="V30" i="1"/>
  <c r="T31" i="1"/>
  <c r="V31" i="1"/>
  <c r="T32" i="1"/>
  <c r="V3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J3" i="4" l="1"/>
  <c r="AC34" i="4"/>
  <c r="G15" i="4"/>
  <c r="AG31" i="1"/>
  <c r="V23" i="4"/>
  <c r="S23" i="4"/>
  <c r="K13" i="4"/>
  <c r="O15" i="4"/>
  <c r="P23" i="4"/>
  <c r="O23" i="4"/>
  <c r="AC15" i="4"/>
  <c r="AD23" i="4"/>
  <c r="AB15" i="4"/>
  <c r="W13" i="4"/>
  <c r="L23" i="4"/>
  <c r="I31" i="4"/>
  <c r="P30" i="4"/>
  <c r="AA31" i="1" l="1"/>
  <c r="AF35" i="4" s="1"/>
  <c r="AP35" i="4"/>
  <c r="AP34" i="4"/>
  <c r="AP30" i="4"/>
  <c r="AP31" i="4"/>
  <c r="AP23" i="4"/>
  <c r="AP15" i="4"/>
  <c r="AP13" i="4"/>
  <c r="K3" i="4"/>
  <c r="L3" i="4" l="1"/>
  <c r="M3" i="4" l="1"/>
  <c r="N3" i="4" l="1"/>
  <c r="O3" i="4" l="1"/>
  <c r="P3" i="4" l="1"/>
  <c r="Q3" i="4" l="1"/>
  <c r="R3" i="4" l="1"/>
  <c r="S3" i="4" l="1"/>
  <c r="T3" i="4" l="1"/>
  <c r="U3" i="4" l="1"/>
  <c r="V3" i="4" l="1"/>
  <c r="W3" i="4" l="1"/>
  <c r="X3" i="4" l="1"/>
  <c r="Y3" i="4" l="1"/>
  <c r="Z3" i="4" l="1"/>
  <c r="AA3" i="4" l="1"/>
  <c r="AB3" i="4" l="1"/>
  <c r="AC3" i="4" l="1"/>
  <c r="AD3" i="4" l="1"/>
  <c r="AE3" i="4" l="1"/>
  <c r="AF3" i="4" l="1"/>
  <c r="AG3" i="4" l="1"/>
  <c r="AH3" i="4" l="1"/>
  <c r="AI18" i="4" l="1" a="1"/>
  <c r="AI18" i="4" s="1"/>
  <c r="AI19" i="4" a="1"/>
  <c r="AI19" i="4" s="1"/>
  <c r="AI28" i="4" a="1"/>
  <c r="AI28" i="4" s="1"/>
  <c r="AI32" i="4" a="1"/>
  <c r="AI32" i="4" s="1"/>
  <c r="AI15" i="4" a="1"/>
  <c r="AI15" i="4" s="1"/>
  <c r="AI33" i="4" a="1"/>
  <c r="AI33" i="4" s="1"/>
  <c r="AI16" i="4" a="1"/>
  <c r="AI16" i="4" s="1"/>
  <c r="AI29" i="4" a="1"/>
  <c r="AI29" i="4" s="1"/>
  <c r="AI25" i="4" a="1"/>
  <c r="AI25" i="4" s="1"/>
  <c r="AI23" i="4" a="1"/>
  <c r="AI23" i="4" s="1"/>
  <c r="AI30" i="4" a="1"/>
  <c r="AI30" i="4" s="1"/>
  <c r="AI26" i="4" a="1"/>
  <c r="AI26" i="4" s="1"/>
  <c r="AI6" i="4" a="1"/>
  <c r="AI6" i="4" s="1"/>
  <c r="AI17" i="4" a="1"/>
  <c r="AI17" i="4" s="1"/>
  <c r="AN12" i="4" a="1"/>
  <c r="AN12" i="4" s="1"/>
  <c r="AI22" i="4" a="1"/>
  <c r="AI22" i="4" s="1"/>
  <c r="AI24" i="4" a="1"/>
  <c r="AI24" i="4" s="1"/>
  <c r="AI31" i="4" a="1"/>
  <c r="AI31" i="4" s="1"/>
  <c r="AI34" i="4" a="1"/>
  <c r="AI34" i="4" s="1"/>
  <c r="AI21" i="4" a="1"/>
  <c r="AI21" i="4" s="1"/>
  <c r="AI20" i="4" a="1"/>
  <c r="AI20" i="4" s="1"/>
  <c r="AI35" i="4"/>
  <c r="AN13" i="4" l="1" a="1"/>
  <c r="AN13" i="4" s="1"/>
  <c r="AI13" i="4" a="1"/>
  <c r="AI13" i="4" s="1"/>
  <c r="AN8" i="4" a="1"/>
  <c r="AN8" i="4" s="1"/>
  <c r="AI8" i="4" a="1"/>
  <c r="AI8" i="4" s="1"/>
  <c r="AN7" i="4" a="1"/>
  <c r="AN7" i="4" s="1"/>
  <c r="AI7" i="4" a="1"/>
  <c r="AI7" i="4" s="1"/>
  <c r="AI12" i="4" a="1"/>
  <c r="AI12" i="4" s="1"/>
  <c r="AN11" i="4" a="1"/>
  <c r="AN11" i="4" s="1"/>
  <c r="AI11" i="4" a="1"/>
  <c r="AI11" i="4" s="1"/>
  <c r="AI10" i="4" a="1"/>
  <c r="AI10" i="4" s="1"/>
  <c r="AN10" i="4" a="1"/>
  <c r="AN10" i="4" s="1"/>
  <c r="AN9" i="4" a="1"/>
  <c r="AN9" i="4" s="1"/>
  <c r="AI9" i="4" a="1"/>
  <c r="AI9" i="4" s="1"/>
  <c r="AN25" i="4" a="1"/>
  <c r="AN25" i="4" s="1"/>
  <c r="AN16" i="4" a="1"/>
  <c r="AN16" i="4" s="1"/>
  <c r="AN19" i="4" a="1"/>
  <c r="AN19" i="4" s="1"/>
  <c r="AN21" i="4" a="1"/>
  <c r="AN21" i="4" s="1"/>
  <c r="AN17" i="4" a="1"/>
  <c r="AN17" i="4" s="1"/>
  <c r="AN22" i="4" a="1"/>
  <c r="AN22" i="4" s="1"/>
  <c r="AN24" i="4" a="1"/>
  <c r="AN24" i="4" s="1"/>
  <c r="AN20" i="4" a="1"/>
  <c r="AN20" i="4" s="1"/>
  <c r="AN23" i="4" a="1"/>
  <c r="AN23" i="4" s="1"/>
  <c r="AN15" i="4" a="1"/>
  <c r="AN15" i="4" s="1"/>
  <c r="AN18" i="4" a="1"/>
  <c r="AN18" i="4" s="1"/>
  <c r="AN26" i="4" a="1"/>
  <c r="AN26" i="4" s="1"/>
  <c r="AN6" i="4" a="1"/>
  <c r="AN6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C37" authorId="0" shapeId="0" xr:uid="{F29A62C2-B468-408C-B0DE-49EB5434D5F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CTV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<sst xmlns="http://schemas.openxmlformats.org/spreadsheetml/2006/main" count="1007" uniqueCount="286">
  <si>
    <t>Chi Tiết Chấm Công</t>
  </si>
  <si>
    <t>ID Người</t>
  </si>
  <si>
    <t>Tên</t>
  </si>
  <si>
    <t>Bộ phận</t>
  </si>
  <si>
    <t>Ngày</t>
  </si>
  <si>
    <t>Ca làm việc</t>
  </si>
  <si>
    <t>Thời gian biểu</t>
  </si>
  <si>
    <t>Tình trạng chuyên cần</t>
  </si>
  <si>
    <t>Vào</t>
  </si>
  <si>
    <t>Ra</t>
  </si>
  <si>
    <t>Muộn</t>
  </si>
  <si>
    <t>Đã tham dự</t>
  </si>
  <si>
    <t>Vắng mặt</t>
  </si>
  <si>
    <t>Đã làm việc</t>
  </si>
  <si>
    <t>Thoát</t>
  </si>
  <si>
    <t>Tăng ca 1</t>
  </si>
  <si>
    <t>Tăng ca 2</t>
  </si>
  <si>
    <t>Tăng ca 3</t>
  </si>
  <si>
    <t>1</t>
  </si>
  <si>
    <t>Tổ Chức Mới</t>
  </si>
  <si>
    <t>2025-09-01</t>
  </si>
  <si>
    <t>HC</t>
  </si>
  <si>
    <t>HC(08:00:00-17:00:00)</t>
  </si>
  <si>
    <t>-</t>
  </si>
  <si>
    <t>0 phút</t>
  </si>
  <si>
    <t>540 phút</t>
  </si>
  <si>
    <t>2025-09-02</t>
  </si>
  <si>
    <t>2025-09-03</t>
  </si>
  <si>
    <t>2025-09-04</t>
  </si>
  <si>
    <t>2025-09-05</t>
  </si>
  <si>
    <t>2025-09-06</t>
  </si>
  <si>
    <t>2025-09-07</t>
  </si>
  <si>
    <t>2025-09-08</t>
  </si>
  <si>
    <t>2025-09-09</t>
  </si>
  <si>
    <t>2025-09-10</t>
  </si>
  <si>
    <t>2025-09-11</t>
  </si>
  <si>
    <t>2025-09-12</t>
  </si>
  <si>
    <t>2025-09-13</t>
  </si>
  <si>
    <t>2025-09-14</t>
  </si>
  <si>
    <t>2025-09-15</t>
  </si>
  <si>
    <t>2025-09-16</t>
  </si>
  <si>
    <t>2025-09-17</t>
  </si>
  <si>
    <t>2025-09-18</t>
  </si>
  <si>
    <t>2025-09-19</t>
  </si>
  <si>
    <t>2025-09-20</t>
  </si>
  <si>
    <t>2025-09-21</t>
  </si>
  <si>
    <t>2025-09-22</t>
  </si>
  <si>
    <t>2025-09-23</t>
  </si>
  <si>
    <t>2025-09-24</t>
  </si>
  <si>
    <t>2025-09-25</t>
  </si>
  <si>
    <t>2025-09-26</t>
  </si>
  <si>
    <t>2025-09-27</t>
  </si>
  <si>
    <t>2025-09-28</t>
  </si>
  <si>
    <t>2025-09-29</t>
  </si>
  <si>
    <t>2025-09-30</t>
  </si>
  <si>
    <t>10</t>
  </si>
  <si>
    <t>11</t>
  </si>
  <si>
    <t>12</t>
  </si>
  <si>
    <t>13</t>
  </si>
  <si>
    <t>14</t>
  </si>
  <si>
    <t>Luong</t>
  </si>
  <si>
    <t>15</t>
  </si>
  <si>
    <t>Khang</t>
  </si>
  <si>
    <t>16</t>
  </si>
  <si>
    <t>Thinh</t>
  </si>
  <si>
    <t>17</t>
  </si>
  <si>
    <t>Thuy</t>
  </si>
  <si>
    <t>18</t>
  </si>
  <si>
    <t>Phong</t>
  </si>
  <si>
    <t>19</t>
  </si>
  <si>
    <t>2</t>
  </si>
  <si>
    <t>Về sớm</t>
  </si>
  <si>
    <t>20</t>
  </si>
  <si>
    <t>21</t>
  </si>
  <si>
    <t>1 phút</t>
  </si>
  <si>
    <t>22</t>
  </si>
  <si>
    <t>Yen</t>
  </si>
  <si>
    <t>23</t>
  </si>
  <si>
    <t>24</t>
  </si>
  <si>
    <t>25</t>
  </si>
  <si>
    <t>26</t>
  </si>
  <si>
    <t>Lam</t>
  </si>
  <si>
    <t>27</t>
  </si>
  <si>
    <t>Sam</t>
  </si>
  <si>
    <t>28</t>
  </si>
  <si>
    <t>Hoang</t>
  </si>
  <si>
    <t>29</t>
  </si>
  <si>
    <t>Tai</t>
  </si>
  <si>
    <t>3</t>
  </si>
  <si>
    <t>VIET</t>
  </si>
  <si>
    <t>30</t>
  </si>
  <si>
    <t>Hoa</t>
  </si>
  <si>
    <t>31</t>
  </si>
  <si>
    <t>Thao</t>
  </si>
  <si>
    <t>32</t>
  </si>
  <si>
    <t>33</t>
  </si>
  <si>
    <t>Hanh</t>
  </si>
  <si>
    <t>34</t>
  </si>
  <si>
    <t>Khanh</t>
  </si>
  <si>
    <t>35</t>
  </si>
  <si>
    <t>Chanh</t>
  </si>
  <si>
    <t>36</t>
  </si>
  <si>
    <t>Thai</t>
  </si>
  <si>
    <t>37</t>
  </si>
  <si>
    <t>38</t>
  </si>
  <si>
    <t>39</t>
  </si>
  <si>
    <t>4</t>
  </si>
  <si>
    <t>Hai</t>
  </si>
  <si>
    <t>40</t>
  </si>
  <si>
    <t>41</t>
  </si>
  <si>
    <t>Tuan</t>
  </si>
  <si>
    <t>42</t>
  </si>
  <si>
    <t>Qui</t>
  </si>
  <si>
    <t>43</t>
  </si>
  <si>
    <t>44</t>
  </si>
  <si>
    <t>Phu</t>
  </si>
  <si>
    <t>45</t>
  </si>
  <si>
    <t>46</t>
  </si>
  <si>
    <t>Nghia</t>
  </si>
  <si>
    <t>47</t>
  </si>
  <si>
    <t>Huy</t>
  </si>
  <si>
    <t>48</t>
  </si>
  <si>
    <t>Quang</t>
  </si>
  <si>
    <t>49</t>
  </si>
  <si>
    <t>Quoc</t>
  </si>
  <si>
    <t>5</t>
  </si>
  <si>
    <t>50</t>
  </si>
  <si>
    <t>51</t>
  </si>
  <si>
    <t>Hong</t>
  </si>
  <si>
    <t>52</t>
  </si>
  <si>
    <t>Xuyen</t>
  </si>
  <si>
    <t>53</t>
  </si>
  <si>
    <t>54</t>
  </si>
  <si>
    <t>Nhan</t>
  </si>
  <si>
    <t>55</t>
  </si>
  <si>
    <t>Hoc</t>
  </si>
  <si>
    <t>56</t>
  </si>
  <si>
    <t>sáng(08:00:00-12:00:00)</t>
  </si>
  <si>
    <t>240 phút</t>
  </si>
  <si>
    <t>57</t>
  </si>
  <si>
    <t>Bao</t>
  </si>
  <si>
    <t>58</t>
  </si>
  <si>
    <t>59</t>
  </si>
  <si>
    <t>6</t>
  </si>
  <si>
    <t>Diem</t>
  </si>
  <si>
    <t>60</t>
  </si>
  <si>
    <t>61</t>
  </si>
  <si>
    <t>Thong</t>
  </si>
  <si>
    <t>62</t>
  </si>
  <si>
    <t>63</t>
  </si>
  <si>
    <t>64</t>
  </si>
  <si>
    <t>65</t>
  </si>
  <si>
    <t>Ly Kim Ho</t>
  </si>
  <si>
    <t>10:08:50</t>
  </si>
  <si>
    <t>07:41:55</t>
  </si>
  <si>
    <t>16:58:46</t>
  </si>
  <si>
    <t>539 phút</t>
  </si>
  <si>
    <t>7</t>
  </si>
  <si>
    <t>Thanh</t>
  </si>
  <si>
    <t>8</t>
  </si>
  <si>
    <t>9</t>
  </si>
  <si>
    <t>08:00:00</t>
  </si>
  <si>
    <t>STT</t>
  </si>
  <si>
    <t xml:space="preserve">Họ và Tên </t>
  </si>
  <si>
    <t>ID</t>
  </si>
  <si>
    <t>Kinh doanh</t>
  </si>
  <si>
    <t>Bùi Thị Kim Dung</t>
  </si>
  <si>
    <t>Nguyễn Văn Vinh</t>
  </si>
  <si>
    <t xml:space="preserve">Trương Quang Thanh    </t>
  </si>
  <si>
    <t xml:space="preserve"> Hứa Thị Ngọc Thơ  </t>
  </si>
  <si>
    <t>Nguyễn Quốc Thái</t>
  </si>
  <si>
    <t>Trần Hạo Nhị</t>
  </si>
  <si>
    <t>Dương Thị Kim Hồng</t>
  </si>
  <si>
    <t>Trần Bảo Trâm</t>
  </si>
  <si>
    <t xml:space="preserve"> Nguyễn Bảo Thạch    </t>
  </si>
  <si>
    <t xml:space="preserve"> Hoàng Đức Thanh    </t>
  </si>
  <si>
    <t xml:space="preserve"> Nguyễn Quốc Minh   </t>
  </si>
  <si>
    <t xml:space="preserve"> Nguyễn Hoàng Thực    </t>
  </si>
  <si>
    <t xml:space="preserve"> Trần Cao Hoàng Tâm    </t>
  </si>
  <si>
    <t xml:space="preserve"> Lê Kim Đãng   </t>
  </si>
  <si>
    <t xml:space="preserve"> Nguyễn Thiên Trang    </t>
  </si>
  <si>
    <t xml:space="preserve"> Nguyễn Thiên Thanh    </t>
  </si>
  <si>
    <t xml:space="preserve"> Huỳnh Thanh Phong  </t>
  </si>
  <si>
    <t>Nguyễn Hữu Phước</t>
  </si>
  <si>
    <t>Nguyễn Thanh Phương</t>
  </si>
  <si>
    <t xml:space="preserve">Trần Kỳ Tâm    </t>
  </si>
  <si>
    <t>Kế toán - Văn phòng</t>
  </si>
  <si>
    <t>Huỳnh Văn Hùng</t>
  </si>
  <si>
    <t>Nguyễn Thị Út Hương</t>
  </si>
  <si>
    <t>Đoàn Thị Thanh Hương</t>
  </si>
  <si>
    <t>Hoàng Thị Hoài Nhi</t>
  </si>
  <si>
    <t>Phạm Anh Vũ</t>
  </si>
  <si>
    <t xml:space="preserve"> Hàng Minh Thư   </t>
  </si>
  <si>
    <t>Nguyễn Thị Lan Sy</t>
  </si>
  <si>
    <t>Lê Thị Mỹ Duyên</t>
  </si>
  <si>
    <t>Huỳnh Thị Mạnh Thường</t>
  </si>
  <si>
    <t>Tên nhân viên</t>
  </si>
  <si>
    <t>Lý Kim Hồ</t>
  </si>
  <si>
    <t>Nghĩ việc</t>
  </si>
  <si>
    <t>Đang làm việc</t>
  </si>
  <si>
    <t>Vận Hành</t>
  </si>
  <si>
    <t>Trạng thái</t>
  </si>
  <si>
    <t>Bộ phận2</t>
  </si>
  <si>
    <t>Tăng ca</t>
  </si>
  <si>
    <t>Không</t>
  </si>
  <si>
    <t>Có</t>
  </si>
  <si>
    <t>Chấm vân tay giờ về</t>
  </si>
  <si>
    <t>Ngày công</t>
  </si>
  <si>
    <t>Muộn (Phút)</t>
  </si>
  <si>
    <t>Giờ vào HC</t>
  </si>
  <si>
    <t>Giờ ra HC</t>
  </si>
  <si>
    <t>Giờ Về</t>
  </si>
  <si>
    <t>Giờ vao TT</t>
  </si>
  <si>
    <t>Giờ ra TT</t>
  </si>
  <si>
    <t>Tăng ca (phút)</t>
  </si>
  <si>
    <t>Thời Gian làm việc</t>
  </si>
  <si>
    <t>Giờ vào</t>
  </si>
  <si>
    <t>Giờ ra</t>
  </si>
  <si>
    <t>Vận Hành &amp; Kho</t>
  </si>
  <si>
    <t>Đối với vi phạm đi trễ</t>
  </si>
  <si>
    <t>Đi trễ từ 6 --&gt; 15 Phút so với quy định</t>
  </si>
  <si>
    <t>Vi phạm</t>
  </si>
  <si>
    <t>Đi trễ từ 15 --&gt; 60 Phút so với quy định</t>
  </si>
  <si>
    <t>Đi trễ từ 60 Phút so với quy định</t>
  </si>
  <si>
    <t>Trừ nữa ngày lượng</t>
  </si>
  <si>
    <t>Vi phạm các quy định trên quá 3 lần/tháng</t>
  </si>
  <si>
    <t>Trừ toàn bộ chuyên cần tháng</t>
  </si>
  <si>
    <t>Đối với vi phạm chấm công</t>
  </si>
  <si>
    <t>Vi phạm lần 1</t>
  </si>
  <si>
    <t>Vi phạm lần 3 trở lên</t>
  </si>
  <si>
    <t>Vi phạm lần 2</t>
  </si>
  <si>
    <t>Trường hợp vi phạm quá 3 lần/tháng</t>
  </si>
  <si>
    <t>Không chấm công ngày đó</t>
  </si>
  <si>
    <t>Phạt nữa ngày lương</t>
  </si>
  <si>
    <t>Đối với Trường hợp nghĩ phép cần báo trước 3 ngày cho Quản lý, nếu nghĩ không xin phép thì:</t>
  </si>
  <si>
    <t>Vi phạm lần đầu</t>
  </si>
  <si>
    <t>Nhắc nhở</t>
  </si>
  <si>
    <t>Trừ 3 ngày lương</t>
  </si>
  <si>
    <t>Vi phạm lần 3</t>
  </si>
  <si>
    <t>Hạ bậc lương hoặc xét cho thôi việc</t>
  </si>
  <si>
    <t>Châm công</t>
  </si>
  <si>
    <t>Trừ lương do vi phạm</t>
  </si>
  <si>
    <t>Ghi Chú</t>
  </si>
  <si>
    <t>Phạt muộn</t>
  </si>
  <si>
    <t>Phạt Quên chấm công</t>
  </si>
  <si>
    <t>BẢNG CHẤM CÔNG</t>
  </si>
  <si>
    <t>Tháng</t>
  </si>
  <si>
    <t>năm</t>
  </si>
  <si>
    <t>Tăng ca (Phút)</t>
  </si>
  <si>
    <t>Muộn (lần)</t>
  </si>
  <si>
    <t xml:space="preserve">Sinh nhật </t>
  </si>
  <si>
    <t>Phép năm tháng trước</t>
  </si>
  <si>
    <t>Phép năm</t>
  </si>
  <si>
    <t>Lịch công tác</t>
  </si>
  <si>
    <t>Phạt đi muộn</t>
  </si>
  <si>
    <t>Đi công tác</t>
  </si>
  <si>
    <t>Vận hành</t>
  </si>
  <si>
    <t>Ngoại nghiệp</t>
  </si>
  <si>
    <t>Trần Thị Xuân Phương</t>
  </si>
  <si>
    <t>Ghi chú:</t>
  </si>
  <si>
    <t>x</t>
  </si>
  <si>
    <t>Có mặt</t>
  </si>
  <si>
    <t>2x</t>
  </si>
  <si>
    <t>Làm ngày lễ, công tác chủ nhật</t>
  </si>
  <si>
    <t>V</t>
  </si>
  <si>
    <t xml:space="preserve">Vắng </t>
  </si>
  <si>
    <t>P</t>
  </si>
  <si>
    <t xml:space="preserve">Phép </t>
  </si>
  <si>
    <t>L</t>
  </si>
  <si>
    <t>Nghỉ lễ</t>
  </si>
  <si>
    <t>CN</t>
  </si>
  <si>
    <t xml:space="preserve">Nghỉ tuần </t>
  </si>
  <si>
    <t>1/2</t>
  </si>
  <si>
    <t>Nửa công</t>
  </si>
  <si>
    <t>1/2P</t>
  </si>
  <si>
    <t>Nửa phép</t>
  </si>
  <si>
    <t>Người lập biểu</t>
  </si>
  <si>
    <t>Giám đốc</t>
  </si>
  <si>
    <t xml:space="preserve">Đặng Xuân Ngọc </t>
  </si>
  <si>
    <t>Ngày chấm công</t>
  </si>
  <si>
    <t>Mã Do công</t>
  </si>
  <si>
    <t>Ngày sinh</t>
  </si>
  <si>
    <t>17:00:00</t>
  </si>
  <si>
    <t>Lấy vân tay ngày hôm nay</t>
  </si>
  <si>
    <t>Chưa lấy vân tay</t>
  </si>
  <si>
    <t>Đi Công tác Thái Tuấn, Phí công tác thanh toán cùng lương là 300k/ngày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</si>
</sst>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)_ ;_ * \(#,##0\)_ ;_ * &quot;-&quot;_)_ ;_ @_ "/>
    <numFmt numFmtId="43" formatCode="_ * #,##0.00_)_ ;_ * \(#,##0.00\)_ ;_ * &quot;-&quot;??_)_ ;_ @_ "/>
    <numFmt numFmtId="164" formatCode="[$-F400]h:mm:ss\ AM/PM"/>
    <numFmt numFmtId="165" formatCode="#,##0_)&quot;đồng/lần&quot;;[Red]\(#,##0\)"/>
    <numFmt numFmtId="166" formatCode="&quot;Tháng &quot;mm&quot; năm &quot;yyyy"/>
    <numFmt numFmtId="167" formatCode="_-* #,##0.00_-;\-* #,##0.00_-;_-* &quot;-&quot;??_-;_-@_-"/>
    <numFmt numFmtId="168" formatCode="_-* #,##0_-;\-* #,##0_-;_-* &quot;-&quot;??_-;_-@_-"/>
    <numFmt numFmtId="169" formatCode="00"/>
    <numFmt numFmtId="170" formatCode="[$-101042A]dd"/>
    <numFmt numFmtId="171" formatCode="[$-101042A]dddd"/>
    <numFmt numFmtId="172" formatCode="_(* #,##0_);_(* \(#,##0\);_(* &quot;-&quot;??_);_(@_)"/>
    <numFmt numFmtId="173" formatCode="_ * #,##0_ ;_ * \-#,##0_ ;_ * &quot;-&quot;_ ;_ @_ "/>
    <numFmt numFmtId="174" formatCode="_ * #,##0.0_)_ ;_ * \(#,##0.0\)_ ;_ * &quot;-&quot;_)_ ;_ @_ "/>
  </numFmts>
  <fonts count="45" x14ac:knownFonts="1">
    <font>
      <sz val="11"/>
      <color theme="1"/>
      <name val="Aptos Narrow"/>
      <family val="2"/>
      <charset val="163"/>
      <scheme val="minor"/>
    </font>
    <font>
      <sz val="11"/>
      <color theme="1"/>
      <name val="Aptos Narrow"/>
      <family val="2"/>
      <charset val="163"/>
      <scheme val="minor"/>
    </font>
    <font>
      <sz val="18"/>
      <color theme="3"/>
      <name val="Aptos Display"/>
      <family val="2"/>
      <charset val="163"/>
      <scheme val="major"/>
    </font>
    <font>
      <b/>
      <sz val="15"/>
      <color theme="3"/>
      <name val="Aptos Narrow"/>
      <family val="2"/>
      <charset val="163"/>
      <scheme val="minor"/>
    </font>
    <font>
      <b/>
      <sz val="13"/>
      <color theme="3"/>
      <name val="Aptos Narrow"/>
      <family val="2"/>
      <charset val="163"/>
      <scheme val="minor"/>
    </font>
    <font>
      <b/>
      <sz val="11"/>
      <color theme="3"/>
      <name val="Aptos Narrow"/>
      <family val="2"/>
      <charset val="163"/>
      <scheme val="minor"/>
    </font>
    <font>
      <sz val="11"/>
      <color rgb="FF006100"/>
      <name val="Aptos Narrow"/>
      <family val="2"/>
      <charset val="163"/>
      <scheme val="minor"/>
    </font>
    <font>
      <sz val="11"/>
      <color rgb="FF9C0006"/>
      <name val="Aptos Narrow"/>
      <family val="2"/>
      <charset val="163"/>
      <scheme val="minor"/>
    </font>
    <font>
      <sz val="11"/>
      <color rgb="FF9C5700"/>
      <name val="Aptos Narrow"/>
      <family val="2"/>
      <charset val="163"/>
      <scheme val="minor"/>
    </font>
    <font>
      <sz val="11"/>
      <color rgb="FF3F3F76"/>
      <name val="Aptos Narrow"/>
      <family val="2"/>
      <charset val="163"/>
      <scheme val="minor"/>
    </font>
    <font>
      <b/>
      <sz val="11"/>
      <color rgb="FF3F3F3F"/>
      <name val="Aptos Narrow"/>
      <family val="2"/>
      <charset val="163"/>
      <scheme val="minor"/>
    </font>
    <font>
      <b/>
      <sz val="11"/>
      <color rgb="FFFA7D00"/>
      <name val="Aptos Narrow"/>
      <family val="2"/>
      <charset val="163"/>
      <scheme val="minor"/>
    </font>
    <font>
      <sz val="11"/>
      <color rgb="FFFA7D00"/>
      <name val="Aptos Narrow"/>
      <family val="2"/>
      <charset val="163"/>
      <scheme val="minor"/>
    </font>
    <font>
      <b/>
      <sz val="11"/>
      <color theme="0"/>
      <name val="Aptos Narrow"/>
      <family val="2"/>
      <charset val="163"/>
      <scheme val="minor"/>
    </font>
    <font>
      <sz val="11"/>
      <color rgb="FFFF0000"/>
      <name val="Aptos Narrow"/>
      <family val="2"/>
      <charset val="163"/>
      <scheme val="minor"/>
    </font>
    <font>
      <i/>
      <sz val="11"/>
      <color rgb="FF7F7F7F"/>
      <name val="Aptos Narrow"/>
      <family val="2"/>
      <charset val="163"/>
      <scheme val="minor"/>
    </font>
    <font>
      <b/>
      <sz val="11"/>
      <color theme="1"/>
      <name val="Aptos Narrow"/>
      <family val="2"/>
      <charset val="163"/>
      <scheme val="minor"/>
    </font>
    <font>
      <sz val="11"/>
      <color theme="0"/>
      <name val="Aptos Narrow"/>
      <family val="2"/>
      <charset val="163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sz val="12"/>
      <name val=".VnTime"/>
      <family val="2"/>
    </font>
    <font>
      <b/>
      <sz val="16"/>
      <name val="Times New Roman"/>
      <family val="1"/>
    </font>
    <font>
      <b/>
      <i/>
      <sz val="10"/>
      <color indexed="10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sz val="11"/>
      <color theme="6" tint="-0.499984740745262"/>
      <name val="Times New Roman"/>
      <family val="1"/>
    </font>
    <font>
      <b/>
      <sz val="11"/>
      <color rgb="FFC00000"/>
      <name val="Times New Roman"/>
      <family val="1"/>
    </font>
    <font>
      <b/>
      <i/>
      <sz val="1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color rgb="FF000000"/>
      <name val="Times New Roman"/>
      <family val="1"/>
    </font>
    <font>
      <sz val="10"/>
      <color rgb="FFFF0000"/>
      <name val="Times New Roman"/>
      <family val="1"/>
    </font>
    <font>
      <i/>
      <sz val="11"/>
      <name val="Times New Roman"/>
      <family val="1"/>
    </font>
    <font>
      <sz val="12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ptos Narrow"/>
      <family val="2"/>
      <charset val="163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167" fontId="1" fillId="0" borderId="0" applyFont="0" applyFill="0" applyBorder="0" applyAlignment="0" applyProtection="0"/>
  </cellStyleXfs>
  <cellXfs count="110">
    <xf numFmtId="0" fontId="0" fillId="0" borderId="0" xfId="0"/>
    <xf numFmtId="49" fontId="18" fillId="0" borderId="10" xfId="0" applyNumberFormat="1" applyFont="1" applyBorder="1" applyAlignment="1">
      <alignment horizontal="center" wrapText="1"/>
    </xf>
    <xf numFmtId="0" fontId="23" fillId="35" borderId="0" xfId="43" applyFont="1" applyFill="1" applyAlignment="1">
      <alignment vertical="center"/>
    </xf>
    <xf numFmtId="0" fontId="22" fillId="34" borderId="0" xfId="43" applyFont="1" applyFill="1" applyAlignment="1">
      <alignment horizontal="center" vertical="center"/>
    </xf>
    <xf numFmtId="49" fontId="18" fillId="0" borderId="13" xfId="0" applyNumberFormat="1" applyFont="1" applyBorder="1" applyAlignment="1">
      <alignment horizontal="center" wrapText="1"/>
    </xf>
    <xf numFmtId="0" fontId="20" fillId="33" borderId="16" xfId="43" applyFont="1" applyFill="1" applyBorder="1" applyAlignment="1">
      <alignment horizontal="center" vertical="center"/>
    </xf>
    <xf numFmtId="0" fontId="20" fillId="33" borderId="17" xfId="43" applyFont="1" applyFill="1" applyBorder="1" applyAlignment="1">
      <alignment horizontal="center" vertical="center"/>
    </xf>
    <xf numFmtId="0" fontId="21" fillId="33" borderId="17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 wrapText="1"/>
    </xf>
    <xf numFmtId="164" fontId="0" fillId="0" borderId="0" xfId="0" applyNumberFormat="1"/>
    <xf numFmtId="164" fontId="21" fillId="33" borderId="15" xfId="4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 wrapText="1"/>
    </xf>
    <xf numFmtId="49" fontId="19" fillId="0" borderId="10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164" fontId="19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24" fillId="36" borderId="0" xfId="0" applyFont="1" applyFill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4" fillId="36" borderId="0" xfId="0" applyFont="1" applyFill="1"/>
    <xf numFmtId="41" fontId="0" fillId="0" borderId="0" xfId="1" applyFont="1"/>
    <xf numFmtId="41" fontId="0" fillId="0" borderId="0" xfId="1" applyFont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0" borderId="0" xfId="1" applyFont="1" applyAlignment="1">
      <alignment horizontal="left" vertical="center"/>
    </xf>
    <xf numFmtId="0" fontId="25" fillId="0" borderId="0" xfId="43" applyFont="1" applyProtection="1">
      <protection locked="0"/>
    </xf>
    <xf numFmtId="0" fontId="27" fillId="0" borderId="0" xfId="45" applyFont="1" applyAlignment="1">
      <alignment vertical="center"/>
    </xf>
    <xf numFmtId="0" fontId="27" fillId="0" borderId="0" xfId="45" applyFont="1" applyAlignment="1">
      <alignment horizontal="center" vertical="center"/>
    </xf>
    <xf numFmtId="168" fontId="25" fillId="0" borderId="0" xfId="46" applyNumberFormat="1" applyFont="1" applyProtection="1">
      <protection locked="0"/>
    </xf>
    <xf numFmtId="0" fontId="29" fillId="0" borderId="0" xfId="45" applyFont="1" applyAlignment="1">
      <alignment horizontal="center" vertical="center" wrapText="1"/>
    </xf>
    <xf numFmtId="0" fontId="30" fillId="0" borderId="0" xfId="45" applyFont="1" applyAlignment="1">
      <alignment horizontal="center" vertical="center"/>
    </xf>
    <xf numFmtId="166" fontId="31" fillId="0" borderId="0" xfId="45" applyNumberFormat="1" applyFont="1" applyAlignment="1">
      <alignment horizontal="center" vertical="center"/>
    </xf>
    <xf numFmtId="166" fontId="32" fillId="0" borderId="0" xfId="45" applyNumberFormat="1" applyFont="1" applyAlignment="1">
      <alignment horizontal="center" vertical="center"/>
    </xf>
    <xf numFmtId="166" fontId="34" fillId="0" borderId="0" xfId="45" applyNumberFormat="1" applyFont="1" applyAlignment="1">
      <alignment horizontal="center" vertical="center"/>
    </xf>
    <xf numFmtId="0" fontId="35" fillId="0" borderId="0" xfId="45" applyFont="1" applyAlignment="1">
      <alignment horizontal="center" vertical="center"/>
    </xf>
    <xf numFmtId="170" fontId="20" fillId="38" borderId="19" xfId="45" applyNumberFormat="1" applyFont="1" applyFill="1" applyBorder="1" applyAlignment="1">
      <alignment horizontal="center" vertical="center"/>
    </xf>
    <xf numFmtId="171" fontId="29" fillId="33" borderId="19" xfId="45" applyNumberFormat="1" applyFont="1" applyFill="1" applyBorder="1" applyAlignment="1">
      <alignment horizontal="center" vertical="center" textRotation="90"/>
    </xf>
    <xf numFmtId="171" fontId="29" fillId="33" borderId="19" xfId="45" applyNumberFormat="1" applyFont="1" applyFill="1" applyBorder="1" applyAlignment="1">
      <alignment horizontal="center" vertical="center" textRotation="90" wrapText="1"/>
    </xf>
    <xf numFmtId="0" fontId="21" fillId="38" borderId="21" xfId="43" applyFont="1" applyFill="1" applyBorder="1" applyAlignment="1">
      <alignment vertical="center"/>
    </xf>
    <xf numFmtId="171" fontId="20" fillId="38" borderId="21" xfId="45" applyNumberFormat="1" applyFont="1" applyFill="1" applyBorder="1" applyAlignment="1">
      <alignment vertical="center" textRotation="90"/>
    </xf>
    <xf numFmtId="171" fontId="20" fillId="38" borderId="22" xfId="45" applyNumberFormat="1" applyFont="1" applyFill="1" applyBorder="1" applyAlignment="1">
      <alignment vertical="center" textRotation="90"/>
    </xf>
    <xf numFmtId="171" fontId="20" fillId="38" borderId="23" xfId="45" applyNumberFormat="1" applyFont="1" applyFill="1" applyBorder="1" applyAlignment="1">
      <alignment vertical="center" textRotation="90"/>
    </xf>
    <xf numFmtId="0" fontId="25" fillId="38" borderId="19" xfId="43" applyFont="1" applyFill="1" applyBorder="1" applyProtection="1">
      <protection locked="0"/>
    </xf>
    <xf numFmtId="168" fontId="25" fillId="38" borderId="19" xfId="46" applyNumberFormat="1" applyFont="1" applyFill="1" applyBorder="1" applyProtection="1">
      <protection locked="0"/>
    </xf>
    <xf numFmtId="0" fontId="22" fillId="34" borderId="19" xfId="43" applyFont="1" applyFill="1" applyBorder="1" applyAlignment="1">
      <alignment horizontal="center" vertical="center"/>
    </xf>
    <xf numFmtId="0" fontId="23" fillId="35" borderId="19" xfId="43" applyFont="1" applyFill="1" applyBorder="1" applyAlignment="1">
      <alignment vertical="center"/>
    </xf>
    <xf numFmtId="0" fontId="36" fillId="0" borderId="19" xfId="43" applyFont="1" applyBorder="1" applyAlignment="1">
      <alignment horizontal="center" vertical="center"/>
    </xf>
    <xf numFmtId="0" fontId="37" fillId="34" borderId="19" xfId="43" applyFont="1" applyFill="1" applyBorder="1" applyAlignment="1">
      <alignment horizontal="center" vertical="center"/>
    </xf>
    <xf numFmtId="172" fontId="25" fillId="34" borderId="19" xfId="44" applyNumberFormat="1" applyFont="1" applyFill="1" applyBorder="1" applyProtection="1">
      <protection locked="0"/>
    </xf>
    <xf numFmtId="0" fontId="25" fillId="0" borderId="19" xfId="43" applyFont="1" applyBorder="1" applyProtection="1">
      <protection locked="0"/>
    </xf>
    <xf numFmtId="0" fontId="25" fillId="34" borderId="19" xfId="43" applyFont="1" applyFill="1" applyBorder="1" applyProtection="1">
      <protection locked="0"/>
    </xf>
    <xf numFmtId="168" fontId="37" fillId="34" borderId="19" xfId="46" applyNumberFormat="1" applyFont="1" applyFill="1" applyBorder="1" applyAlignment="1">
      <alignment horizontal="center" vertical="center"/>
    </xf>
    <xf numFmtId="0" fontId="22" fillId="38" borderId="19" xfId="43" applyFont="1" applyFill="1" applyBorder="1" applyAlignment="1">
      <alignment horizontal="center" vertical="center"/>
    </xf>
    <xf numFmtId="0" fontId="38" fillId="38" borderId="19" xfId="43" applyFont="1" applyFill="1" applyBorder="1" applyAlignment="1">
      <alignment vertical="center"/>
    </xf>
    <xf numFmtId="49" fontId="36" fillId="38" borderId="22" xfId="43" applyNumberFormat="1" applyFont="1" applyFill="1" applyBorder="1" applyAlignment="1">
      <alignment vertical="center"/>
    </xf>
    <xf numFmtId="0" fontId="36" fillId="38" borderId="22" xfId="43" applyFont="1" applyFill="1" applyBorder="1" applyAlignment="1">
      <alignment horizontal="center" vertical="center"/>
    </xf>
    <xf numFmtId="0" fontId="36" fillId="38" borderId="23" xfId="43" applyFont="1" applyFill="1" applyBorder="1" applyAlignment="1">
      <alignment horizontal="center" vertical="center"/>
    </xf>
    <xf numFmtId="173" fontId="30" fillId="34" borderId="19" xfId="43" applyNumberFormat="1" applyFont="1" applyFill="1" applyBorder="1" applyAlignment="1">
      <alignment horizontal="left" vertical="center"/>
    </xf>
    <xf numFmtId="0" fontId="36" fillId="0" borderId="19" xfId="43" applyFont="1" applyBorder="1" applyProtection="1">
      <protection locked="0"/>
    </xf>
    <xf numFmtId="0" fontId="23" fillId="35" borderId="21" xfId="43" applyFont="1" applyFill="1" applyBorder="1" applyAlignment="1">
      <alignment vertical="center"/>
    </xf>
    <xf numFmtId="0" fontId="36" fillId="38" borderId="21" xfId="43" applyFont="1" applyFill="1" applyBorder="1" applyAlignment="1">
      <alignment horizontal="center" vertical="center"/>
    </xf>
    <xf numFmtId="168" fontId="36" fillId="38" borderId="23" xfId="46" applyNumberFormat="1" applyFont="1" applyFill="1" applyBorder="1" applyAlignment="1">
      <alignment horizontal="center" vertical="center"/>
    </xf>
    <xf numFmtId="0" fontId="22" fillId="0" borderId="19" xfId="43" applyFont="1" applyBorder="1" applyAlignment="1">
      <alignment horizontal="center" vertical="center"/>
    </xf>
    <xf numFmtId="173" fontId="36" fillId="0" borderId="19" xfId="43" applyNumberFormat="1" applyFont="1" applyBorder="1" applyAlignment="1">
      <alignment horizontal="left" vertical="center"/>
    </xf>
    <xf numFmtId="49" fontId="36" fillId="0" borderId="19" xfId="43" applyNumberFormat="1" applyFont="1" applyBorder="1" applyAlignment="1">
      <alignment horizontal="center" vertical="center"/>
    </xf>
    <xf numFmtId="0" fontId="37" fillId="0" borderId="19" xfId="43" applyFont="1" applyBorder="1" applyAlignment="1">
      <alignment horizontal="center" vertical="center"/>
    </xf>
    <xf numFmtId="168" fontId="37" fillId="0" borderId="19" xfId="46" applyNumberFormat="1" applyFont="1" applyFill="1" applyBorder="1" applyAlignment="1">
      <alignment horizontal="center" vertical="center"/>
    </xf>
    <xf numFmtId="0" fontId="22" fillId="0" borderId="0" xfId="43" applyFont="1" applyAlignment="1">
      <alignment horizontal="center" vertical="center"/>
    </xf>
    <xf numFmtId="0" fontId="30" fillId="0" borderId="0" xfId="43" applyFont="1" applyAlignment="1">
      <alignment horizontal="center" vertical="center"/>
    </xf>
    <xf numFmtId="0" fontId="30" fillId="0" borderId="0" xfId="43" applyFont="1" applyAlignment="1">
      <alignment horizontal="left" vertical="center"/>
    </xf>
    <xf numFmtId="0" fontId="39" fillId="0" borderId="0" xfId="43" applyFont="1" applyAlignment="1">
      <alignment horizontal="center" vertical="center"/>
    </xf>
    <xf numFmtId="0" fontId="30" fillId="36" borderId="0" xfId="43" applyFont="1" applyFill="1" applyAlignment="1">
      <alignment horizontal="center" vertical="center"/>
    </xf>
    <xf numFmtId="0" fontId="30" fillId="39" borderId="0" xfId="43" applyFont="1" applyFill="1" applyAlignment="1">
      <alignment horizontal="center" vertical="center"/>
    </xf>
    <xf numFmtId="0" fontId="40" fillId="0" borderId="0" xfId="43" applyFont="1" applyAlignment="1">
      <alignment horizontal="center" vertical="center"/>
    </xf>
    <xf numFmtId="0" fontId="41" fillId="0" borderId="0" xfId="43" applyFont="1" applyAlignment="1">
      <alignment horizontal="center" vertical="center"/>
    </xf>
    <xf numFmtId="0" fontId="30" fillId="40" borderId="0" xfId="43" applyFont="1" applyFill="1" applyAlignment="1">
      <alignment horizontal="center" vertical="center"/>
    </xf>
    <xf numFmtId="0" fontId="21" fillId="0" borderId="0" xfId="43" applyFont="1" applyAlignment="1">
      <alignment horizontal="center" vertical="center"/>
    </xf>
    <xf numFmtId="0" fontId="30" fillId="41" borderId="0" xfId="43" applyFont="1" applyFill="1" applyAlignment="1">
      <alignment horizontal="center" vertical="center"/>
    </xf>
    <xf numFmtId="0" fontId="22" fillId="0" borderId="0" xfId="43" applyFont="1" applyAlignment="1">
      <alignment vertical="center"/>
    </xf>
    <xf numFmtId="14" fontId="0" fillId="0" borderId="0" xfId="0" applyNumberFormat="1"/>
    <xf numFmtId="14" fontId="19" fillId="0" borderId="14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49" fontId="19" fillId="0" borderId="11" xfId="0" applyNumberFormat="1" applyFont="1" applyBorder="1" applyAlignment="1">
      <alignment horizontal="centerContinuous" wrapText="1"/>
    </xf>
    <xf numFmtId="49" fontId="19" fillId="0" borderId="12" xfId="0" applyNumberFormat="1" applyFont="1" applyBorder="1" applyAlignment="1">
      <alignment horizontal="centerContinuous" wrapText="1"/>
    </xf>
    <xf numFmtId="49" fontId="19" fillId="0" borderId="13" xfId="0" applyNumberFormat="1" applyFont="1" applyBorder="1" applyAlignment="1">
      <alignment horizontal="centerContinuous" wrapText="1"/>
    </xf>
    <xf numFmtId="0" fontId="0" fillId="0" borderId="0" xfId="0" applyAlignment="1">
      <alignment horizontal="left" vertical="center"/>
    </xf>
    <xf numFmtId="14" fontId="21" fillId="33" borderId="15" xfId="43" applyNumberFormat="1" applyFont="1" applyFill="1" applyBorder="1" applyAlignment="1">
      <alignment horizontal="center" vertical="center"/>
    </xf>
    <xf numFmtId="49" fontId="0" fillId="0" borderId="0" xfId="0" applyNumberFormat="1"/>
    <xf numFmtId="0" fontId="0" fillId="36" borderId="0" xfId="0" applyFill="1" applyAlignment="1">
      <alignment horizontal="left" vertical="center"/>
    </xf>
    <xf numFmtId="174" fontId="37" fillId="34" borderId="19" xfId="1" applyNumberFormat="1" applyFont="1" applyFill="1" applyBorder="1" applyAlignment="1">
      <alignment horizontal="center" vertical="center"/>
    </xf>
    <xf numFmtId="174" fontId="36" fillId="38" borderId="22" xfId="1" applyNumberFormat="1" applyFont="1" applyFill="1" applyBorder="1" applyAlignment="1">
      <alignment vertical="center"/>
    </xf>
    <xf numFmtId="174" fontId="36" fillId="38" borderId="23" xfId="1" applyNumberFormat="1" applyFont="1" applyFill="1" applyBorder="1" applyAlignment="1">
      <alignment horizontal="center" vertical="center"/>
    </xf>
    <xf numFmtId="174" fontId="25" fillId="34" borderId="19" xfId="1" applyNumberFormat="1" applyFont="1" applyFill="1" applyBorder="1" applyProtection="1">
      <protection locked="0"/>
    </xf>
    <xf numFmtId="0" fontId="21" fillId="0" borderId="0" xfId="43" applyFont="1" applyAlignment="1">
      <alignment horizontal="center" vertical="center"/>
    </xf>
    <xf numFmtId="0" fontId="20" fillId="33" borderId="20" xfId="45" applyFont="1" applyFill="1" applyBorder="1" applyAlignment="1">
      <alignment horizontal="center" vertical="center" wrapText="1"/>
    </xf>
    <xf numFmtId="0" fontId="20" fillId="33" borderId="15" xfId="45" applyFont="1" applyFill="1" applyBorder="1" applyAlignment="1">
      <alignment horizontal="center" vertical="center" wrapText="1"/>
    </xf>
    <xf numFmtId="0" fontId="20" fillId="33" borderId="19" xfId="45" applyFont="1" applyFill="1" applyBorder="1" applyAlignment="1">
      <alignment horizontal="center" vertical="center" wrapText="1"/>
    </xf>
    <xf numFmtId="168" fontId="20" fillId="33" borderId="19" xfId="46" applyNumberFormat="1" applyFont="1" applyFill="1" applyBorder="1" applyAlignment="1">
      <alignment horizontal="center" vertical="center" wrapText="1"/>
    </xf>
    <xf numFmtId="0" fontId="27" fillId="0" borderId="0" xfId="45" applyFont="1" applyAlignment="1">
      <alignment horizontal="center" vertical="center"/>
    </xf>
    <xf numFmtId="166" fontId="28" fillId="0" borderId="0" xfId="45" applyNumberFormat="1" applyFont="1" applyAlignment="1" applyProtection="1">
      <alignment horizontal="center" vertical="center"/>
      <protection locked="0"/>
    </xf>
    <xf numFmtId="169" fontId="33" fillId="37" borderId="18" xfId="45" applyNumberFormat="1" applyFont="1" applyFill="1" applyBorder="1" applyAlignment="1">
      <alignment horizontal="center" vertical="center"/>
    </xf>
    <xf numFmtId="0" fontId="33" fillId="37" borderId="18" xfId="45" applyFont="1" applyFill="1" applyBorder="1" applyAlignment="1">
      <alignment horizontal="center" vertical="center"/>
    </xf>
    <xf numFmtId="0" fontId="20" fillId="33" borderId="19" xfId="43" applyFont="1" applyFill="1" applyBorder="1" applyAlignment="1">
      <alignment horizontal="center" vertical="center"/>
    </xf>
    <xf numFmtId="0" fontId="21" fillId="33" borderId="19" xfId="43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omma" xfId="44" builtinId="3"/>
    <cellStyle name="Comma [0]" xfId="1" builtinId="6"/>
    <cellStyle name="Comma 2" xfId="46" xr:uid="{F4903D79-8FEF-4B64-B795-FB367CEC1492}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552D2B0E-6E92-4F9B-B04C-B4F7E087AD95}"/>
    <cellStyle name="Normal_Bang cham cong tu dong" xfId="45" xr:uid="{092D5859-F51C-4368-A877-2CA01CD2A76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85"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indexed="13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dd/mm/yyyy"/>
    </dxf>
    <dxf>
      <numFmt numFmtId="164" formatCode="[$-F400]h:mm:ss\ AM/PM"/>
    </dxf>
    <dxf>
      <numFmt numFmtId="16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3" formatCode="_ * #,##0_)_ ;_ * \(#,##0\)_ ;_ * &quot;-&quot;_)_ ;_ @_ "/>
      <alignment horizontal="left" vertical="center" textRotation="0" wrapText="0" indent="0" justifyLastLine="0" shrinkToFit="0" readingOrder="0"/>
    </dxf>
    <dxf>
      <numFmt numFmtId="33" formatCode="_ * #,##0_)_ ;_ * \(#,##0\)_ ;_ * &quot;-&quot;_)_ ;_ @_ "/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2</xdr:row>
      <xdr:rowOff>0</xdr:rowOff>
    </xdr:from>
    <xdr:to>
      <xdr:col>11</xdr:col>
      <xdr:colOff>161925</xdr:colOff>
      <xdr:row>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6276975" y="44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247650</xdr:colOff>
          <xdr:row>0</xdr:row>
          <xdr:rowOff>0</xdr:rowOff>
        </xdr:from>
        <xdr:to>
          <xdr:col>15</xdr:col>
          <xdr:colOff>161925</xdr:colOff>
          <xdr:row>35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A43026-D252-46B6-9151-EA5C431A7DB4}" name="Table2" displayName="Table2" ref="A2:AI32" totalsRowShown="0" headerRowDxfId="84" tableBorderDxfId="83">
  <autoFilter ref="A2:AI32" xr:uid="{69A43026-D252-46B6-9151-EA5C431A7DB4}"/>
  <tableColumns count="35">
    <tableColumn id="1" xr3:uid="{BB862E94-C28F-4202-A621-40CFD1070CFA}" name="ID Người" dataDxfId="82"/>
    <tableColumn id="2" xr3:uid="{0BD185FF-77E1-4FFD-90C2-2CAD54BCCEF6}" name="Tên" dataDxfId="81"/>
    <tableColumn id="3" xr3:uid="{7713A2DA-4EF2-4F49-B49C-F7F9116AB2A8}" name="Bộ phận" dataDxfId="80"/>
    <tableColumn id="4" xr3:uid="{AB804768-7FB4-4892-8F40-F878885FC882}" name="Ngày" dataDxfId="79"/>
    <tableColumn id="5" xr3:uid="{2A23F28F-099B-4404-BE8C-5104EBF9DF0C}" name="Ca làm việc" dataDxfId="78"/>
    <tableColumn id="6" xr3:uid="{F43AB9EB-BC5B-4285-9C21-EFF01B60A422}" name="Thời gian biểu" dataDxfId="77"/>
    <tableColumn id="7" xr3:uid="{C0B8F5DB-8B7E-4F09-8592-4B463E0E518F}" name="Tình trạng chuyên cần" dataDxfId="76"/>
    <tableColumn id="8" xr3:uid="{6DA7A686-5E43-40A2-BE72-2932A61E0FE1}" name="Vào" dataDxfId="75"/>
    <tableColumn id="9" xr3:uid="{17274890-B857-4B21-9267-1EF4A26C3EA5}" name="Ra" dataDxfId="74"/>
    <tableColumn id="10" xr3:uid="{47401314-554B-4DFE-B561-D087A47DE836}" name="Muộn" dataDxfId="73"/>
    <tableColumn id="11" xr3:uid="{419444D8-FC33-4147-B971-94EF7048353C}" name="Đã tham dự" dataDxfId="72"/>
    <tableColumn id="12" xr3:uid="{11A31409-40B6-4D08-8E97-E4C8C9F7A68B}" name="Vắng mặt" dataDxfId="71"/>
    <tableColumn id="13" xr3:uid="{2006D5F9-2030-43E9-91E4-C95812D11967}" name="Đã làm việc" dataDxfId="70"/>
    <tableColumn id="14" xr3:uid="{E847D8B6-718A-44E7-AB94-04F489448C8F}" name="Thoát" dataDxfId="69"/>
    <tableColumn id="15" xr3:uid="{93A23DDC-0254-4173-8DD2-AFACD9554760}" name="Tăng ca 1" dataDxfId="68"/>
    <tableColumn id="16" xr3:uid="{5CABDF8B-C4BF-47DA-A98E-CB8493E06BF2}" name="Tăng ca 2" dataDxfId="67"/>
    <tableColumn id="17" xr3:uid="{60F7EDAD-4124-402C-ABAA-BF050EE0728F}" name="Tăng ca 3" dataDxfId="66"/>
    <tableColumn id="37" xr3:uid="{ABDFDDF8-D8FE-4E6D-BAC7-5E93C5C66A83}" name="Mã Do công" dataDxfId="65">
      <calculatedColumnFormula>A3&amp;U3</calculatedColumnFormula>
    </tableColumn>
    <tableColumn id="18" xr3:uid="{5F88F8DA-884B-4E1B-8CEE-3491F9CEA8AC}" name="Tên nhân viên">
      <calculatedColumnFormula>VLOOKUP(A3,Data_NV!$A:$C,3,0)</calculatedColumnFormula>
    </tableColumn>
    <tableColumn id="19" xr3:uid="{463115AE-AA69-45E0-A35E-9A45BB7EA09A}" name="Bộ phận2">
      <calculatedColumnFormula>VLOOKUP(A3,Data_NV!$A:$E,4,0)</calculatedColumnFormula>
    </tableColumn>
    <tableColumn id="35" xr3:uid="{4012BD37-1D14-4FEA-8F32-F32DE1DEAFC5}" name="Ngày chấm công" dataDxfId="64">
      <calculatedColumnFormula>DATEVALUE(Table2[[#This Row],[Ngày]])</calculatedColumnFormula>
    </tableColumn>
    <tableColumn id="20" xr3:uid="{379046A5-F4B1-45EE-9D42-C0A2F1531BCD}" name="Trạng thái">
      <calculatedColumnFormula>VLOOKUP(A3,Data_NV!$A:$E,5,0)</calculatedColumnFormula>
    </tableColumn>
    <tableColumn id="23" xr3:uid="{E11D05B9-0EBF-40D2-8789-8D2A1D146AE1}" name="Giờ vào HC" dataDxfId="63">
      <calculatedColumnFormula>VLOOKUP(A3,Data_NV!$A:$I,8,0)</calculatedColumnFormula>
    </tableColumn>
    <tableColumn id="24" xr3:uid="{627170BD-CC2C-48AF-A3B9-00FA26225659}" name="Giờ ra HC" dataDxfId="62">
      <calculatedColumnFormula>VLOOKUP(A3,Data_NV!$A:$I,9,0)</calculatedColumnFormula>
    </tableColumn>
    <tableColumn id="26" xr3:uid="{6E17ECA6-D272-46EA-8FAB-08A65E856033}" name="Giờ vao TT" dataDxfId="61">
      <calculatedColumnFormula>IFERROR(TIMEVALUE(Table2[[#This Row],[Vào]]),0)</calculatedColumnFormula>
    </tableColumn>
    <tableColumn id="25" xr3:uid="{DEDA3888-B791-4991-A8F4-D1FC97E08C92}" name="Giờ ra TT" dataDxfId="60">
      <calculatedColumnFormula>IFERROR(TIMEVALUE(Table2[[#This Row],[Ra]]),0)</calculatedColumnFormula>
    </tableColumn>
    <tableColumn id="21" xr3:uid="{8E55B1CA-63B8-4C1A-AE21-23A9610978AA}" name="Ngày công" dataDxfId="59">
      <calculatedColumnFormula>IF(TEXT($U3,"ddd")="CN","Chủ nhật",IF(OR(AND(Y3=0,Z3=0),AG3="Không chấm công do vi phạm quá 3 lần"),"",IF(OR(AG3="Trừ 1/2 ngày lương",AF3="Trừ 1/2 ngày lương",AB3&gt;=60),"1/2","x")))</calculatedColumnFormula>
    </tableColumn>
    <tableColumn id="22" xr3:uid="{47ED9F82-8B86-43A9-B0EE-B7D8C8499D70}" name="Muộn (Phút)" dataDxfId="58">
      <calculatedColumnFormula>IF(Y3&lt;=W3,0,ROUNDDOWN((Y3-W3)*24*60,0))</calculatedColumnFormula>
    </tableColumn>
    <tableColumn id="29" xr3:uid="{8A5F5DF0-E736-47CA-92D0-F490B81162C6}" name="Châm công" dataDxfId="57">
      <calculatedColumnFormula>IF(VLOOKUP(A3,Data_NV!$A:$I,7,0)="Không","",IF(OR(AND(Y3=0,Z3=0),AND(Y3&lt;&gt;0,Z3&lt;&gt;0)),"","Quên chấm công"))</calculatedColumnFormula>
    </tableColumn>
    <tableColumn id="28" xr3:uid="{6DB0A2FA-0148-4DB3-B7B2-A28D7B6BA95C}" name="Về sớm" dataDxfId="56">
      <calculatedColumnFormula>IF(VLOOKUP(A3,Data_NV!$A:$I,7,0)="Không",0,IF(AND(Y3=0,Z3=0),0,IF(X3&lt;=Z3,0,ROUNDDOWN((X3-Z3)*24*60,0))))</calculatedColumnFormula>
    </tableColumn>
    <tableColumn id="27" xr3:uid="{1DB9F942-A299-48AA-816A-C32C193E24C8}" name="Tăng ca (phút)" dataDxfId="55">
      <calculatedColumnFormula>IF(VLOOKUP(A3,Data_NV!$A:$I,6,0)="Không",0,IF(Z3&lt;=X3,0,ROUNDDOWN((Z3-X3)*24*60,0)))</calculatedColumnFormula>
    </tableColumn>
    <tableColumn id="30" xr3:uid="{BAB95E75-338D-4971-B92C-A9C2D39ACDD9}" name="Phạt muộn" dataDxfId="54" dataCellStyle="Comma [0]">
      <calculatedColumnFormula>IF(AB3&gt;60,"Trừ 1/2 ngày lương",IF(AB3&gt;15,50000,IF(AB3&gt;6,30000,0)))</calculatedColumnFormula>
    </tableColumn>
    <tableColumn id="34" xr3:uid="{E3CD53FE-A9FD-4C0E-BF1A-5B86AFE89C3B}" name="Phạt Quên chấm công" dataDxfId="53" dataCellStyle="Comma [0]">
      <calculatedColumnFormula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calculatedColumnFormula>
    </tableColumn>
    <tableColumn id="31" xr3:uid="{79978BF7-3689-4002-A635-9BD7FA4E9260}" name="Trừ lương do vi phạm" dataDxfId="52">
      <calculatedColumnFormula>IF(AF3=0,"",IF(COUNTIFS($AF$3:AF3,"&gt;0",$S$3:S3,S3)&gt;3,"Trừ toàn bộ chuyên cần tháng",""))</calculatedColumnFormula>
    </tableColumn>
    <tableColumn id="32" xr3:uid="{5F69CE8B-BE54-468A-8330-7BCD118B7209}" name="Ghi Chú" dataDxfId="5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EEB7B5-F328-4E59-B2FC-7BFE65B9EB89}" name="Table1" displayName="Table1" ref="A1:J66" totalsRowShown="0" headerRowDxfId="50" headerRowBorderDxfId="49" tableBorderDxfId="48" headerRowCellStyle="Normal 2">
  <autoFilter ref="A1:J66" xr:uid="{EDEEB7B5-F328-4E59-B2FC-7BFE65B9EB89}"/>
  <tableColumns count="10">
    <tableColumn id="1" xr3:uid="{28B3DE7C-E72E-4CB6-A6A8-D01064BFA6AF}" name="ID" dataDxfId="47" dataCellStyle="Normal 2"/>
    <tableColumn id="2" xr3:uid="{35312885-B972-46CB-B124-B447B2202ADD}" name="STT" dataDxfId="46" dataCellStyle="Normal 2"/>
    <tableColumn id="3" xr3:uid="{34F4AB2D-0732-4B16-803D-4561E99F702C}" name="Họ và Tên " dataDxfId="45" dataCellStyle="Normal 2"/>
    <tableColumn id="4" xr3:uid="{7F2C4F1C-06DA-4D26-B37E-36F2A4BC6626}" name="Bộ phận" dataDxfId="44" dataCellStyle="Normal 2"/>
    <tableColumn id="5" xr3:uid="{3580CA74-BCBB-4337-9BC4-1B0E3967B478}" name="Trạng thái"/>
    <tableColumn id="6" xr3:uid="{5D38C5F6-AF3D-49A9-BF86-500594C48108}" name="Tăng ca"/>
    <tableColumn id="7" xr3:uid="{E1272746-23FE-40AD-B1E2-8007B373B8F0}" name="Chấm vân tay giờ về"/>
    <tableColumn id="8" xr3:uid="{56A759CA-040F-4DC4-9A11-B6ACD506FEE9}" name="Giờ vào HC" dataDxfId="43"/>
    <tableColumn id="9" xr3:uid="{3916B849-A234-487E-8060-FCED5E70F5BC}" name="Giờ Về" dataDxfId="42"/>
    <tableColumn id="10" xr3:uid="{417F2E2A-9AD1-4ECD-8AF3-F50F1C40BBFB}" name="Ngày sinh" dataDxfId="4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12AC3-5426-4EFE-A920-CF2031E89790}">
  <dimension ref="A1:AP56"/>
  <sheetViews>
    <sheetView tabSelected="1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G18" sqref="G18"/>
    </sheetView>
  </sheetViews>
  <sheetFormatPr defaultRowHeight="15" x14ac:dyDescent="0.25"/>
  <cols>
    <col min="1" max="1" width="3.28515625" bestFit="1" customWidth="1"/>
    <col min="2" max="2" width="4.42578125" bestFit="1" customWidth="1"/>
    <col min="3" max="3" width="23.28515625" bestFit="1" customWidth="1"/>
    <col min="42" max="42" width="11.5703125" bestFit="1" customWidth="1"/>
  </cols>
  <sheetData>
    <row r="1" spans="1:42" ht="20.25" x14ac:dyDescent="0.25">
      <c r="A1" s="28"/>
      <c r="B1" s="29"/>
      <c r="C1" s="102" t="s">
        <v>245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30"/>
      <c r="AM1" s="30"/>
      <c r="AN1" s="103">
        <f>DATE(U2,R2,1)</f>
        <v>45901</v>
      </c>
      <c r="AO1" s="103"/>
      <c r="AP1" s="31"/>
    </row>
    <row r="2" spans="1:42" ht="15.75" x14ac:dyDescent="0.25">
      <c r="A2" s="28"/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4"/>
      <c r="O2" s="33"/>
      <c r="P2" s="28"/>
      <c r="Q2" s="35" t="s">
        <v>246</v>
      </c>
      <c r="R2" s="104">
        <v>9</v>
      </c>
      <c r="S2" s="104"/>
      <c r="T2" s="35" t="s">
        <v>247</v>
      </c>
      <c r="U2" s="105">
        <v>2025</v>
      </c>
      <c r="V2" s="105"/>
      <c r="W2" s="105"/>
      <c r="X2" s="36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28"/>
      <c r="AK2" s="28"/>
      <c r="AL2" s="28"/>
      <c r="AM2" s="28"/>
      <c r="AN2" s="28"/>
      <c r="AO2" s="28"/>
      <c r="AP2" s="31"/>
    </row>
    <row r="3" spans="1:42" x14ac:dyDescent="0.25">
      <c r="A3" s="28"/>
      <c r="B3" s="106" t="s">
        <v>162</v>
      </c>
      <c r="C3" s="107" t="s">
        <v>163</v>
      </c>
      <c r="D3" s="38">
        <f>AN1</f>
        <v>45901</v>
      </c>
      <c r="E3" s="38">
        <f t="shared" ref="E3:T4" si="0">D3+1</f>
        <v>45902</v>
      </c>
      <c r="F3" s="38">
        <f t="shared" si="0"/>
        <v>45903</v>
      </c>
      <c r="G3" s="38">
        <f t="shared" si="0"/>
        <v>45904</v>
      </c>
      <c r="H3" s="38">
        <f t="shared" si="0"/>
        <v>45905</v>
      </c>
      <c r="I3" s="38">
        <f t="shared" si="0"/>
        <v>45906</v>
      </c>
      <c r="J3" s="38">
        <f t="shared" si="0"/>
        <v>45907</v>
      </c>
      <c r="K3" s="38">
        <f t="shared" si="0"/>
        <v>45908</v>
      </c>
      <c r="L3" s="38">
        <f t="shared" si="0"/>
        <v>45909</v>
      </c>
      <c r="M3" s="38">
        <f t="shared" si="0"/>
        <v>45910</v>
      </c>
      <c r="N3" s="38">
        <f t="shared" si="0"/>
        <v>45911</v>
      </c>
      <c r="O3" s="38">
        <f t="shared" si="0"/>
        <v>45912</v>
      </c>
      <c r="P3" s="38">
        <f t="shared" si="0"/>
        <v>45913</v>
      </c>
      <c r="Q3" s="38">
        <f t="shared" si="0"/>
        <v>45914</v>
      </c>
      <c r="R3" s="38">
        <f t="shared" si="0"/>
        <v>45915</v>
      </c>
      <c r="S3" s="38">
        <f t="shared" si="0"/>
        <v>45916</v>
      </c>
      <c r="T3" s="38">
        <f t="shared" si="0"/>
        <v>45917</v>
      </c>
      <c r="U3" s="38">
        <f t="shared" ref="U3:AE4" si="1">T3+1</f>
        <v>45918</v>
      </c>
      <c r="V3" s="38">
        <f t="shared" si="1"/>
        <v>45919</v>
      </c>
      <c r="W3" s="38">
        <f t="shared" si="1"/>
        <v>45920</v>
      </c>
      <c r="X3" s="38">
        <f t="shared" si="1"/>
        <v>45921</v>
      </c>
      <c r="Y3" s="38">
        <f t="shared" si="1"/>
        <v>45922</v>
      </c>
      <c r="Z3" s="38">
        <f t="shared" si="1"/>
        <v>45923</v>
      </c>
      <c r="AA3" s="38">
        <f t="shared" si="1"/>
        <v>45924</v>
      </c>
      <c r="AB3" s="38">
        <f t="shared" si="1"/>
        <v>45925</v>
      </c>
      <c r="AC3" s="38">
        <f t="shared" si="1"/>
        <v>45926</v>
      </c>
      <c r="AD3" s="38">
        <f t="shared" si="1"/>
        <v>45927</v>
      </c>
      <c r="AE3" s="38">
        <f t="shared" si="1"/>
        <v>45928</v>
      </c>
      <c r="AF3" s="38">
        <f t="shared" ref="AF3:AH4" si="2">IF(AE3="","",IF(DAY(AE3+1)=1,"",AE3+1))</f>
        <v>45929</v>
      </c>
      <c r="AG3" s="38">
        <f t="shared" si="2"/>
        <v>45930</v>
      </c>
      <c r="AH3" s="38" t="str">
        <f t="shared" si="2"/>
        <v/>
      </c>
      <c r="AI3" s="100" t="s">
        <v>207</v>
      </c>
      <c r="AJ3" s="100" t="s">
        <v>248</v>
      </c>
      <c r="AK3" s="100" t="s">
        <v>249</v>
      </c>
      <c r="AL3" s="100" t="s">
        <v>250</v>
      </c>
      <c r="AM3" s="98" t="s">
        <v>251</v>
      </c>
      <c r="AN3" s="100" t="s">
        <v>252</v>
      </c>
      <c r="AO3" s="100" t="s">
        <v>253</v>
      </c>
      <c r="AP3" s="101" t="s">
        <v>254</v>
      </c>
    </row>
    <row r="4" spans="1:42" ht="43.5" x14ac:dyDescent="0.25">
      <c r="A4" s="28" t="s">
        <v>164</v>
      </c>
      <c r="B4" s="106"/>
      <c r="C4" s="107"/>
      <c r="D4" s="39">
        <f>AN1</f>
        <v>45901</v>
      </c>
      <c r="E4" s="40">
        <f t="shared" si="0"/>
        <v>45902</v>
      </c>
      <c r="F4" s="40">
        <f>E4+1</f>
        <v>45903</v>
      </c>
      <c r="G4" s="40">
        <f t="shared" si="0"/>
        <v>45904</v>
      </c>
      <c r="H4" s="40">
        <f t="shared" si="0"/>
        <v>45905</v>
      </c>
      <c r="I4" s="40">
        <f t="shared" si="0"/>
        <v>45906</v>
      </c>
      <c r="J4" s="40">
        <f t="shared" si="0"/>
        <v>45907</v>
      </c>
      <c r="K4" s="40">
        <f t="shared" si="0"/>
        <v>45908</v>
      </c>
      <c r="L4" s="40">
        <f t="shared" si="0"/>
        <v>45909</v>
      </c>
      <c r="M4" s="40">
        <f t="shared" si="0"/>
        <v>45910</v>
      </c>
      <c r="N4" s="40">
        <f t="shared" si="0"/>
        <v>45911</v>
      </c>
      <c r="O4" s="40">
        <f t="shared" si="0"/>
        <v>45912</v>
      </c>
      <c r="P4" s="40">
        <f t="shared" si="0"/>
        <v>45913</v>
      </c>
      <c r="Q4" s="40">
        <f t="shared" si="0"/>
        <v>45914</v>
      </c>
      <c r="R4" s="40">
        <f t="shared" si="0"/>
        <v>45915</v>
      </c>
      <c r="S4" s="40">
        <f t="shared" si="0"/>
        <v>45916</v>
      </c>
      <c r="T4" s="40">
        <f t="shared" si="0"/>
        <v>45917</v>
      </c>
      <c r="U4" s="40">
        <f t="shared" si="1"/>
        <v>45918</v>
      </c>
      <c r="V4" s="40">
        <f t="shared" si="1"/>
        <v>45919</v>
      </c>
      <c r="W4" s="40">
        <f t="shared" si="1"/>
        <v>45920</v>
      </c>
      <c r="X4" s="40">
        <f t="shared" si="1"/>
        <v>45921</v>
      </c>
      <c r="Y4" s="40">
        <f t="shared" si="1"/>
        <v>45922</v>
      </c>
      <c r="Z4" s="40">
        <f t="shared" si="1"/>
        <v>45923</v>
      </c>
      <c r="AA4" s="40">
        <f t="shared" si="1"/>
        <v>45924</v>
      </c>
      <c r="AB4" s="40">
        <f t="shared" si="1"/>
        <v>45925</v>
      </c>
      <c r="AC4" s="40">
        <f t="shared" si="1"/>
        <v>45926</v>
      </c>
      <c r="AD4" s="40">
        <f t="shared" si="1"/>
        <v>45927</v>
      </c>
      <c r="AE4" s="40">
        <f t="shared" si="1"/>
        <v>45928</v>
      </c>
      <c r="AF4" s="40">
        <f t="shared" si="2"/>
        <v>45929</v>
      </c>
      <c r="AG4" s="40">
        <f t="shared" si="2"/>
        <v>45930</v>
      </c>
      <c r="AH4" s="40" t="str">
        <f t="shared" si="2"/>
        <v/>
      </c>
      <c r="AI4" s="100"/>
      <c r="AJ4" s="100"/>
      <c r="AK4" s="100"/>
      <c r="AL4" s="100"/>
      <c r="AM4" s="99"/>
      <c r="AN4" s="100"/>
      <c r="AO4" s="100" t="s">
        <v>255</v>
      </c>
      <c r="AP4" s="101"/>
    </row>
    <row r="5" spans="1:42" ht="15.75" x14ac:dyDescent="0.25">
      <c r="A5" s="28"/>
      <c r="B5" s="41"/>
      <c r="C5" s="41" t="s">
        <v>165</v>
      </c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4"/>
      <c r="AJ5" s="45"/>
      <c r="AK5" s="45"/>
      <c r="AL5" s="45"/>
      <c r="AM5" s="45"/>
      <c r="AN5" s="45"/>
      <c r="AO5" s="45"/>
      <c r="AP5" s="46"/>
    </row>
    <row r="6" spans="1:42" ht="15.75" x14ac:dyDescent="0.25">
      <c r="A6" s="28" t="s">
        <v>131</v>
      </c>
      <c r="B6" s="47">
        <v>1</v>
      </c>
      <c r="C6" s="48" t="s">
        <v>166</v>
      </c>
      <c r="D6" s="49" t="str">
        <f>IFERROR(IF(D$3="","",IF(TEXT(D$3,"ddd")="CN","CN",VLOOKUP($A6&amp;D$3,Data_Cong!$R:$AI,10,0))),"")</f>
        <v/>
      </c>
      <c r="E6" s="49" t="str">
        <f>IFERROR(IF(E$3="","",IF(TEXT(E$3,"ddd")="CN","CN",VLOOKUP($A6&amp;E$3,Data_Cong!$R:$AI,10,0))),"")</f>
        <v/>
      </c>
      <c r="F6" s="49" t="str">
        <f>IFERROR(IF(F$3="","",IF(TEXT(F$3,"ddd")="CN","CN",VLOOKUP($A6&amp;F$3,Data_Cong!$R:$AI,10,0))),"")</f>
        <v/>
      </c>
      <c r="G6" s="49" t="str">
        <f>IFERROR(IF(G$3="","",IF(TEXT(G$3,"ddd")="CN","CN",VLOOKUP($A6&amp;G$3,Data_Cong!$R:$AI,10,0))),"")</f>
        <v/>
      </c>
      <c r="H6" s="49" t="str">
        <f>IFERROR(IF(H$3="","",IF(TEXT(H$3,"ddd")="CN","CN",VLOOKUP($A6&amp;H$3,Data_Cong!$R:$AI,10,0))),"")</f>
        <v/>
      </c>
      <c r="I6" s="49" t="str">
        <f>IFERROR(IF(I$3="","",IF(TEXT(I$3,"ddd")="CN","CN",VLOOKUP($A6&amp;I$3,Data_Cong!$R:$AI,10,0))),"")</f>
        <v/>
      </c>
      <c r="J6" s="49" t="str">
        <f>IFERROR(IF(J$3="","",IF(TEXT(J$3,"ddd")="CN","CN",VLOOKUP($A6&amp;J$3,Data_Cong!$R:$AI,10,0))),"")</f>
        <v>CN</v>
      </c>
      <c r="K6" s="49" t="str">
        <f>IFERROR(IF(K$3="","",IF(TEXT(K$3,"ddd")="CN","CN",VLOOKUP($A6&amp;K$3,Data_Cong!$R:$AI,10,0))),"")</f>
        <v/>
      </c>
      <c r="L6" s="49" t="str">
        <f>IFERROR(IF(L$3="","",IF(TEXT(L$3,"ddd")="CN","CN",VLOOKUP($A6&amp;L$3,Data_Cong!$R:$AI,10,0))),"")</f>
        <v/>
      </c>
      <c r="M6" s="49" t="str">
        <f>IFERROR(IF(M$3="","",IF(TEXT(M$3,"ddd")="CN","CN",VLOOKUP($A6&amp;M$3,Data_Cong!$R:$AI,10,0))),"")</f>
        <v/>
      </c>
      <c r="N6" s="49" t="str">
        <f>IFERROR(IF(N$3="","",IF(TEXT(N$3,"ddd")="CN","CN",VLOOKUP($A6&amp;N$3,Data_Cong!$R:$AI,10,0))),"")</f>
        <v/>
      </c>
      <c r="O6" s="49" t="str">
        <f>IFERROR(IF(O$3="","",IF(TEXT(O$3,"ddd")="CN","CN",VLOOKUP($A6&amp;O$3,Data_Cong!$R:$AI,10,0))),"")</f>
        <v/>
      </c>
      <c r="P6" s="49" t="str">
        <f>IFERROR(IF(P$3="","",IF(TEXT(P$3,"ddd")="CN","CN",VLOOKUP($A6&amp;P$3,Data_Cong!$R:$AI,10,0))),"")</f>
        <v/>
      </c>
      <c r="Q6" s="49" t="str">
        <f>IFERROR(IF(Q$3="","",IF(TEXT(Q$3,"ddd")="CN","CN",VLOOKUP($A6&amp;Q$3,Data_Cong!$R:$AI,10,0))),"")</f>
        <v>CN</v>
      </c>
      <c r="R6" s="49" t="str">
        <f>IFERROR(IF(R$3="","",IF(TEXT(R$3,"ddd")="CN","CN",VLOOKUP($A6&amp;R$3,Data_Cong!$R:$AI,10,0))),"")</f>
        <v/>
      </c>
      <c r="S6" s="49" t="str">
        <f>IFERROR(IF(S$3="","",IF(TEXT(S$3,"ddd")="CN","CN",VLOOKUP($A6&amp;S$3,Data_Cong!$R:$AI,10,0))),"")</f>
        <v/>
      </c>
      <c r="T6" s="49" t="str">
        <f>IFERROR(IF(T$3="","",IF(TEXT(T$3,"ddd")="CN","CN",VLOOKUP($A6&amp;T$3,Data_Cong!$R:$AI,10,0))),"")</f>
        <v/>
      </c>
      <c r="U6" s="49" t="str">
        <f>IFERROR(IF(U$3="","",IF(TEXT(U$3,"ddd")="CN","CN",VLOOKUP($A6&amp;U$3,Data_Cong!$R:$AI,10,0))),"")</f>
        <v/>
      </c>
      <c r="V6" s="49" t="str">
        <f>IFERROR(IF(V$3="","",IF(TEXT(V$3,"ddd")="CN","CN",VLOOKUP($A6&amp;V$3,Data_Cong!$R:$AI,10,0))),"")</f>
        <v/>
      </c>
      <c r="W6" s="49" t="str">
        <f>IFERROR(IF(W$3="","",IF(TEXT(W$3,"ddd")="CN","CN",VLOOKUP($A6&amp;W$3,Data_Cong!$R:$AI,10,0))),"")</f>
        <v/>
      </c>
      <c r="X6" s="49" t="str">
        <f>IFERROR(IF(X$3="","",IF(TEXT(X$3,"ddd")="CN","CN",VLOOKUP($A6&amp;X$3,Data_Cong!$R:$AI,10,0))),"")</f>
        <v>CN</v>
      </c>
      <c r="Y6" s="49" t="str">
        <f>IFERROR(IF(Y$3="","",IF(TEXT(Y$3,"ddd")="CN","CN",VLOOKUP($A6&amp;Y$3,Data_Cong!$R:$AI,10,0))),"")</f>
        <v/>
      </c>
      <c r="Z6" s="49" t="str">
        <f>IFERROR(IF(Z$3="","",IF(TEXT(Z$3,"ddd")="CN","CN",VLOOKUP($A6&amp;Z$3,Data_Cong!$R:$AI,10,0))),"")</f>
        <v/>
      </c>
      <c r="AA6" s="49" t="str">
        <f>IFERROR(IF(AA$3="","",IF(TEXT(AA$3,"ddd")="CN","CN",VLOOKUP($A6&amp;AA$3,Data_Cong!$R:$AI,10,0))),"")</f>
        <v/>
      </c>
      <c r="AB6" s="49" t="str">
        <f>IFERROR(IF(AB$3="","",IF(TEXT(AB$3,"ddd")="CN","CN",VLOOKUP($A6&amp;AB$3,Data_Cong!$R:$AI,10,0))),"")</f>
        <v/>
      </c>
      <c r="AC6" s="49" t="str">
        <f>IFERROR(IF(AC$3="","",IF(TEXT(AC$3,"ddd")="CN","CN",VLOOKUP($A6&amp;AC$3,Data_Cong!$R:$AI,10,0))),"")</f>
        <v/>
      </c>
      <c r="AD6" s="49" t="str">
        <f>IFERROR(IF(AD$3="","",IF(TEXT(AD$3,"ddd")="CN","CN",VLOOKUP($A6&amp;AD$3,Data_Cong!$R:$AI,10,0))),"")</f>
        <v/>
      </c>
      <c r="AE6" s="49" t="str">
        <f>IFERROR(IF(AE$3="","",IF(TEXT(AE$3,"ddd")="CN","CN",VLOOKUP($A6&amp;AE$3,Data_Cong!$R:$AI,10,0))),"")</f>
        <v>CN</v>
      </c>
      <c r="AF6" s="49" t="str">
        <f>IFERROR(IF(AF$3="","",IF(TEXT(AF$3,"ddd")="CN","CN",VLOOKUP($A6&amp;AF$3,Data_Cong!$R:$AI,10,0))),"")</f>
        <v/>
      </c>
      <c r="AG6" s="49" t="str">
        <f>IFERROR(IF(AG$3="","",IF(TEXT(AG$3,"ddd")="CN","CN",VLOOKUP($A6&amp;AG$3,Data_Cong!$R:$AI,10,0))),"")</f>
        <v/>
      </c>
      <c r="AH6" s="49" t="str">
        <f>IFERROR(IF(AH$3="","",IF(TEXT(AH$3,"ddd")="CN","CN",VLOOKUP($A6&amp;AH$3,Data_Cong!$R:$AI,10,0))),"")</f>
        <v/>
      </c>
      <c r="AI6" s="50" cm="1">
        <f t="array" ref="AI6">SUMPRODUCT((D6:AH6="x")*1+(D6:AH6="P")*1+(D6:AH6="1/2P")*1+(D6:AH6="1/2")*0.5+(D6:AH6="2x")*2+(D6:AH6="L")*1)</f>
        <v>0</v>
      </c>
      <c r="AJ6" s="51">
        <f>SUMIF(Data_Cong!A:A,$A6,Data_Cong!AE:AE)</f>
        <v>0</v>
      </c>
      <c r="AK6" s="52">
        <f>COUNTIFS(Data_Cong!AB:AB,"&gt;5",Data_Cong!A:A,A6)</f>
        <v>0</v>
      </c>
      <c r="AL6" s="53" t="str">
        <f>IF(MONTH(VLOOKUP(A6,Data_NV!$A:$J,10,0))=BANG_CHAM_CONG!$R$2,"T"&amp;BANG_CHAM_CONG!$R$2,"")</f>
        <v/>
      </c>
      <c r="AM6" s="96">
        <v>6</v>
      </c>
      <c r="AN6" s="93" cm="1">
        <f t="array" ref="AN6">IF((AM6+1)&gt;12,12,(AM6+1))-SUMPRODUCT((D6:AH6="P")*1+(D6:AH6="1/2P")*0.5)</f>
        <v>7</v>
      </c>
      <c r="AO6" s="50"/>
      <c r="AP6" s="54">
        <f>SUMIFS(Data_Cong!AF:AF,Data_Cong!A:A,$A6)+SUMIFS(Data_Cong!AG:AG,Data_Cong!A:A,$A6)</f>
        <v>0</v>
      </c>
    </row>
    <row r="7" spans="1:42" ht="15.75" x14ac:dyDescent="0.25">
      <c r="A7" s="28" t="s">
        <v>108</v>
      </c>
      <c r="B7" s="47">
        <v>2</v>
      </c>
      <c r="C7" s="48" t="s">
        <v>167</v>
      </c>
      <c r="D7" s="49" t="str">
        <f>IFERROR(IF(D$3="","",IF(TEXT(D$3,"ddd")="CN","CN",VLOOKUP($A7&amp;D$3,Data_Cong!$R:$AI,10,0))),"")</f>
        <v/>
      </c>
      <c r="E7" s="49" t="str">
        <f>IFERROR(IF(E$3="","",IF(TEXT(E$3,"ddd")="CN","CN",VLOOKUP($A7&amp;E$3,Data_Cong!$R:$AI,10,0))),"")</f>
        <v/>
      </c>
      <c r="F7" s="49" t="str">
        <f>IFERROR(IF(F$3="","",IF(TEXT(F$3,"ddd")="CN","CN",VLOOKUP($A7&amp;F$3,Data_Cong!$R:$AI,10,0))),"")</f>
        <v/>
      </c>
      <c r="G7" s="49" t="str">
        <f>IFERROR(IF(G$3="","",IF(TEXT(G$3,"ddd")="CN","CN",VLOOKUP($A7&amp;G$3,Data_Cong!$R:$AI,10,0))),"")</f>
        <v/>
      </c>
      <c r="H7" s="49" t="str">
        <f>IFERROR(IF(H$3="","",IF(TEXT(H$3,"ddd")="CN","CN",VLOOKUP($A7&amp;H$3,Data_Cong!$R:$AI,10,0))),"")</f>
        <v/>
      </c>
      <c r="I7" s="49" t="str">
        <f>IFERROR(IF(I$3="","",IF(TEXT(I$3,"ddd")="CN","CN",VLOOKUP($A7&amp;I$3,Data_Cong!$R:$AI,10,0))),"")</f>
        <v/>
      </c>
      <c r="J7" s="49" t="str">
        <f>IFERROR(IF(J$3="","",IF(TEXT(J$3,"ddd")="CN","CN",VLOOKUP($A7&amp;J$3,Data_Cong!$R:$AI,10,0))),"")</f>
        <v>CN</v>
      </c>
      <c r="K7" s="49" t="str">
        <f>IFERROR(IF(K$3="","",IF(TEXT(K$3,"ddd")="CN","CN",VLOOKUP($A7&amp;K$3,Data_Cong!$R:$AI,10,0))),"")</f>
        <v/>
      </c>
      <c r="L7" s="49" t="str">
        <f>IFERROR(IF(L$3="","",IF(TEXT(L$3,"ddd")="CN","CN",VLOOKUP($A7&amp;L$3,Data_Cong!$R:$AI,10,0))),"")</f>
        <v/>
      </c>
      <c r="M7" s="49" t="str">
        <f>IFERROR(IF(M$3="","",IF(TEXT(M$3,"ddd")="CN","CN",VLOOKUP($A7&amp;M$3,Data_Cong!$R:$AI,10,0))),"")</f>
        <v/>
      </c>
      <c r="N7" s="49" t="str">
        <f>IFERROR(IF(N$3="","",IF(TEXT(N$3,"ddd")="CN","CN",VLOOKUP($A7&amp;N$3,Data_Cong!$R:$AI,10,0))),"")</f>
        <v/>
      </c>
      <c r="O7" s="49" t="str">
        <f>IFERROR(IF(O$3="","",IF(TEXT(O$3,"ddd")="CN","CN",VLOOKUP($A7&amp;O$3,Data_Cong!$R:$AI,10,0))),"")</f>
        <v/>
      </c>
      <c r="P7" s="49" t="str">
        <f>IFERROR(IF(P$3="","",IF(TEXT(P$3,"ddd")="CN","CN",VLOOKUP($A7&amp;P$3,Data_Cong!$R:$AI,10,0))),"")</f>
        <v/>
      </c>
      <c r="Q7" s="49" t="str">
        <f>IFERROR(IF(Q$3="","",IF(TEXT(Q$3,"ddd")="CN","CN",VLOOKUP($A7&amp;Q$3,Data_Cong!$R:$AI,10,0))),"")</f>
        <v>CN</v>
      </c>
      <c r="R7" s="49" t="str">
        <f>IFERROR(IF(R$3="","",IF(TEXT(R$3,"ddd")="CN","CN",VLOOKUP($A7&amp;R$3,Data_Cong!$R:$AI,10,0))),"")</f>
        <v/>
      </c>
      <c r="S7" s="49" t="str">
        <f>IFERROR(IF(S$3="","",IF(TEXT(S$3,"ddd")="CN","CN",VLOOKUP($A7&amp;S$3,Data_Cong!$R:$AI,10,0))),"")</f>
        <v/>
      </c>
      <c r="T7" s="49" t="str">
        <f>IFERROR(IF(T$3="","",IF(TEXT(T$3,"ddd")="CN","CN",VLOOKUP($A7&amp;T$3,Data_Cong!$R:$AI,10,0))),"")</f>
        <v/>
      </c>
      <c r="U7" s="49" t="str">
        <f>IFERROR(IF(U$3="","",IF(TEXT(U$3,"ddd")="CN","CN",VLOOKUP($A7&amp;U$3,Data_Cong!$R:$AI,10,0))),"")</f>
        <v/>
      </c>
      <c r="V7" s="49" t="str">
        <f>IFERROR(IF(V$3="","",IF(TEXT(V$3,"ddd")="CN","CN",VLOOKUP($A7&amp;V$3,Data_Cong!$R:$AI,10,0))),"")</f>
        <v/>
      </c>
      <c r="W7" s="49" t="str">
        <f>IFERROR(IF(W$3="","",IF(TEXT(W$3,"ddd")="CN","CN",VLOOKUP($A7&amp;W$3,Data_Cong!$R:$AI,10,0))),"")</f>
        <v/>
      </c>
      <c r="X7" s="49" t="str">
        <f>IFERROR(IF(X$3="","",IF(TEXT(X$3,"ddd")="CN","CN",VLOOKUP($A7&amp;X$3,Data_Cong!$R:$AI,10,0))),"")</f>
        <v>CN</v>
      </c>
      <c r="Y7" s="49" t="str">
        <f>IFERROR(IF(Y$3="","",IF(TEXT(Y$3,"ddd")="CN","CN",VLOOKUP($A7&amp;Y$3,Data_Cong!$R:$AI,10,0))),"")</f>
        <v/>
      </c>
      <c r="Z7" s="49" t="str">
        <f>IFERROR(IF(Z$3="","",IF(TEXT(Z$3,"ddd")="CN","CN",VLOOKUP($A7&amp;Z$3,Data_Cong!$R:$AI,10,0))),"")</f>
        <v/>
      </c>
      <c r="AA7" s="49" t="str">
        <f>IFERROR(IF(AA$3="","",IF(TEXT(AA$3,"ddd")="CN","CN",VLOOKUP($A7&amp;AA$3,Data_Cong!$R:$AI,10,0))),"")</f>
        <v/>
      </c>
      <c r="AB7" s="49" t="str">
        <f>IFERROR(IF(AB$3="","",IF(TEXT(AB$3,"ddd")="CN","CN",VLOOKUP($A7&amp;AB$3,Data_Cong!$R:$AI,10,0))),"")</f>
        <v/>
      </c>
      <c r="AC7" s="49" t="str">
        <f>IFERROR(IF(AC$3="","",IF(TEXT(AC$3,"ddd")="CN","CN",VLOOKUP($A7&amp;AC$3,Data_Cong!$R:$AI,10,0))),"")</f>
        <v/>
      </c>
      <c r="AD7" s="49" t="str">
        <f>IFERROR(IF(AD$3="","",IF(TEXT(AD$3,"ddd")="CN","CN",VLOOKUP($A7&amp;AD$3,Data_Cong!$R:$AI,10,0))),"")</f>
        <v/>
      </c>
      <c r="AE7" s="49" t="str">
        <f>IFERROR(IF(AE$3="","",IF(TEXT(AE$3,"ddd")="CN","CN",VLOOKUP($A7&amp;AE$3,Data_Cong!$R:$AI,10,0))),"")</f>
        <v>CN</v>
      </c>
      <c r="AF7" s="49" t="str">
        <f>IFERROR(IF(AF$3="","",IF(TEXT(AF$3,"ddd")="CN","CN",VLOOKUP($A7&amp;AF$3,Data_Cong!$R:$AI,10,0))),"")</f>
        <v/>
      </c>
      <c r="AG7" s="49" t="str">
        <f>IFERROR(IF(AG$3="","",IF(TEXT(AG$3,"ddd")="CN","CN",VLOOKUP($A7&amp;AG$3,Data_Cong!$R:$AI,10,0))),"")</f>
        <v/>
      </c>
      <c r="AH7" s="49" t="str">
        <f>IFERROR(IF(AH$3="","",IF(TEXT(AH$3,"ddd")="CN","CN",VLOOKUP($A7&amp;AH$3,Data_Cong!$R:$AI,10,0))),"")</f>
        <v/>
      </c>
      <c r="AI7" s="50" cm="1">
        <f t="array" ref="AI7">SUMPRODUCT((D7:AH7="x")*1+(D7:AH7="P")*1+(D7:AH7="1/2P")*1+(D7:AH7="1/2")*0.5+(D7:AH7="2x")*2+(D7:AH7="L")*1)</f>
        <v>0</v>
      </c>
      <c r="AJ7" s="51">
        <f>SUMIF(Data_Cong!A:A,$A7,Data_Cong!AE:AE)</f>
        <v>0</v>
      </c>
      <c r="AK7" s="52">
        <f>COUNTIFS(Data_Cong!AB:AB,"&gt;5",Data_Cong!A:A,A7)</f>
        <v>0</v>
      </c>
      <c r="AL7" s="53" t="str">
        <f>IF(MONTH(VLOOKUP(A7,Data_NV!$A:$J,10,0))=BANG_CHAM_CONG!$R$2,"T"&amp;BANG_CHAM_CONG!$R$2,"")</f>
        <v/>
      </c>
      <c r="AM7" s="96">
        <v>6</v>
      </c>
      <c r="AN7" s="93" cm="1">
        <f t="array" ref="AN7">IF((AM7+1)&gt;12,12,(AM7+1))-SUMPRODUCT((D7:AH7="P")*1+(D7:AH7="1/2P")*0.5)</f>
        <v>7</v>
      </c>
      <c r="AO7" s="50"/>
      <c r="AP7" s="54">
        <f>SUMIFS(Data_Cong!AF:AF,Data_Cong!A:A,$A7)+SUMIFS(Data_Cong!AG:AG,Data_Cong!A:A,$A7)</f>
        <v>0</v>
      </c>
    </row>
    <row r="8" spans="1:42" ht="15.75" x14ac:dyDescent="0.25">
      <c r="A8" s="28" t="s">
        <v>72</v>
      </c>
      <c r="B8" s="47">
        <v>3</v>
      </c>
      <c r="C8" s="48" t="s">
        <v>168</v>
      </c>
      <c r="D8" s="49" t="str">
        <f>IFERROR(IF(D$3="","",IF(TEXT(D$3,"ddd")="CN","CN",VLOOKUP($A8&amp;D$3,Data_Cong!$R:$AI,10,0))),"")</f>
        <v/>
      </c>
      <c r="E8" s="49" t="str">
        <f>IFERROR(IF(E$3="","",IF(TEXT(E$3,"ddd")="CN","CN",VLOOKUP($A8&amp;E$3,Data_Cong!$R:$AI,10,0))),"")</f>
        <v/>
      </c>
      <c r="F8" s="49" t="str">
        <f>IFERROR(IF(F$3="","",IF(TEXT(F$3,"ddd")="CN","CN",VLOOKUP($A8&amp;F$3,Data_Cong!$R:$AI,10,0))),"")</f>
        <v/>
      </c>
      <c r="G8" s="49" t="str">
        <f>IFERROR(IF(G$3="","",IF(TEXT(G$3,"ddd")="CN","CN",VLOOKUP($A8&amp;G$3,Data_Cong!$R:$AI,10,0))),"")</f>
        <v/>
      </c>
      <c r="H8" s="49" t="str">
        <f>IFERROR(IF(H$3="","",IF(TEXT(H$3,"ddd")="CN","CN",VLOOKUP($A8&amp;H$3,Data_Cong!$R:$AI,10,0))),"")</f>
        <v/>
      </c>
      <c r="I8" s="49" t="str">
        <f>IFERROR(IF(I$3="","",IF(TEXT(I$3,"ddd")="CN","CN",VLOOKUP($A8&amp;I$3,Data_Cong!$R:$AI,10,0))),"")</f>
        <v/>
      </c>
      <c r="J8" s="49" t="str">
        <f>IFERROR(IF(J$3="","",IF(TEXT(J$3,"ddd")="CN","CN",VLOOKUP($A8&amp;J$3,Data_Cong!$R:$AI,10,0))),"")</f>
        <v>CN</v>
      </c>
      <c r="K8" s="49" t="str">
        <f>IFERROR(IF(K$3="","",IF(TEXT(K$3,"ddd")="CN","CN",VLOOKUP($A8&amp;K$3,Data_Cong!$R:$AI,10,0))),"")</f>
        <v/>
      </c>
      <c r="L8" s="49" t="str">
        <f>IFERROR(IF(L$3="","",IF(TEXT(L$3,"ddd")="CN","CN",VLOOKUP($A8&amp;L$3,Data_Cong!$R:$AI,10,0))),"")</f>
        <v/>
      </c>
      <c r="M8" s="49" t="str">
        <f>IFERROR(IF(M$3="","",IF(TEXT(M$3,"ddd")="CN","CN",VLOOKUP($A8&amp;M$3,Data_Cong!$R:$AI,10,0))),"")</f>
        <v/>
      </c>
      <c r="N8" s="49" t="str">
        <f>IFERROR(IF(N$3="","",IF(TEXT(N$3,"ddd")="CN","CN",VLOOKUP($A8&amp;N$3,Data_Cong!$R:$AI,10,0))),"")</f>
        <v/>
      </c>
      <c r="O8" s="49" t="str">
        <f>IFERROR(IF(O$3="","",IF(TEXT(O$3,"ddd")="CN","CN",VLOOKUP($A8&amp;O$3,Data_Cong!$R:$AI,10,0))),"")</f>
        <v/>
      </c>
      <c r="P8" s="49" t="str">
        <f>IFERROR(IF(P$3="","",IF(TEXT(P$3,"ddd")="CN","CN",VLOOKUP($A8&amp;P$3,Data_Cong!$R:$AI,10,0))),"")</f>
        <v/>
      </c>
      <c r="Q8" s="49" t="str">
        <f>IFERROR(IF(Q$3="","",IF(TEXT(Q$3,"ddd")="CN","CN",VLOOKUP($A8&amp;Q$3,Data_Cong!$R:$AI,10,0))),"")</f>
        <v>CN</v>
      </c>
      <c r="R8" s="49" t="str">
        <f>IFERROR(IF(R$3="","",IF(TEXT(R$3,"ddd")="CN","CN",VLOOKUP($A8&amp;R$3,Data_Cong!$R:$AI,10,0))),"")</f>
        <v/>
      </c>
      <c r="S8" s="49" t="str">
        <f>IFERROR(IF(S$3="","",IF(TEXT(S$3,"ddd")="CN","CN",VLOOKUP($A8&amp;S$3,Data_Cong!$R:$AI,10,0))),"")</f>
        <v/>
      </c>
      <c r="T8" s="49" t="str">
        <f>IFERROR(IF(T$3="","",IF(TEXT(T$3,"ddd")="CN","CN",VLOOKUP($A8&amp;T$3,Data_Cong!$R:$AI,10,0))),"")</f>
        <v/>
      </c>
      <c r="U8" s="49" t="str">
        <f>IFERROR(IF(U$3="","",IF(TEXT(U$3,"ddd")="CN","CN",VLOOKUP($A8&amp;U$3,Data_Cong!$R:$AI,10,0))),"")</f>
        <v/>
      </c>
      <c r="V8" s="49" t="str">
        <f>IFERROR(IF(V$3="","",IF(TEXT(V$3,"ddd")="CN","CN",VLOOKUP($A8&amp;V$3,Data_Cong!$R:$AI,10,0))),"")</f>
        <v/>
      </c>
      <c r="W8" s="49" t="str">
        <f>IFERROR(IF(W$3="","",IF(TEXT(W$3,"ddd")="CN","CN",VLOOKUP($A8&amp;W$3,Data_Cong!$R:$AI,10,0))),"")</f>
        <v/>
      </c>
      <c r="X8" s="49" t="str">
        <f>IFERROR(IF(X$3="","",IF(TEXT(X$3,"ddd")="CN","CN",VLOOKUP($A8&amp;X$3,Data_Cong!$R:$AI,10,0))),"")</f>
        <v>CN</v>
      </c>
      <c r="Y8" s="49" t="str">
        <f>IFERROR(IF(Y$3="","",IF(TEXT(Y$3,"ddd")="CN","CN",VLOOKUP($A8&amp;Y$3,Data_Cong!$R:$AI,10,0))),"")</f>
        <v/>
      </c>
      <c r="Z8" s="49" t="str">
        <f>IFERROR(IF(Z$3="","",IF(TEXT(Z$3,"ddd")="CN","CN",VLOOKUP($A8&amp;Z$3,Data_Cong!$R:$AI,10,0))),"")</f>
        <v/>
      </c>
      <c r="AA8" s="49" t="str">
        <f>IFERROR(IF(AA$3="","",IF(TEXT(AA$3,"ddd")="CN","CN",VLOOKUP($A8&amp;AA$3,Data_Cong!$R:$AI,10,0))),"")</f>
        <v/>
      </c>
      <c r="AB8" s="49" t="str">
        <f>IFERROR(IF(AB$3="","",IF(TEXT(AB$3,"ddd")="CN","CN",VLOOKUP($A8&amp;AB$3,Data_Cong!$R:$AI,10,0))),"")</f>
        <v/>
      </c>
      <c r="AC8" s="49" t="str">
        <f>IFERROR(IF(AC$3="","",IF(TEXT(AC$3,"ddd")="CN","CN",VLOOKUP($A8&amp;AC$3,Data_Cong!$R:$AI,10,0))),"")</f>
        <v/>
      </c>
      <c r="AD8" s="49" t="str">
        <f>IFERROR(IF(AD$3="","",IF(TEXT(AD$3,"ddd")="CN","CN",VLOOKUP($A8&amp;AD$3,Data_Cong!$R:$AI,10,0))),"")</f>
        <v/>
      </c>
      <c r="AE8" s="49" t="str">
        <f>IFERROR(IF(AE$3="","",IF(TEXT(AE$3,"ddd")="CN","CN",VLOOKUP($A8&amp;AE$3,Data_Cong!$R:$AI,10,0))),"")</f>
        <v>CN</v>
      </c>
      <c r="AF8" s="49" t="str">
        <f>IFERROR(IF(AF$3="","",IF(TEXT(AF$3,"ddd")="CN","CN",VLOOKUP($A8&amp;AF$3,Data_Cong!$R:$AI,10,0))),"")</f>
        <v/>
      </c>
      <c r="AG8" s="49" t="str">
        <f>IFERROR(IF(AG$3="","",IF(TEXT(AG$3,"ddd")="CN","CN",VLOOKUP($A8&amp;AG$3,Data_Cong!$R:$AI,10,0))),"")</f>
        <v/>
      </c>
      <c r="AH8" s="49" t="str">
        <f>IFERROR(IF(AH$3="","",IF(TEXT(AH$3,"ddd")="CN","CN",VLOOKUP($A8&amp;AH$3,Data_Cong!$R:$AI,10,0))),"")</f>
        <v/>
      </c>
      <c r="AI8" s="50" cm="1">
        <f t="array" ref="AI8">SUMPRODUCT((D8:AH8="x")*1+(D8:AH8="P")*1+(D8:AH8="1/2P")*1+(D8:AH8="1/2")*0.5+(D8:AH8="2x")*2+(D8:AH8="L")*1)</f>
        <v>0</v>
      </c>
      <c r="AJ8" s="51">
        <f>SUMIF(Data_Cong!A:A,$A8,Data_Cong!AE:AE)</f>
        <v>0</v>
      </c>
      <c r="AK8" s="52">
        <f>COUNTIFS(Data_Cong!AB:AB,"&gt;5",Data_Cong!A:A,A8)</f>
        <v>0</v>
      </c>
      <c r="AL8" s="53" t="str">
        <f>IF(MONTH(VLOOKUP(A8,Data_NV!$A:$J,10,0))=BANG_CHAM_CONG!$R$2,"T"&amp;BANG_CHAM_CONG!$R$2,"")</f>
        <v/>
      </c>
      <c r="AM8" s="96">
        <v>6</v>
      </c>
      <c r="AN8" s="93" cm="1">
        <f t="array" ref="AN8">IF((AM8+1)&gt;12,12,(AM8+1))-SUMPRODUCT((D8:AH8="P")*1+(D8:AH8="1/2P")*0.5)</f>
        <v>7</v>
      </c>
      <c r="AO8" s="50"/>
      <c r="AP8" s="54">
        <f>SUMIFS(Data_Cong!AF:AF,Data_Cong!A:A,$A8)+SUMIFS(Data_Cong!AG:AG,Data_Cong!A:A,$A8)</f>
        <v>0</v>
      </c>
    </row>
    <row r="9" spans="1:42" ht="15.75" x14ac:dyDescent="0.25">
      <c r="A9" s="28" t="s">
        <v>69</v>
      </c>
      <c r="B9" s="47">
        <v>4</v>
      </c>
      <c r="C9" s="48" t="s">
        <v>169</v>
      </c>
      <c r="D9" s="49" t="str">
        <f>IFERROR(IF(D$3="","",IF(TEXT(D$3,"ddd")="CN","CN",VLOOKUP($A9&amp;D$3,Data_Cong!$R:$AI,10,0))),"")</f>
        <v/>
      </c>
      <c r="E9" s="49" t="str">
        <f>IFERROR(IF(E$3="","",IF(TEXT(E$3,"ddd")="CN","CN",VLOOKUP($A9&amp;E$3,Data_Cong!$R:$AI,10,0))),"")</f>
        <v/>
      </c>
      <c r="F9" s="49" t="str">
        <f>IFERROR(IF(F$3="","",IF(TEXT(F$3,"ddd")="CN","CN",VLOOKUP($A9&amp;F$3,Data_Cong!$R:$AI,10,0))),"")</f>
        <v/>
      </c>
      <c r="G9" s="49" t="str">
        <f>IFERROR(IF(G$3="","",IF(TEXT(G$3,"ddd")="CN","CN",VLOOKUP($A9&amp;G$3,Data_Cong!$R:$AI,10,0))),"")</f>
        <v/>
      </c>
      <c r="H9" s="49" t="str">
        <f>IFERROR(IF(H$3="","",IF(TEXT(H$3,"ddd")="CN","CN",VLOOKUP($A9&amp;H$3,Data_Cong!$R:$AI,10,0))),"")</f>
        <v/>
      </c>
      <c r="I9" s="49" t="str">
        <f>IFERROR(IF(I$3="","",IF(TEXT(I$3,"ddd")="CN","CN",VLOOKUP($A9&amp;I$3,Data_Cong!$R:$AI,10,0))),"")</f>
        <v/>
      </c>
      <c r="J9" s="49" t="str">
        <f>IFERROR(IF(J$3="","",IF(TEXT(J$3,"ddd")="CN","CN",VLOOKUP($A9&amp;J$3,Data_Cong!$R:$AI,10,0))),"")</f>
        <v>CN</v>
      </c>
      <c r="K9" s="49" t="str">
        <f>IFERROR(IF(K$3="","",IF(TEXT(K$3,"ddd")="CN","CN",VLOOKUP($A9&amp;K$3,Data_Cong!$R:$AI,10,0))),"")</f>
        <v/>
      </c>
      <c r="L9" s="49" t="str">
        <f>IFERROR(IF(L$3="","",IF(TEXT(L$3,"ddd")="CN","CN",VLOOKUP($A9&amp;L$3,Data_Cong!$R:$AI,10,0))),"")</f>
        <v/>
      </c>
      <c r="M9" s="49" t="str">
        <f>IFERROR(IF(M$3="","",IF(TEXT(M$3,"ddd")="CN","CN",VLOOKUP($A9&amp;M$3,Data_Cong!$R:$AI,10,0))),"")</f>
        <v/>
      </c>
      <c r="N9" s="49" t="str">
        <f>IFERROR(IF(N$3="","",IF(TEXT(N$3,"ddd")="CN","CN",VLOOKUP($A9&amp;N$3,Data_Cong!$R:$AI,10,0))),"")</f>
        <v/>
      </c>
      <c r="O9" s="49" t="str">
        <f>IFERROR(IF(O$3="","",IF(TEXT(O$3,"ddd")="CN","CN",VLOOKUP($A9&amp;O$3,Data_Cong!$R:$AI,10,0))),"")</f>
        <v/>
      </c>
      <c r="P9" s="49" t="str">
        <f>IFERROR(IF(P$3="","",IF(TEXT(P$3,"ddd")="CN","CN",VLOOKUP($A9&amp;P$3,Data_Cong!$R:$AI,10,0))),"")</f>
        <v/>
      </c>
      <c r="Q9" s="49" t="str">
        <f>IFERROR(IF(Q$3="","",IF(TEXT(Q$3,"ddd")="CN","CN",VLOOKUP($A9&amp;Q$3,Data_Cong!$R:$AI,10,0))),"")</f>
        <v>CN</v>
      </c>
      <c r="R9" s="49" t="str">
        <f>IFERROR(IF(R$3="","",IF(TEXT(R$3,"ddd")="CN","CN",VLOOKUP($A9&amp;R$3,Data_Cong!$R:$AI,10,0))),"")</f>
        <v/>
      </c>
      <c r="S9" s="49" t="str">
        <f>IFERROR(IF(S$3="","",IF(TEXT(S$3,"ddd")="CN","CN",VLOOKUP($A9&amp;S$3,Data_Cong!$R:$AI,10,0))),"")</f>
        <v/>
      </c>
      <c r="T9" s="49" t="str">
        <f>IFERROR(IF(T$3="","",IF(TEXT(T$3,"ddd")="CN","CN",VLOOKUP($A9&amp;T$3,Data_Cong!$R:$AI,10,0))),"")</f>
        <v/>
      </c>
      <c r="U9" s="49" t="str">
        <f>IFERROR(IF(U$3="","",IF(TEXT(U$3,"ddd")="CN","CN",VLOOKUP($A9&amp;U$3,Data_Cong!$R:$AI,10,0))),"")</f>
        <v/>
      </c>
      <c r="V9" s="49" t="str">
        <f>IFERROR(IF(V$3="","",IF(TEXT(V$3,"ddd")="CN","CN",VLOOKUP($A9&amp;V$3,Data_Cong!$R:$AI,10,0))),"")</f>
        <v/>
      </c>
      <c r="W9" s="49" t="str">
        <f>IFERROR(IF(W$3="","",IF(TEXT(W$3,"ddd")="CN","CN",VLOOKUP($A9&amp;W$3,Data_Cong!$R:$AI,10,0))),"")</f>
        <v/>
      </c>
      <c r="X9" s="49" t="str">
        <f>IFERROR(IF(X$3="","",IF(TEXT(X$3,"ddd")="CN","CN",VLOOKUP($A9&amp;X$3,Data_Cong!$R:$AI,10,0))),"")</f>
        <v>CN</v>
      </c>
      <c r="Y9" s="49" t="str">
        <f>IFERROR(IF(Y$3="","",IF(TEXT(Y$3,"ddd")="CN","CN",VLOOKUP($A9&amp;Y$3,Data_Cong!$R:$AI,10,0))),"")</f>
        <v/>
      </c>
      <c r="Z9" s="49" t="str">
        <f>IFERROR(IF(Z$3="","",IF(TEXT(Z$3,"ddd")="CN","CN",VLOOKUP($A9&amp;Z$3,Data_Cong!$R:$AI,10,0))),"")</f>
        <v/>
      </c>
      <c r="AA9" s="49" t="str">
        <f>IFERROR(IF(AA$3="","",IF(TEXT(AA$3,"ddd")="CN","CN",VLOOKUP($A9&amp;AA$3,Data_Cong!$R:$AI,10,0))),"")</f>
        <v/>
      </c>
      <c r="AB9" s="49" t="str">
        <f>IFERROR(IF(AB$3="","",IF(TEXT(AB$3,"ddd")="CN","CN",VLOOKUP($A9&amp;AB$3,Data_Cong!$R:$AI,10,0))),"")</f>
        <v/>
      </c>
      <c r="AC9" s="49" t="str">
        <f>IFERROR(IF(AC$3="","",IF(TEXT(AC$3,"ddd")="CN","CN",VLOOKUP($A9&amp;AC$3,Data_Cong!$R:$AI,10,0))),"")</f>
        <v/>
      </c>
      <c r="AD9" s="49" t="str">
        <f>IFERROR(IF(AD$3="","",IF(TEXT(AD$3,"ddd")="CN","CN",VLOOKUP($A9&amp;AD$3,Data_Cong!$R:$AI,10,0))),"")</f>
        <v/>
      </c>
      <c r="AE9" s="49" t="str">
        <f>IFERROR(IF(AE$3="","",IF(TEXT(AE$3,"ddd")="CN","CN",VLOOKUP($A9&amp;AE$3,Data_Cong!$R:$AI,10,0))),"")</f>
        <v>CN</v>
      </c>
      <c r="AF9" s="49" t="str">
        <f>IFERROR(IF(AF$3="","",IF(TEXT(AF$3,"ddd")="CN","CN",VLOOKUP($A9&amp;AF$3,Data_Cong!$R:$AI,10,0))),"")</f>
        <v/>
      </c>
      <c r="AG9" s="49" t="str">
        <f>IFERROR(IF(AG$3="","",IF(TEXT(AG$3,"ddd")="CN","CN",VLOOKUP($A9&amp;AG$3,Data_Cong!$R:$AI,10,0))),"")</f>
        <v/>
      </c>
      <c r="AH9" s="49" t="str">
        <f>IFERROR(IF(AH$3="","",IF(TEXT(AH$3,"ddd")="CN","CN",VLOOKUP($A9&amp;AH$3,Data_Cong!$R:$AI,10,0))),"")</f>
        <v/>
      </c>
      <c r="AI9" s="50" cm="1">
        <f t="array" ref="AI9">SUMPRODUCT((D9:AH9="x")*1+(D9:AH9="P")*1+(D9:AH9="1/2P")*1+(D9:AH9="1/2")*0.5+(D9:AH9="2x")*2+(D9:AH9="L")*1)</f>
        <v>0</v>
      </c>
      <c r="AJ9" s="51">
        <f>SUMIF(Data_Cong!A:A,$A9,Data_Cong!AE:AE)</f>
        <v>0</v>
      </c>
      <c r="AK9" s="52">
        <f>COUNTIFS(Data_Cong!AB:AB,"&gt;5",Data_Cong!A:A,A9)</f>
        <v>0</v>
      </c>
      <c r="AL9" s="53" t="str">
        <f>IF(MONTH(VLOOKUP(A9,Data_NV!$A:$J,10,0))=BANG_CHAM_CONG!$R$2,"T"&amp;BANG_CHAM_CONG!$R$2,"")</f>
        <v>T9</v>
      </c>
      <c r="AM9" s="96">
        <v>3</v>
      </c>
      <c r="AN9" s="93" cm="1">
        <f t="array" ref="AN9">IF((AM9+1)&gt;12,12,(AM9+1))-SUMPRODUCT((D9:AH9="P")*1+(D9:AH9="1/2P")*0.5)</f>
        <v>4</v>
      </c>
      <c r="AO9" s="50"/>
      <c r="AP9" s="54">
        <f>SUMIFS(Data_Cong!AF:AF,Data_Cong!A:A,$A9)+SUMIFS(Data_Cong!AG:AG,Data_Cong!A:A,$A9)</f>
        <v>0</v>
      </c>
    </row>
    <row r="10" spans="1:42" ht="15.75" x14ac:dyDescent="0.25">
      <c r="A10" s="28" t="s">
        <v>104</v>
      </c>
      <c r="B10" s="47">
        <v>5</v>
      </c>
      <c r="C10" s="48" t="s">
        <v>170</v>
      </c>
      <c r="D10" s="49" t="str">
        <f>IFERROR(IF(D$3="","",IF(TEXT(D$3,"ddd")="CN","CN",VLOOKUP($A10&amp;D$3,Data_Cong!$R:$AI,10,0))),"")</f>
        <v/>
      </c>
      <c r="E10" s="49" t="str">
        <f>IFERROR(IF(E$3="","",IF(TEXT(E$3,"ddd")="CN","CN",VLOOKUP($A10&amp;E$3,Data_Cong!$R:$AI,10,0))),"")</f>
        <v/>
      </c>
      <c r="F10" s="49" t="str">
        <f>IFERROR(IF(F$3="","",IF(TEXT(F$3,"ddd")="CN","CN",VLOOKUP($A10&amp;F$3,Data_Cong!$R:$AI,10,0))),"")</f>
        <v/>
      </c>
      <c r="G10" s="49" t="str">
        <f>IFERROR(IF(G$3="","",IF(TEXT(G$3,"ddd")="CN","CN",VLOOKUP($A10&amp;G$3,Data_Cong!$R:$AI,10,0))),"")</f>
        <v/>
      </c>
      <c r="H10" s="49" t="str">
        <f>IFERROR(IF(H$3="","",IF(TEXT(H$3,"ddd")="CN","CN",VLOOKUP($A10&amp;H$3,Data_Cong!$R:$AI,10,0))),"")</f>
        <v/>
      </c>
      <c r="I10" s="49" t="str">
        <f>IFERROR(IF(I$3="","",IF(TEXT(I$3,"ddd")="CN","CN",VLOOKUP($A10&amp;I$3,Data_Cong!$R:$AI,10,0))),"")</f>
        <v/>
      </c>
      <c r="J10" s="49" t="str">
        <f>IFERROR(IF(J$3="","",IF(TEXT(J$3,"ddd")="CN","CN",VLOOKUP($A10&amp;J$3,Data_Cong!$R:$AI,10,0))),"")</f>
        <v>CN</v>
      </c>
      <c r="K10" s="49" t="str">
        <f>IFERROR(IF(K$3="","",IF(TEXT(K$3,"ddd")="CN","CN",VLOOKUP($A10&amp;K$3,Data_Cong!$R:$AI,10,0))),"")</f>
        <v/>
      </c>
      <c r="L10" s="49" t="str">
        <f>IFERROR(IF(L$3="","",IF(TEXT(L$3,"ddd")="CN","CN",VLOOKUP($A10&amp;L$3,Data_Cong!$R:$AI,10,0))),"")</f>
        <v/>
      </c>
      <c r="M10" s="49" t="str">
        <f>IFERROR(IF(M$3="","",IF(TEXT(M$3,"ddd")="CN","CN",VLOOKUP($A10&amp;M$3,Data_Cong!$R:$AI,10,0))),"")</f>
        <v/>
      </c>
      <c r="N10" s="49" t="str">
        <f>IFERROR(IF(N$3="","",IF(TEXT(N$3,"ddd")="CN","CN",VLOOKUP($A10&amp;N$3,Data_Cong!$R:$AI,10,0))),"")</f>
        <v/>
      </c>
      <c r="O10" s="49" t="str">
        <f>IFERROR(IF(O$3="","",IF(TEXT(O$3,"ddd")="CN","CN",VLOOKUP($A10&amp;O$3,Data_Cong!$R:$AI,10,0))),"")</f>
        <v/>
      </c>
      <c r="P10" s="49" t="str">
        <f>IFERROR(IF(P$3="","",IF(TEXT(P$3,"ddd")="CN","CN",VLOOKUP($A10&amp;P$3,Data_Cong!$R:$AI,10,0))),"")</f>
        <v/>
      </c>
      <c r="Q10" s="49" t="str">
        <f>IFERROR(IF(Q$3="","",IF(TEXT(Q$3,"ddd")="CN","CN",VLOOKUP($A10&amp;Q$3,Data_Cong!$R:$AI,10,0))),"")</f>
        <v>CN</v>
      </c>
      <c r="R10" s="49" t="str">
        <f>IFERROR(IF(R$3="","",IF(TEXT(R$3,"ddd")="CN","CN",VLOOKUP($A10&amp;R$3,Data_Cong!$R:$AI,10,0))),"")</f>
        <v/>
      </c>
      <c r="S10" s="49" t="str">
        <f>IFERROR(IF(S$3="","",IF(TEXT(S$3,"ddd")="CN","CN",VLOOKUP($A10&amp;S$3,Data_Cong!$R:$AI,10,0))),"")</f>
        <v/>
      </c>
      <c r="T10" s="49" t="str">
        <f>IFERROR(IF(T$3="","",IF(TEXT(T$3,"ddd")="CN","CN",VLOOKUP($A10&amp;T$3,Data_Cong!$R:$AI,10,0))),"")</f>
        <v/>
      </c>
      <c r="U10" s="49" t="str">
        <f>IFERROR(IF(U$3="","",IF(TEXT(U$3,"ddd")="CN","CN",VLOOKUP($A10&amp;U$3,Data_Cong!$R:$AI,10,0))),"")</f>
        <v/>
      </c>
      <c r="V10" s="49" t="str">
        <f>IFERROR(IF(V$3="","",IF(TEXT(V$3,"ddd")="CN","CN",VLOOKUP($A10&amp;V$3,Data_Cong!$R:$AI,10,0))),"")</f>
        <v/>
      </c>
      <c r="W10" s="49" t="str">
        <f>IFERROR(IF(W$3="","",IF(TEXT(W$3,"ddd")="CN","CN",VLOOKUP($A10&amp;W$3,Data_Cong!$R:$AI,10,0))),"")</f>
        <v/>
      </c>
      <c r="X10" s="49" t="str">
        <f>IFERROR(IF(X$3="","",IF(TEXT(X$3,"ddd")="CN","CN",VLOOKUP($A10&amp;X$3,Data_Cong!$R:$AI,10,0))),"")</f>
        <v>CN</v>
      </c>
      <c r="Y10" s="49" t="str">
        <f>IFERROR(IF(Y$3="","",IF(TEXT(Y$3,"ddd")="CN","CN",VLOOKUP($A10&amp;Y$3,Data_Cong!$R:$AI,10,0))),"")</f>
        <v/>
      </c>
      <c r="Z10" s="49" t="str">
        <f>IFERROR(IF(Z$3="","",IF(TEXT(Z$3,"ddd")="CN","CN",VLOOKUP($A10&amp;Z$3,Data_Cong!$R:$AI,10,0))),"")</f>
        <v/>
      </c>
      <c r="AA10" s="49" t="str">
        <f>IFERROR(IF(AA$3="","",IF(TEXT(AA$3,"ddd")="CN","CN",VLOOKUP($A10&amp;AA$3,Data_Cong!$R:$AI,10,0))),"")</f>
        <v/>
      </c>
      <c r="AB10" s="49" t="str">
        <f>IFERROR(IF(AB$3="","",IF(TEXT(AB$3,"ddd")="CN","CN",VLOOKUP($A10&amp;AB$3,Data_Cong!$R:$AI,10,0))),"")</f>
        <v/>
      </c>
      <c r="AC10" s="49" t="str">
        <f>IFERROR(IF(AC$3="","",IF(TEXT(AC$3,"ddd")="CN","CN",VLOOKUP($A10&amp;AC$3,Data_Cong!$R:$AI,10,0))),"")</f>
        <v/>
      </c>
      <c r="AD10" s="49" t="str">
        <f>IFERROR(IF(AD$3="","",IF(TEXT(AD$3,"ddd")="CN","CN",VLOOKUP($A10&amp;AD$3,Data_Cong!$R:$AI,10,0))),"")</f>
        <v/>
      </c>
      <c r="AE10" s="49" t="str">
        <f>IFERROR(IF(AE$3="","",IF(TEXT(AE$3,"ddd")="CN","CN",VLOOKUP($A10&amp;AE$3,Data_Cong!$R:$AI,10,0))),"")</f>
        <v>CN</v>
      </c>
      <c r="AF10" s="49" t="str">
        <f>IFERROR(IF(AF$3="","",IF(TEXT(AF$3,"ddd")="CN","CN",VLOOKUP($A10&amp;AF$3,Data_Cong!$R:$AI,10,0))),"")</f>
        <v/>
      </c>
      <c r="AG10" s="49" t="str">
        <f>IFERROR(IF(AG$3="","",IF(TEXT(AG$3,"ddd")="CN","CN",VLOOKUP($A10&amp;AG$3,Data_Cong!$R:$AI,10,0))),"")</f>
        <v/>
      </c>
      <c r="AH10" s="49" t="str">
        <f>IFERROR(IF(AH$3="","",IF(TEXT(AH$3,"ddd")="CN","CN",VLOOKUP($A10&amp;AH$3,Data_Cong!$R:$AI,10,0))),"")</f>
        <v/>
      </c>
      <c r="AI10" s="50" cm="1">
        <f t="array" ref="AI10">SUMPRODUCT((D10:AH10="x")*1+(D10:AH10="P")*1+(D10:AH10="1/2P")*1+(D10:AH10="1/2")*0.5+(D10:AH10="2x")*2+(D10:AH10="L")*1)</f>
        <v>0</v>
      </c>
      <c r="AJ10" s="51">
        <f>SUMIF(Data_Cong!A:A,$A10,Data_Cong!AE:AE)</f>
        <v>0</v>
      </c>
      <c r="AK10" s="52">
        <f>COUNTIFS(Data_Cong!AB:AB,"&gt;5",Data_Cong!A:A,A10)</f>
        <v>0</v>
      </c>
      <c r="AL10" s="53" t="str">
        <f>IF(MONTH(VLOOKUP(A10,Data_NV!$A:$J,10,0))=BANG_CHAM_CONG!$R$2,"T"&amp;BANG_CHAM_CONG!$R$2,"")</f>
        <v/>
      </c>
      <c r="AM10" s="96">
        <v>5</v>
      </c>
      <c r="AN10" s="93" cm="1">
        <f t="array" ref="AN10">IF((AM10+1)&gt;12,12,(AM10+1))-SUMPRODUCT((D10:AH10="P")*1+(D10:AH10="1/2P")*0.5)</f>
        <v>6</v>
      </c>
      <c r="AO10" s="50"/>
      <c r="AP10" s="54">
        <f>SUMIFS(Data_Cong!AF:AF,Data_Cong!A:A,$A10)+SUMIFS(Data_Cong!AG:AG,Data_Cong!A:A,$A10)</f>
        <v>0</v>
      </c>
    </row>
    <row r="11" spans="1:42" ht="15.75" x14ac:dyDescent="0.25">
      <c r="A11" s="28" t="s">
        <v>116</v>
      </c>
      <c r="B11" s="47">
        <v>6</v>
      </c>
      <c r="C11" s="48" t="s">
        <v>171</v>
      </c>
      <c r="D11" s="49" t="str">
        <f>IFERROR(IF(D$3="","",IF(TEXT(D$3,"ddd")="CN","CN",VLOOKUP($A11&amp;D$3,Data_Cong!$R:$AI,10,0))),"")</f>
        <v/>
      </c>
      <c r="E11" s="49" t="str">
        <f>IFERROR(IF(E$3="","",IF(TEXT(E$3,"ddd")="CN","CN",VLOOKUP($A11&amp;E$3,Data_Cong!$R:$AI,10,0))),"")</f>
        <v/>
      </c>
      <c r="F11" s="49" t="str">
        <f>IFERROR(IF(F$3="","",IF(TEXT(F$3,"ddd")="CN","CN",VLOOKUP($A11&amp;F$3,Data_Cong!$R:$AI,10,0))),"")</f>
        <v/>
      </c>
      <c r="G11" s="49" t="str">
        <f>IFERROR(IF(G$3="","",IF(TEXT(G$3,"ddd")="CN","CN",VLOOKUP($A11&amp;G$3,Data_Cong!$R:$AI,10,0))),"")</f>
        <v/>
      </c>
      <c r="H11" s="49" t="str">
        <f>IFERROR(IF(H$3="","",IF(TEXT(H$3,"ddd")="CN","CN",VLOOKUP($A11&amp;H$3,Data_Cong!$R:$AI,10,0))),"")</f>
        <v/>
      </c>
      <c r="I11" s="49" t="str">
        <f>IFERROR(IF(I$3="","",IF(TEXT(I$3,"ddd")="CN","CN",VLOOKUP($A11&amp;I$3,Data_Cong!$R:$AI,10,0))),"")</f>
        <v/>
      </c>
      <c r="J11" s="49" t="str">
        <f>IFERROR(IF(J$3="","",IF(TEXT(J$3,"ddd")="CN","CN",VLOOKUP($A11&amp;J$3,Data_Cong!$R:$AI,10,0))),"")</f>
        <v>CN</v>
      </c>
      <c r="K11" s="49" t="str">
        <f>IFERROR(IF(K$3="","",IF(TEXT(K$3,"ddd")="CN","CN",VLOOKUP($A11&amp;K$3,Data_Cong!$R:$AI,10,0))),"")</f>
        <v/>
      </c>
      <c r="L11" s="49" t="str">
        <f>IFERROR(IF(L$3="","",IF(TEXT(L$3,"ddd")="CN","CN",VLOOKUP($A11&amp;L$3,Data_Cong!$R:$AI,10,0))),"")</f>
        <v/>
      </c>
      <c r="M11" s="49" t="str">
        <f>IFERROR(IF(M$3="","",IF(TEXT(M$3,"ddd")="CN","CN",VLOOKUP($A11&amp;M$3,Data_Cong!$R:$AI,10,0))),"")</f>
        <v/>
      </c>
      <c r="N11" s="49" t="str">
        <f>IFERROR(IF(N$3="","",IF(TEXT(N$3,"ddd")="CN","CN",VLOOKUP($A11&amp;N$3,Data_Cong!$R:$AI,10,0))),"")</f>
        <v/>
      </c>
      <c r="O11" s="49" t="str">
        <f>IFERROR(IF(O$3="","",IF(TEXT(O$3,"ddd")="CN","CN",VLOOKUP($A11&amp;O$3,Data_Cong!$R:$AI,10,0))),"")</f>
        <v/>
      </c>
      <c r="P11" s="49" t="str">
        <f>IFERROR(IF(P$3="","",IF(TEXT(P$3,"ddd")="CN","CN",VLOOKUP($A11&amp;P$3,Data_Cong!$R:$AI,10,0))),"")</f>
        <v/>
      </c>
      <c r="Q11" s="49" t="str">
        <f>IFERROR(IF(Q$3="","",IF(TEXT(Q$3,"ddd")="CN","CN",VLOOKUP($A11&amp;Q$3,Data_Cong!$R:$AI,10,0))),"")</f>
        <v>CN</v>
      </c>
      <c r="R11" s="49" t="str">
        <f>IFERROR(IF(R$3="","",IF(TEXT(R$3,"ddd")="CN","CN",VLOOKUP($A11&amp;R$3,Data_Cong!$R:$AI,10,0))),"")</f>
        <v/>
      </c>
      <c r="S11" s="49" t="str">
        <f>IFERROR(IF(S$3="","",IF(TEXT(S$3,"ddd")="CN","CN",VLOOKUP($A11&amp;S$3,Data_Cong!$R:$AI,10,0))),"")</f>
        <v/>
      </c>
      <c r="T11" s="49" t="str">
        <f>IFERROR(IF(T$3="","",IF(TEXT(T$3,"ddd")="CN","CN",VLOOKUP($A11&amp;T$3,Data_Cong!$R:$AI,10,0))),"")</f>
        <v/>
      </c>
      <c r="U11" s="49" t="str">
        <f>IFERROR(IF(U$3="","",IF(TEXT(U$3,"ddd")="CN","CN",VLOOKUP($A11&amp;U$3,Data_Cong!$R:$AI,10,0))),"")</f>
        <v/>
      </c>
      <c r="V11" s="49" t="str">
        <f>IFERROR(IF(V$3="","",IF(TEXT(V$3,"ddd")="CN","CN",VLOOKUP($A11&amp;V$3,Data_Cong!$R:$AI,10,0))),"")</f>
        <v/>
      </c>
      <c r="W11" s="49" t="str">
        <f>IFERROR(IF(W$3="","",IF(TEXT(W$3,"ddd")="CN","CN",VLOOKUP($A11&amp;W$3,Data_Cong!$R:$AI,10,0))),"")</f>
        <v/>
      </c>
      <c r="X11" s="49" t="str">
        <f>IFERROR(IF(X$3="","",IF(TEXT(X$3,"ddd")="CN","CN",VLOOKUP($A11&amp;X$3,Data_Cong!$R:$AI,10,0))),"")</f>
        <v>CN</v>
      </c>
      <c r="Y11" s="49" t="str">
        <f>IFERROR(IF(Y$3="","",IF(TEXT(Y$3,"ddd")="CN","CN",VLOOKUP($A11&amp;Y$3,Data_Cong!$R:$AI,10,0))),"")</f>
        <v/>
      </c>
      <c r="Z11" s="49" t="str">
        <f>IFERROR(IF(Z$3="","",IF(TEXT(Z$3,"ddd")="CN","CN",VLOOKUP($A11&amp;Z$3,Data_Cong!$R:$AI,10,0))),"")</f>
        <v/>
      </c>
      <c r="AA11" s="49" t="str">
        <f>IFERROR(IF(AA$3="","",IF(TEXT(AA$3,"ddd")="CN","CN",VLOOKUP($A11&amp;AA$3,Data_Cong!$R:$AI,10,0))),"")</f>
        <v/>
      </c>
      <c r="AB11" s="49" t="str">
        <f>IFERROR(IF(AB$3="","",IF(TEXT(AB$3,"ddd")="CN","CN",VLOOKUP($A11&amp;AB$3,Data_Cong!$R:$AI,10,0))),"")</f>
        <v/>
      </c>
      <c r="AC11" s="49" t="str">
        <f>IFERROR(IF(AC$3="","",IF(TEXT(AC$3,"ddd")="CN","CN",VLOOKUP($A11&amp;AC$3,Data_Cong!$R:$AI,10,0))),"")</f>
        <v/>
      </c>
      <c r="AD11" s="49" t="str">
        <f>IFERROR(IF(AD$3="","",IF(TEXT(AD$3,"ddd")="CN","CN",VLOOKUP($A11&amp;AD$3,Data_Cong!$R:$AI,10,0))),"")</f>
        <v/>
      </c>
      <c r="AE11" s="49" t="str">
        <f>IFERROR(IF(AE$3="","",IF(TEXT(AE$3,"ddd")="CN","CN",VLOOKUP($A11&amp;AE$3,Data_Cong!$R:$AI,10,0))),"")</f>
        <v>CN</v>
      </c>
      <c r="AF11" s="49" t="str">
        <f>IFERROR(IF(AF$3="","",IF(TEXT(AF$3,"ddd")="CN","CN",VLOOKUP($A11&amp;AF$3,Data_Cong!$R:$AI,10,0))),"")</f>
        <v/>
      </c>
      <c r="AG11" s="49" t="str">
        <f>IFERROR(IF(AG$3="","",IF(TEXT(AG$3,"ddd")="CN","CN",VLOOKUP($A11&amp;AG$3,Data_Cong!$R:$AI,10,0))),"")</f>
        <v/>
      </c>
      <c r="AH11" s="49" t="str">
        <f>IFERROR(IF(AH$3="","",IF(TEXT(AH$3,"ddd")="CN","CN",VLOOKUP($A11&amp;AH$3,Data_Cong!$R:$AI,10,0))),"")</f>
        <v/>
      </c>
      <c r="AI11" s="50" cm="1">
        <f t="array" ref="AI11">SUMPRODUCT((D11:AH11="x")*1+(D11:AH11="P")*1+(D11:AH11="1/2P")*1+(D11:AH11="1/2")*0.5+(D11:AH11="2x")*2+(D11:AH11="L")*1)</f>
        <v>0</v>
      </c>
      <c r="AJ11" s="51">
        <f>SUMIF(Data_Cong!A:A,$A11,Data_Cong!AE:AE)</f>
        <v>0</v>
      </c>
      <c r="AK11" s="52">
        <f>COUNTIFS(Data_Cong!AB:AB,"&gt;5",Data_Cong!A:A,A11)</f>
        <v>0</v>
      </c>
      <c r="AL11" s="53" t="str">
        <f>IF(MONTH(VLOOKUP(A11,Data_NV!$A:$J,10,0))=BANG_CHAM_CONG!$R$2,"T"&amp;BANG_CHAM_CONG!$R$2,"")</f>
        <v/>
      </c>
      <c r="AM11" s="96">
        <v>6</v>
      </c>
      <c r="AN11" s="93" cm="1">
        <f t="array" ref="AN11">IF((AM11+1)&gt;12,12,(AM11+1))-SUMPRODUCT((D11:AH11="P")*1+(D11:AH11="1/2P")*0.5)</f>
        <v>7</v>
      </c>
      <c r="AO11" s="50"/>
      <c r="AP11" s="54">
        <f>SUMIFS(Data_Cong!AF:AF,Data_Cong!A:A,$A11)+SUMIFS(Data_Cong!AG:AG,Data_Cong!A:A,$A11)</f>
        <v>0</v>
      </c>
    </row>
    <row r="12" spans="1:42" ht="15.75" x14ac:dyDescent="0.25">
      <c r="A12" s="28" t="s">
        <v>127</v>
      </c>
      <c r="B12" s="47">
        <v>7</v>
      </c>
      <c r="C12" s="48" t="s">
        <v>172</v>
      </c>
      <c r="D12" s="49" t="str">
        <f>IFERROR(IF(D$3="","",IF(TEXT(D$3,"ddd")="CN","CN",VLOOKUP($A12&amp;D$3,Data_Cong!$R:$AI,10,0))),"")</f>
        <v/>
      </c>
      <c r="E12" s="49" t="str">
        <f>IFERROR(IF(E$3="","",IF(TEXT(E$3,"ddd")="CN","CN",VLOOKUP($A12&amp;E$3,Data_Cong!$R:$AI,10,0))),"")</f>
        <v/>
      </c>
      <c r="F12" s="49" t="str">
        <f>IFERROR(IF(F$3="","",IF(TEXT(F$3,"ddd")="CN","CN",VLOOKUP($A12&amp;F$3,Data_Cong!$R:$AI,10,0))),"")</f>
        <v/>
      </c>
      <c r="G12" s="49" t="str">
        <f>IFERROR(IF(G$3="","",IF(TEXT(G$3,"ddd")="CN","CN",VLOOKUP($A12&amp;G$3,Data_Cong!$R:$AI,10,0))),"")</f>
        <v/>
      </c>
      <c r="H12" s="49" t="str">
        <f>IFERROR(IF(H$3="","",IF(TEXT(H$3,"ddd")="CN","CN",VLOOKUP($A12&amp;H$3,Data_Cong!$R:$AI,10,0))),"")</f>
        <v/>
      </c>
      <c r="I12" s="49" t="str">
        <f>IFERROR(IF(I$3="","",IF(TEXT(I$3,"ddd")="CN","CN",VLOOKUP($A12&amp;I$3,Data_Cong!$R:$AI,10,0))),"")</f>
        <v/>
      </c>
      <c r="J12" s="49" t="str">
        <f>IFERROR(IF(J$3="","",IF(TEXT(J$3,"ddd")="CN","CN",VLOOKUP($A12&amp;J$3,Data_Cong!$R:$AI,10,0))),"")</f>
        <v>CN</v>
      </c>
      <c r="K12" s="49" t="str">
        <f>IFERROR(IF(K$3="","",IF(TEXT(K$3,"ddd")="CN","CN",VLOOKUP($A12&amp;K$3,Data_Cong!$R:$AI,10,0))),"")</f>
        <v/>
      </c>
      <c r="L12" s="49" t="str">
        <f>IFERROR(IF(L$3="","",IF(TEXT(L$3,"ddd")="CN","CN",VLOOKUP($A12&amp;L$3,Data_Cong!$R:$AI,10,0))),"")</f>
        <v/>
      </c>
      <c r="M12" s="49" t="str">
        <f>IFERROR(IF(M$3="","",IF(TEXT(M$3,"ddd")="CN","CN",VLOOKUP($A12&amp;M$3,Data_Cong!$R:$AI,10,0))),"")</f>
        <v/>
      </c>
      <c r="N12" s="49" t="str">
        <f>IFERROR(IF(N$3="","",IF(TEXT(N$3,"ddd")="CN","CN",VLOOKUP($A12&amp;N$3,Data_Cong!$R:$AI,10,0))),"")</f>
        <v/>
      </c>
      <c r="O12" s="49" t="str">
        <f>IFERROR(IF(O$3="","",IF(TEXT(O$3,"ddd")="CN","CN",VLOOKUP($A12&amp;O$3,Data_Cong!$R:$AI,10,0))),"")</f>
        <v/>
      </c>
      <c r="P12" s="49" t="str">
        <f>IFERROR(IF(P$3="","",IF(TEXT(P$3,"ddd")="CN","CN",VLOOKUP($A12&amp;P$3,Data_Cong!$R:$AI,10,0))),"")</f>
        <v/>
      </c>
      <c r="Q12" s="49" t="str">
        <f>IFERROR(IF(Q$3="","",IF(TEXT(Q$3,"ddd")="CN","CN",VLOOKUP($A12&amp;Q$3,Data_Cong!$R:$AI,10,0))),"")</f>
        <v>CN</v>
      </c>
      <c r="R12" s="49" t="str">
        <f>IFERROR(IF(R$3="","",IF(TEXT(R$3,"ddd")="CN","CN",VLOOKUP($A12&amp;R$3,Data_Cong!$R:$AI,10,0))),"")</f>
        <v/>
      </c>
      <c r="S12" s="49" t="str">
        <f>IFERROR(IF(S$3="","",IF(TEXT(S$3,"ddd")="CN","CN",VLOOKUP($A12&amp;S$3,Data_Cong!$R:$AI,10,0))),"")</f>
        <v/>
      </c>
      <c r="T12" s="49" t="str">
        <f>IFERROR(IF(T$3="","",IF(TEXT(T$3,"ddd")="CN","CN",VLOOKUP($A12&amp;T$3,Data_Cong!$R:$AI,10,0))),"")</f>
        <v/>
      </c>
      <c r="U12" s="49" t="str">
        <f>IFERROR(IF(U$3="","",IF(TEXT(U$3,"ddd")="CN","CN",VLOOKUP($A12&amp;U$3,Data_Cong!$R:$AI,10,0))),"")</f>
        <v/>
      </c>
      <c r="V12" s="49" t="str">
        <f>IFERROR(IF(V$3="","",IF(TEXT(V$3,"ddd")="CN","CN",VLOOKUP($A12&amp;V$3,Data_Cong!$R:$AI,10,0))),"")</f>
        <v/>
      </c>
      <c r="W12" s="49" t="str">
        <f>IFERROR(IF(W$3="","",IF(TEXT(W$3,"ddd")="CN","CN",VLOOKUP($A12&amp;W$3,Data_Cong!$R:$AI,10,0))),"")</f>
        <v/>
      </c>
      <c r="X12" s="49" t="str">
        <f>IFERROR(IF(X$3="","",IF(TEXT(X$3,"ddd")="CN","CN",VLOOKUP($A12&amp;X$3,Data_Cong!$R:$AI,10,0))),"")</f>
        <v>CN</v>
      </c>
      <c r="Y12" s="49" t="str">
        <f>IFERROR(IF(Y$3="","",IF(TEXT(Y$3,"ddd")="CN","CN",VLOOKUP($A12&amp;Y$3,Data_Cong!$R:$AI,10,0))),"")</f>
        <v/>
      </c>
      <c r="Z12" s="49" t="str">
        <f>IFERROR(IF(Z$3="","",IF(TEXT(Z$3,"ddd")="CN","CN",VLOOKUP($A12&amp;Z$3,Data_Cong!$R:$AI,10,0))),"")</f>
        <v/>
      </c>
      <c r="AA12" s="49" t="str">
        <f>IFERROR(IF(AA$3="","",IF(TEXT(AA$3,"ddd")="CN","CN",VLOOKUP($A12&amp;AA$3,Data_Cong!$R:$AI,10,0))),"")</f>
        <v/>
      </c>
      <c r="AB12" s="49" t="str">
        <f>IFERROR(IF(AB$3="","",IF(TEXT(AB$3,"ddd")="CN","CN",VLOOKUP($A12&amp;AB$3,Data_Cong!$R:$AI,10,0))),"")</f>
        <v/>
      </c>
      <c r="AC12" s="49" t="str">
        <f>IFERROR(IF(AC$3="","",IF(TEXT(AC$3,"ddd")="CN","CN",VLOOKUP($A12&amp;AC$3,Data_Cong!$R:$AI,10,0))),"")</f>
        <v/>
      </c>
      <c r="AD12" s="49" t="str">
        <f>IFERROR(IF(AD$3="","",IF(TEXT(AD$3,"ddd")="CN","CN",VLOOKUP($A12&amp;AD$3,Data_Cong!$R:$AI,10,0))),"")</f>
        <v/>
      </c>
      <c r="AE12" s="49" t="str">
        <f>IFERROR(IF(AE$3="","",IF(TEXT(AE$3,"ddd")="CN","CN",VLOOKUP($A12&amp;AE$3,Data_Cong!$R:$AI,10,0))),"")</f>
        <v>CN</v>
      </c>
      <c r="AF12" s="49" t="str">
        <f>IFERROR(IF(AF$3="","",IF(TEXT(AF$3,"ddd")="CN","CN",VLOOKUP($A12&amp;AF$3,Data_Cong!$R:$AI,10,0))),"")</f>
        <v/>
      </c>
      <c r="AG12" s="49" t="str">
        <f>IFERROR(IF(AG$3="","",IF(TEXT(AG$3,"ddd")="CN","CN",VLOOKUP($A12&amp;AG$3,Data_Cong!$R:$AI,10,0))),"")</f>
        <v/>
      </c>
      <c r="AH12" s="49" t="str">
        <f>IFERROR(IF(AH$3="","",IF(TEXT(AH$3,"ddd")="CN","CN",VLOOKUP($A12&amp;AH$3,Data_Cong!$R:$AI,10,0))),"")</f>
        <v/>
      </c>
      <c r="AI12" s="50" cm="1">
        <f t="array" ref="AI12">SUMPRODUCT((D12:AH12="x")*1+(D12:AH12="P")*1+(D12:AH12="1/2P")*1+(D12:AH12="1/2")*0.5+(D12:AH12="2x")*2+(D12:AH12="L")*1)</f>
        <v>0</v>
      </c>
      <c r="AJ12" s="51">
        <f>SUMIF(Data_Cong!A:A,$A12,Data_Cong!AE:AE)</f>
        <v>0</v>
      </c>
      <c r="AK12" s="52">
        <f>COUNTIFS(Data_Cong!AB:AB,"&gt;5",Data_Cong!A:A,A12)</f>
        <v>0</v>
      </c>
      <c r="AL12" s="53" t="str">
        <f>IF(MONTH(VLOOKUP(A12,Data_NV!$A:$J,10,0))=BANG_CHAM_CONG!$R$2,"T"&amp;BANG_CHAM_CONG!$R$2,"")</f>
        <v/>
      </c>
      <c r="AM12" s="96">
        <v>7</v>
      </c>
      <c r="AN12" s="93" cm="1">
        <f t="array" ref="AN12">IF((AM12+1)&gt;12,12,(AM12+1))-SUMPRODUCT((D12:AH12="P")*1+(D12:AH12="1/2P")*0.5)</f>
        <v>8</v>
      </c>
      <c r="AO12" s="50"/>
      <c r="AP12" s="54">
        <f>SUMIFS(Data_Cong!AF:AF,Data_Cong!A:A,$A12)+SUMIFS(Data_Cong!AG:AG,Data_Cong!A:A,$A12)</f>
        <v>0</v>
      </c>
    </row>
    <row r="13" spans="1:42" ht="15.75" x14ac:dyDescent="0.25">
      <c r="A13" s="28" t="s">
        <v>103</v>
      </c>
      <c r="B13" s="47">
        <v>8</v>
      </c>
      <c r="C13" s="48" t="s">
        <v>173</v>
      </c>
      <c r="D13" s="49" t="str">
        <f>IFERROR(IF(D$3="","",IF(TEXT(D$3,"ddd")="CN","CN",VLOOKUP($A13&amp;D$3,Data_Cong!$R:$AI,10,0))),"")</f>
        <v/>
      </c>
      <c r="E13" s="49" t="str">
        <f>IFERROR(IF(E$3="","",IF(TEXT(E$3,"ddd")="CN","CN",VLOOKUP($A13&amp;E$3,Data_Cong!$R:$AI,10,0))),"")</f>
        <v/>
      </c>
      <c r="F13" s="49" t="str">
        <f>IFERROR(IF(F$3="","",IF(TEXT(F$3,"ddd")="CN","CN",VLOOKUP($A13&amp;F$3,Data_Cong!$R:$AI,10,0))),"")</f>
        <v/>
      </c>
      <c r="G13" s="49" t="str">
        <f>IFERROR(IF(G$3="","",IF(TEXT(G$3,"ddd")="CN","CN",VLOOKUP($A13&amp;G$3,Data_Cong!$R:$AI,10,0))),"")</f>
        <v/>
      </c>
      <c r="H13" s="49" t="str">
        <f>IFERROR(IF(H$3="","",IF(TEXT(H$3,"ddd")="CN","CN",VLOOKUP($A13&amp;H$3,Data_Cong!$R:$AI,10,0))),"")</f>
        <v/>
      </c>
      <c r="I13" s="49" t="str">
        <f>IFERROR(IF(I$3="","",IF(TEXT(I$3,"ddd")="CN","CN",VLOOKUP($A13&amp;I$3,Data_Cong!$R:$AI,10,0))),"")</f>
        <v/>
      </c>
      <c r="J13" s="49" t="str">
        <f>IFERROR(IF(J$3="","",IF(TEXT(J$3,"ddd")="CN","CN",VLOOKUP($A13&amp;J$3,Data_Cong!$R:$AI,10,0))),"")</f>
        <v>CN</v>
      </c>
      <c r="K13" s="49" t="str">
        <f>IFERROR(IF(K$3="","",IF(TEXT(K$3,"ddd")="CN","CN",VLOOKUP($A13&amp;K$3,Data_Cong!$R:$AI,10,0))),"")</f>
        <v/>
      </c>
      <c r="L13" s="49" t="str">
        <f>IFERROR(IF(L$3="","",IF(TEXT(L$3,"ddd")="CN","CN",VLOOKUP($A13&amp;L$3,Data_Cong!$R:$AI,10,0))),"")</f>
        <v/>
      </c>
      <c r="M13" s="49" t="str">
        <f>IFERROR(IF(M$3="","",IF(TEXT(M$3,"ddd")="CN","CN",VLOOKUP($A13&amp;M$3,Data_Cong!$R:$AI,10,0))),"")</f>
        <v/>
      </c>
      <c r="N13" s="49" t="str">
        <f>IFERROR(IF(N$3="","",IF(TEXT(N$3,"ddd")="CN","CN",VLOOKUP($A13&amp;N$3,Data_Cong!$R:$AI,10,0))),"")</f>
        <v/>
      </c>
      <c r="O13" s="49" t="str">
        <f>IFERROR(IF(O$3="","",IF(TEXT(O$3,"ddd")="CN","CN",VLOOKUP($A13&amp;O$3,Data_Cong!$R:$AI,10,0))),"")</f>
        <v/>
      </c>
      <c r="P13" s="49" t="str">
        <f>IFERROR(IF(P$3="","",IF(TEXT(P$3,"ddd")="CN","CN",VLOOKUP($A13&amp;P$3,Data_Cong!$R:$AI,10,0))),"")</f>
        <v/>
      </c>
      <c r="Q13" s="49" t="str">
        <f>IFERROR(IF(Q$3="","",IF(TEXT(Q$3,"ddd")="CN","CN",VLOOKUP($A13&amp;Q$3,Data_Cong!$R:$AI,10,0))),"")</f>
        <v>CN</v>
      </c>
      <c r="R13" s="49" t="str">
        <f>IFERROR(IF(R$3="","",IF(TEXT(R$3,"ddd")="CN","CN",VLOOKUP($A13&amp;R$3,Data_Cong!$R:$AI,10,0))),"")</f>
        <v/>
      </c>
      <c r="S13" s="49" t="str">
        <f>IFERROR(IF(S$3="","",IF(TEXT(S$3,"ddd")="CN","CN",VLOOKUP($A13&amp;S$3,Data_Cong!$R:$AI,10,0))),"")</f>
        <v/>
      </c>
      <c r="T13" s="49" t="str">
        <f>IFERROR(IF(T$3="","",IF(TEXT(T$3,"ddd")="CN","CN",VLOOKUP($A13&amp;T$3,Data_Cong!$R:$AI,10,0))),"")</f>
        <v/>
      </c>
      <c r="U13" s="49" t="str">
        <f>IFERROR(IF(U$3="","",IF(TEXT(U$3,"ddd")="CN","CN",VLOOKUP($A13&amp;U$3,Data_Cong!$R:$AI,10,0))),"")</f>
        <v/>
      </c>
      <c r="V13" s="49" t="str">
        <f>IFERROR(IF(V$3="","",IF(TEXT(V$3,"ddd")="CN","CN",VLOOKUP($A13&amp;V$3,Data_Cong!$R:$AI,10,0))),"")</f>
        <v/>
      </c>
      <c r="W13" s="49" t="str">
        <f>IFERROR(IF(W$3="","",IF(TEXT(W$3,"ddd")="CN","CN",VLOOKUP($A13&amp;W$3,Data_Cong!$R:$AI,10,0))),"")</f>
        <v/>
      </c>
      <c r="X13" s="49" t="str">
        <f>IFERROR(IF(X$3="","",IF(TEXT(X$3,"ddd")="CN","CN",VLOOKUP($A13&amp;X$3,Data_Cong!$R:$AI,10,0))),"")</f>
        <v>CN</v>
      </c>
      <c r="Y13" s="49" t="str">
        <f>IFERROR(IF(Y$3="","",IF(TEXT(Y$3,"ddd")="CN","CN",VLOOKUP($A13&amp;Y$3,Data_Cong!$R:$AI,10,0))),"")</f>
        <v/>
      </c>
      <c r="Z13" s="49" t="str">
        <f>IFERROR(IF(Z$3="","",IF(TEXT(Z$3,"ddd")="CN","CN",VLOOKUP($A13&amp;Z$3,Data_Cong!$R:$AI,10,0))),"")</f>
        <v/>
      </c>
      <c r="AA13" s="49" t="str">
        <f>IFERROR(IF(AA$3="","",IF(TEXT(AA$3,"ddd")="CN","CN",VLOOKUP($A13&amp;AA$3,Data_Cong!$R:$AI,10,0))),"")</f>
        <v/>
      </c>
      <c r="AB13" s="49" t="str">
        <f>IFERROR(IF(AB$3="","",IF(TEXT(AB$3,"ddd")="CN","CN",VLOOKUP($A13&amp;AB$3,Data_Cong!$R:$AI,10,0))),"")</f>
        <v/>
      </c>
      <c r="AC13" s="49" t="str">
        <f>IFERROR(IF(AC$3="","",IF(TEXT(AC$3,"ddd")="CN","CN",VLOOKUP($A13&amp;AC$3,Data_Cong!$R:$AI,10,0))),"")</f>
        <v/>
      </c>
      <c r="AD13" s="49" t="str">
        <f>IFERROR(IF(AD$3="","",IF(TEXT(AD$3,"ddd")="CN","CN",VLOOKUP($A13&amp;AD$3,Data_Cong!$R:$AI,10,0))),"")</f>
        <v/>
      </c>
      <c r="AE13" s="49" t="str">
        <f>IFERROR(IF(AE$3="","",IF(TEXT(AE$3,"ddd")="CN","CN",VLOOKUP($A13&amp;AE$3,Data_Cong!$R:$AI,10,0))),"")</f>
        <v>CN</v>
      </c>
      <c r="AF13" s="49" t="str">
        <f>IFERROR(IF(AF$3="","",IF(TEXT(AF$3,"ddd")="CN","CN",VLOOKUP($A13&amp;AF$3,Data_Cong!$R:$AI,10,0))),"")</f>
        <v/>
      </c>
      <c r="AG13" s="49" t="str">
        <f>IFERROR(IF(AG$3="","",IF(TEXT(AG$3,"ddd")="CN","CN",VLOOKUP($A13&amp;AG$3,Data_Cong!$R:$AI,10,0))),"")</f>
        <v/>
      </c>
      <c r="AH13" s="49" t="str">
        <f>IFERROR(IF(AH$3="","",IF(TEXT(AH$3,"ddd")="CN","CN",VLOOKUP($A13&amp;AH$3,Data_Cong!$R:$AI,10,0))),"")</f>
        <v/>
      </c>
      <c r="AI13" s="50" cm="1">
        <f t="array" ref="AI13">SUMPRODUCT((D13:AH13="x")*1+(D13:AH13="P")*1+(D13:AH13="1/2P")*1+(D13:AH13="1/2")*0.5+(D13:AH13="2x")*2+(D13:AH13="L")*1)</f>
        <v>0</v>
      </c>
      <c r="AJ13" s="51">
        <f>SUMIF(Data_Cong!A:A,$A13,Data_Cong!AE:AE)</f>
        <v>0</v>
      </c>
      <c r="AK13" s="52">
        <f>COUNTIFS(Data_Cong!AB:AB,"&gt;5",Data_Cong!A:A,A13)</f>
        <v>0</v>
      </c>
      <c r="AL13" s="53" t="str">
        <f>IF(MONTH(VLOOKUP(A13,Data_NV!$A:$J,10,0))=BANG_CHAM_CONG!$R$2,"T"&amp;BANG_CHAM_CONG!$R$2,"")</f>
        <v/>
      </c>
      <c r="AM13" s="96">
        <v>8.5</v>
      </c>
      <c r="AN13" s="93" cm="1">
        <f t="array" ref="AN13">IF((AM13+1)&gt;12,12,(AM13+1))-SUMPRODUCT((D13:AH13="P")*1+(D13:AH13="1/2P")*0.5)</f>
        <v>9.5</v>
      </c>
      <c r="AO13" s="50"/>
      <c r="AP13" s="54">
        <f>SUMIFS(Data_Cong!AF:AF,Data_Cong!A:A,$A13)+SUMIFS(Data_Cong!AG:AG,Data_Cong!A:A,$A13)</f>
        <v>0</v>
      </c>
    </row>
    <row r="14" spans="1:42" ht="15.75" x14ac:dyDescent="0.25">
      <c r="A14" s="28"/>
      <c r="B14" s="55"/>
      <c r="C14" s="56" t="s">
        <v>256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 t="str">
        <f t="shared" ref="AG14" si="3">IF(AF14="","",IF(DAY(AF14+1)=1,"",AF14+1))</f>
        <v/>
      </c>
      <c r="AH14" s="57"/>
      <c r="AI14" s="57"/>
      <c r="AJ14" s="57"/>
      <c r="AK14" s="57"/>
      <c r="AL14" s="57"/>
      <c r="AM14" s="94"/>
      <c r="AN14" s="94"/>
      <c r="AO14" s="57"/>
      <c r="AP14" s="57"/>
    </row>
    <row r="15" spans="1:42" ht="15.75" x14ac:dyDescent="0.25">
      <c r="A15" s="28" t="s">
        <v>18</v>
      </c>
      <c r="B15" s="47">
        <v>1</v>
      </c>
      <c r="C15" s="48" t="s">
        <v>174</v>
      </c>
      <c r="D15" s="49" t="str">
        <f>IFERROR(IF(D$3="","",IF(TEXT(D$3,"ddd")="CN","CN",VLOOKUP($A15&amp;D$3,Data_Cong!$R:$AI,10,0))),"")</f>
        <v/>
      </c>
      <c r="E15" s="49" t="str">
        <f>IFERROR(IF(E$3="","",IF(TEXT(E$3,"ddd")="CN","CN",VLOOKUP($A15&amp;E$3,Data_Cong!$R:$AI,10,0))),"")</f>
        <v/>
      </c>
      <c r="F15" s="49" t="str">
        <f>IFERROR(IF(F$3="","",IF(TEXT(F$3,"ddd")="CN","CN",VLOOKUP($A15&amp;F$3,Data_Cong!$R:$AI,10,0))),"")</f>
        <v/>
      </c>
      <c r="G15" s="49" t="str">
        <f>IFERROR(IF(G$3="","",IF(TEXT(G$3,"ddd")="CN","CN",VLOOKUP($A15&amp;G$3,Data_Cong!$R:$AI,10,0))),"")</f>
        <v/>
      </c>
      <c r="H15" s="49" t="str">
        <f>IFERROR(IF(H$3="","",IF(TEXT(H$3,"ddd")="CN","CN",VLOOKUP($A15&amp;H$3,Data_Cong!$R:$AI,10,0))),"")</f>
        <v/>
      </c>
      <c r="I15" s="49" t="str">
        <f>IFERROR(IF(I$3="","",IF(TEXT(I$3,"ddd")="CN","CN",VLOOKUP($A15&amp;I$3,Data_Cong!$R:$AI,10,0))),"")</f>
        <v/>
      </c>
      <c r="J15" s="49" t="str">
        <f>IFERROR(IF(J$3="","",IF(TEXT(J$3,"ddd")="CN","CN",VLOOKUP($A15&amp;J$3,Data_Cong!$R:$AI,10,0))),"")</f>
        <v>CN</v>
      </c>
      <c r="K15" s="49" t="str">
        <f>IFERROR(IF(K$3="","",IF(TEXT(K$3,"ddd")="CN","CN",VLOOKUP($A15&amp;K$3,Data_Cong!$R:$AI,10,0))),"")</f>
        <v/>
      </c>
      <c r="L15" s="49" t="str">
        <f>IFERROR(IF(L$3="","",IF(TEXT(L$3,"ddd")="CN","CN",VLOOKUP($A15&amp;L$3,Data_Cong!$R:$AI,10,0))),"")</f>
        <v/>
      </c>
      <c r="M15" s="49" t="str">
        <f>IFERROR(IF(M$3="","",IF(TEXT(M$3,"ddd")="CN","CN",VLOOKUP($A15&amp;M$3,Data_Cong!$R:$AI,10,0))),"")</f>
        <v/>
      </c>
      <c r="N15" s="49" t="str">
        <f>IFERROR(IF(N$3="","",IF(TEXT(N$3,"ddd")="CN","CN",VLOOKUP($A15&amp;N$3,Data_Cong!$R:$AI,10,0))),"")</f>
        <v/>
      </c>
      <c r="O15" s="49" t="str">
        <f>IFERROR(IF(O$3="","",IF(TEXT(O$3,"ddd")="CN","CN",VLOOKUP($A15&amp;O$3,Data_Cong!$R:$AI,10,0))),"")</f>
        <v/>
      </c>
      <c r="P15" s="49" t="str">
        <f>IFERROR(IF(P$3="","",IF(TEXT(P$3,"ddd")="CN","CN",VLOOKUP($A15&amp;P$3,Data_Cong!$R:$AI,10,0))),"")</f>
        <v/>
      </c>
      <c r="Q15" s="49" t="str">
        <f>IFERROR(IF(Q$3="","",IF(TEXT(Q$3,"ddd")="CN","CN",VLOOKUP($A15&amp;Q$3,Data_Cong!$R:$AI,10,0))),"")</f>
        <v>CN</v>
      </c>
      <c r="R15" s="49" t="str">
        <f>IFERROR(IF(R$3="","",IF(TEXT(R$3,"ddd")="CN","CN",VLOOKUP($A15&amp;R$3,Data_Cong!$R:$AI,10,0))),"")</f>
        <v/>
      </c>
      <c r="S15" s="49" t="str">
        <f>IFERROR(IF(S$3="","",IF(TEXT(S$3,"ddd")="CN","CN",VLOOKUP($A15&amp;S$3,Data_Cong!$R:$AI,10,0))),"")</f>
        <v/>
      </c>
      <c r="T15" s="49" t="str">
        <f>IFERROR(IF(T$3="","",IF(TEXT(T$3,"ddd")="CN","CN",VLOOKUP($A15&amp;T$3,Data_Cong!$R:$AI,10,0))),"")</f>
        <v/>
      </c>
      <c r="U15" s="49" t="str">
        <f>IFERROR(IF(U$3="","",IF(TEXT(U$3,"ddd")="CN","CN",VLOOKUP($A15&amp;U$3,Data_Cong!$R:$AI,10,0))),"")</f>
        <v/>
      </c>
      <c r="V15" s="49" t="str">
        <f>IFERROR(IF(V$3="","",IF(TEXT(V$3,"ddd")="CN","CN",VLOOKUP($A15&amp;V$3,Data_Cong!$R:$AI,10,0))),"")</f>
        <v/>
      </c>
      <c r="W15" s="49" t="str">
        <f>IFERROR(IF(W$3="","",IF(TEXT(W$3,"ddd")="CN","CN",VLOOKUP($A15&amp;W$3,Data_Cong!$R:$AI,10,0))),"")</f>
        <v/>
      </c>
      <c r="X15" s="49" t="str">
        <f>IFERROR(IF(X$3="","",IF(TEXT(X$3,"ddd")="CN","CN",VLOOKUP($A15&amp;X$3,Data_Cong!$R:$AI,10,0))),"")</f>
        <v>CN</v>
      </c>
      <c r="Y15" s="49" t="str">
        <f>IFERROR(IF(Y$3="","",IF(TEXT(Y$3,"ddd")="CN","CN",VLOOKUP($A15&amp;Y$3,Data_Cong!$R:$AI,10,0))),"")</f>
        <v/>
      </c>
      <c r="Z15" s="49" t="str">
        <f>IFERROR(IF(Z$3="","",IF(TEXT(Z$3,"ddd")="CN","CN",VLOOKUP($A15&amp;Z$3,Data_Cong!$R:$AI,10,0))),"")</f>
        <v/>
      </c>
      <c r="AA15" s="49" t="str">
        <f>IFERROR(IF(AA$3="","",IF(TEXT(AA$3,"ddd")="CN","CN",VLOOKUP($A15&amp;AA$3,Data_Cong!$R:$AI,10,0))),"")</f>
        <v/>
      </c>
      <c r="AB15" s="49" t="str">
        <f>IFERROR(IF(AB$3="","",IF(TEXT(AB$3,"ddd")="CN","CN",VLOOKUP($A15&amp;AB$3,Data_Cong!$R:$AI,10,0))),"")</f>
        <v/>
      </c>
      <c r="AC15" s="49" t="str">
        <f>IFERROR(IF(AC$3="","",IF(TEXT(AC$3,"ddd")="CN","CN",VLOOKUP($A15&amp;AC$3,Data_Cong!$R:$AI,10,0))),"")</f>
        <v/>
      </c>
      <c r="AD15" s="49" t="str">
        <f>IFERROR(IF(AD$3="","",IF(TEXT(AD$3,"ddd")="CN","CN",VLOOKUP($A15&amp;AD$3,Data_Cong!$R:$AI,10,0))),"")</f>
        <v/>
      </c>
      <c r="AE15" s="49" t="str">
        <f>IFERROR(IF(AE$3="","",IF(TEXT(AE$3,"ddd")="CN","CN",VLOOKUP($A15&amp;AE$3,Data_Cong!$R:$AI,10,0))),"")</f>
        <v>CN</v>
      </c>
      <c r="AF15" s="49" t="str">
        <f>IFERROR(IF(AF$3="","",IF(TEXT(AF$3,"ddd")="CN","CN",VLOOKUP($A15&amp;AF$3,Data_Cong!$R:$AI,10,0))),"")</f>
        <v/>
      </c>
      <c r="AG15" s="49" t="str">
        <f>IFERROR(IF(AG$3="","",IF(TEXT(AG$3,"ddd")="CN","CN",VLOOKUP($A15&amp;AG$3,Data_Cong!$R:$AI,10,0))),"")</f>
        <v/>
      </c>
      <c r="AH15" s="49" t="str">
        <f>IFERROR(IF(AH$3="","",IF(TEXT(AH$3,"ddd")="CN","CN",VLOOKUP($A15&amp;AH$3,Data_Cong!$R:$AI,10,0))),"")</f>
        <v/>
      </c>
      <c r="AI15" s="50" cm="1">
        <f t="array" ref="AI15">SUMPRODUCT((D15:AH15="x")*1+(D15:AH15="P")*1+(D15:AH15="1/2P")*1+(D15:AH15="1/2")*0.5+(D15:AH15="2x")*2+(D15:AH15="L")*1)</f>
        <v>0</v>
      </c>
      <c r="AJ15" s="51">
        <f>SUMIF(Data_Cong!A:A,$A15,Data_Cong!AE:AE)</f>
        <v>0</v>
      </c>
      <c r="AK15" s="52">
        <f>COUNTIFS(Data_Cong!AB:AB,"&gt;5",Data_Cong!A:A,A15)</f>
        <v>0</v>
      </c>
      <c r="AL15" s="53" t="str">
        <f>IF(MONTH(VLOOKUP(A15,Data_NV!$A:$J,10,0))=BANG_CHAM_CONG!$R$2,"T"&amp;BANG_CHAM_CONG!$R$2,"")</f>
        <v>T9</v>
      </c>
      <c r="AM15" s="96">
        <v>10</v>
      </c>
      <c r="AN15" s="93" cm="1">
        <f t="array" ref="AN15">IF((AM15+1)&gt;12,12,(AM15+1))-SUMPRODUCT((D15:AH15="P")*1+(D15:AH15="1/2P")*0.5)</f>
        <v>11</v>
      </c>
      <c r="AO15" s="50"/>
      <c r="AP15" s="54">
        <f>SUMIFS(Data_Cong!AF:AF,Data_Cong!A:A,$A15)+SUMIFS(Data_Cong!AG:AG,Data_Cong!A:A,$A15)</f>
        <v>0</v>
      </c>
    </row>
    <row r="16" spans="1:42" ht="15.75" x14ac:dyDescent="0.25">
      <c r="A16" s="28" t="s">
        <v>57</v>
      </c>
      <c r="B16" s="47">
        <v>2</v>
      </c>
      <c r="C16" s="48" t="s">
        <v>175</v>
      </c>
      <c r="D16" s="49" t="str">
        <f>IFERROR(IF(D$3="","",IF(TEXT(D$3,"ddd")="CN","CN",VLOOKUP($A16&amp;D$3,Data_Cong!$R:$AI,10,0))),"")</f>
        <v/>
      </c>
      <c r="E16" s="49" t="str">
        <f>IFERROR(IF(E$3="","",IF(TEXT(E$3,"ddd")="CN","CN",VLOOKUP($A16&amp;E$3,Data_Cong!$R:$AI,10,0))),"")</f>
        <v/>
      </c>
      <c r="F16" s="49" t="str">
        <f>IFERROR(IF(F$3="","",IF(TEXT(F$3,"ddd")="CN","CN",VLOOKUP($A16&amp;F$3,Data_Cong!$R:$AI,10,0))),"")</f>
        <v/>
      </c>
      <c r="G16" s="49" t="str">
        <f>IFERROR(IF(G$3="","",IF(TEXT(G$3,"ddd")="CN","CN",VLOOKUP($A16&amp;G$3,Data_Cong!$R:$AI,10,0))),"")</f>
        <v/>
      </c>
      <c r="H16" s="49" t="str">
        <f>IFERROR(IF(H$3="","",IF(TEXT(H$3,"ddd")="CN","CN",VLOOKUP($A16&amp;H$3,Data_Cong!$R:$AI,10,0))),"")</f>
        <v/>
      </c>
      <c r="I16" s="49" t="str">
        <f>IFERROR(IF(I$3="","",IF(TEXT(I$3,"ddd")="CN","CN",VLOOKUP($A16&amp;I$3,Data_Cong!$R:$AI,10,0))),"")</f>
        <v/>
      </c>
      <c r="J16" s="49" t="str">
        <f>IFERROR(IF(J$3="","",IF(TEXT(J$3,"ddd")="CN","CN",VLOOKUP($A16&amp;J$3,Data_Cong!$R:$AI,10,0))),"")</f>
        <v>CN</v>
      </c>
      <c r="K16" s="49" t="str">
        <f>IFERROR(IF(K$3="","",IF(TEXT(K$3,"ddd")="CN","CN",VLOOKUP($A16&amp;K$3,Data_Cong!$R:$AI,10,0))),"")</f>
        <v/>
      </c>
      <c r="L16" s="49" t="str">
        <f>IFERROR(IF(L$3="","",IF(TEXT(L$3,"ddd")="CN","CN",VLOOKUP($A16&amp;L$3,Data_Cong!$R:$AI,10,0))),"")</f>
        <v/>
      </c>
      <c r="M16" s="49" t="str">
        <f>IFERROR(IF(M$3="","",IF(TEXT(M$3,"ddd")="CN","CN",VLOOKUP($A16&amp;M$3,Data_Cong!$R:$AI,10,0))),"")</f>
        <v/>
      </c>
      <c r="N16" s="49" t="str">
        <f>IFERROR(IF(N$3="","",IF(TEXT(N$3,"ddd")="CN","CN",VLOOKUP($A16&amp;N$3,Data_Cong!$R:$AI,10,0))),"")</f>
        <v/>
      </c>
      <c r="O16" s="49" t="str">
        <f>IFERROR(IF(O$3="","",IF(TEXT(O$3,"ddd")="CN","CN",VLOOKUP($A16&amp;O$3,Data_Cong!$R:$AI,10,0))),"")</f>
        <v/>
      </c>
      <c r="P16" s="49" t="str">
        <f>IFERROR(IF(P$3="","",IF(TEXT(P$3,"ddd")="CN","CN",VLOOKUP($A16&amp;P$3,Data_Cong!$R:$AI,10,0))),"")</f>
        <v/>
      </c>
      <c r="Q16" s="49" t="str">
        <f>IFERROR(IF(Q$3="","",IF(TEXT(Q$3,"ddd")="CN","CN",VLOOKUP($A16&amp;Q$3,Data_Cong!$R:$AI,10,0))),"")</f>
        <v>CN</v>
      </c>
      <c r="R16" s="49" t="str">
        <f>IFERROR(IF(R$3="","",IF(TEXT(R$3,"ddd")="CN","CN",VLOOKUP($A16&amp;R$3,Data_Cong!$R:$AI,10,0))),"")</f>
        <v/>
      </c>
      <c r="S16" s="49" t="str">
        <f>IFERROR(IF(S$3="","",IF(TEXT(S$3,"ddd")="CN","CN",VLOOKUP($A16&amp;S$3,Data_Cong!$R:$AI,10,0))),"")</f>
        <v/>
      </c>
      <c r="T16" s="49" t="str">
        <f>IFERROR(IF(T$3="","",IF(TEXT(T$3,"ddd")="CN","CN",VLOOKUP($A16&amp;T$3,Data_Cong!$R:$AI,10,0))),"")</f>
        <v/>
      </c>
      <c r="U16" s="49" t="str">
        <f>IFERROR(IF(U$3="","",IF(TEXT(U$3,"ddd")="CN","CN",VLOOKUP($A16&amp;U$3,Data_Cong!$R:$AI,10,0))),"")</f>
        <v/>
      </c>
      <c r="V16" s="49" t="str">
        <f>IFERROR(IF(V$3="","",IF(TEXT(V$3,"ddd")="CN","CN",VLOOKUP($A16&amp;V$3,Data_Cong!$R:$AI,10,0))),"")</f>
        <v/>
      </c>
      <c r="W16" s="49" t="str">
        <f>IFERROR(IF(W$3="","",IF(TEXT(W$3,"ddd")="CN","CN",VLOOKUP($A16&amp;W$3,Data_Cong!$R:$AI,10,0))),"")</f>
        <v/>
      </c>
      <c r="X16" s="49" t="str">
        <f>IFERROR(IF(X$3="","",IF(TEXT(X$3,"ddd")="CN","CN",VLOOKUP($A16&amp;X$3,Data_Cong!$R:$AI,10,0))),"")</f>
        <v>CN</v>
      </c>
      <c r="Y16" s="49" t="str">
        <f>IFERROR(IF(Y$3="","",IF(TEXT(Y$3,"ddd")="CN","CN",VLOOKUP($A16&amp;Y$3,Data_Cong!$R:$AI,10,0))),"")</f>
        <v/>
      </c>
      <c r="Z16" s="49" t="str">
        <f>IFERROR(IF(Z$3="","",IF(TEXT(Z$3,"ddd")="CN","CN",VLOOKUP($A16&amp;Z$3,Data_Cong!$R:$AI,10,0))),"")</f>
        <v/>
      </c>
      <c r="AA16" s="49" t="str">
        <f>IFERROR(IF(AA$3="","",IF(TEXT(AA$3,"ddd")="CN","CN",VLOOKUP($A16&amp;AA$3,Data_Cong!$R:$AI,10,0))),"")</f>
        <v/>
      </c>
      <c r="AB16" s="49" t="str">
        <f>IFERROR(IF(AB$3="","",IF(TEXT(AB$3,"ddd")="CN","CN",VLOOKUP($A16&amp;AB$3,Data_Cong!$R:$AI,10,0))),"")</f>
        <v/>
      </c>
      <c r="AC16" s="49" t="str">
        <f>IFERROR(IF(AC$3="","",IF(TEXT(AC$3,"ddd")="CN","CN",VLOOKUP($A16&amp;AC$3,Data_Cong!$R:$AI,10,0))),"")</f>
        <v/>
      </c>
      <c r="AD16" s="49" t="str">
        <f>IFERROR(IF(AD$3="","",IF(TEXT(AD$3,"ddd")="CN","CN",VLOOKUP($A16&amp;AD$3,Data_Cong!$R:$AI,10,0))),"")</f>
        <v/>
      </c>
      <c r="AE16" s="49" t="str">
        <f>IFERROR(IF(AE$3="","",IF(TEXT(AE$3,"ddd")="CN","CN",VLOOKUP($A16&amp;AE$3,Data_Cong!$R:$AI,10,0))),"")</f>
        <v>CN</v>
      </c>
      <c r="AF16" s="49" t="str">
        <f>IFERROR(IF(AF$3="","",IF(TEXT(AF$3,"ddd")="CN","CN",VLOOKUP($A16&amp;AF$3,Data_Cong!$R:$AI,10,0))),"")</f>
        <v/>
      </c>
      <c r="AG16" s="49" t="str">
        <f>IFERROR(IF(AG$3="","",IF(TEXT(AG$3,"ddd")="CN","CN",VLOOKUP($A16&amp;AG$3,Data_Cong!$R:$AI,10,0))),"")</f>
        <v/>
      </c>
      <c r="AH16" s="49" t="str">
        <f>IFERROR(IF(AH$3="","",IF(TEXT(AH$3,"ddd")="CN","CN",VLOOKUP($A16&amp;AH$3,Data_Cong!$R:$AI,10,0))),"")</f>
        <v/>
      </c>
      <c r="AI16" s="50" cm="1">
        <f t="array" ref="AI16">SUMPRODUCT((D16:AH16="x")*1+(D16:AH16="P")*1+(D16:AH16="1/2P")*1+(D16:AH16="1/2")*0.5+(D16:AH16="2x")*2+(D16:AH16="L")*1)</f>
        <v>0</v>
      </c>
      <c r="AJ16" s="51">
        <f>SUMIF(Data_Cong!A:A,$A16,Data_Cong!AE:AE)</f>
        <v>0</v>
      </c>
      <c r="AK16" s="52">
        <f>COUNTIFS(Data_Cong!AB:AB,"&gt;5",Data_Cong!A:A,A16)</f>
        <v>0</v>
      </c>
      <c r="AL16" s="53" t="str">
        <f>IF(MONTH(VLOOKUP(A16,Data_NV!$A:$J,10,0))=BANG_CHAM_CONG!$R$2,"T"&amp;BANG_CHAM_CONG!$R$2,"")</f>
        <v>T9</v>
      </c>
      <c r="AM16" s="96">
        <v>7.5</v>
      </c>
      <c r="AN16" s="93" cm="1">
        <f t="array" ref="AN16">IF((AM16+1)&gt;12,12,(AM16+1))-SUMPRODUCT((D16:AH16="P")*1+(D16:AH16="1/2P")*0.5)</f>
        <v>8.5</v>
      </c>
      <c r="AO16" s="50"/>
      <c r="AP16" s="54">
        <f>SUMIFS(Data_Cong!AF:AF,Data_Cong!A:A,$A16)+SUMIFS(Data_Cong!AG:AG,Data_Cong!A:A,$A16)</f>
        <v>0</v>
      </c>
    </row>
    <row r="17" spans="1:42" ht="15.75" x14ac:dyDescent="0.25">
      <c r="A17" s="28" t="s">
        <v>58</v>
      </c>
      <c r="B17" s="47">
        <v>3</v>
      </c>
      <c r="C17" s="48" t="s">
        <v>176</v>
      </c>
      <c r="D17" s="49" t="str">
        <f>IFERROR(IF(D$3="","",IF(TEXT(D$3,"ddd")="CN","CN",VLOOKUP($A17&amp;D$3,Data_Cong!$R:$AI,10,0))),"")</f>
        <v/>
      </c>
      <c r="E17" s="49" t="str">
        <f>IFERROR(IF(E$3="","",IF(TEXT(E$3,"ddd")="CN","CN",VLOOKUP($A17&amp;E$3,Data_Cong!$R:$AI,10,0))),"")</f>
        <v/>
      </c>
      <c r="F17" s="49" t="str">
        <f>IFERROR(IF(F$3="","",IF(TEXT(F$3,"ddd")="CN","CN",VLOOKUP($A17&amp;F$3,Data_Cong!$R:$AI,10,0))),"")</f>
        <v/>
      </c>
      <c r="G17" s="49" t="str">
        <f>IFERROR(IF(G$3="","",IF(TEXT(G$3,"ddd")="CN","CN",VLOOKUP($A17&amp;G$3,Data_Cong!$R:$AI,10,0))),"")</f>
        <v/>
      </c>
      <c r="H17" s="49" t="str">
        <f>IFERROR(IF(H$3="","",IF(TEXT(H$3,"ddd")="CN","CN",VLOOKUP($A17&amp;H$3,Data_Cong!$R:$AI,10,0))),"")</f>
        <v/>
      </c>
      <c r="I17" s="49" t="str">
        <f>IFERROR(IF(I$3="","",IF(TEXT(I$3,"ddd")="CN","CN",VLOOKUP($A17&amp;I$3,Data_Cong!$R:$AI,10,0))),"")</f>
        <v/>
      </c>
      <c r="J17" s="49" t="str">
        <f>IFERROR(IF(J$3="","",IF(TEXT(J$3,"ddd")="CN","CN",VLOOKUP($A17&amp;J$3,Data_Cong!$R:$AI,10,0))),"")</f>
        <v>CN</v>
      </c>
      <c r="K17" s="49" t="str">
        <f>IFERROR(IF(K$3="","",IF(TEXT(K$3,"ddd")="CN","CN",VLOOKUP($A17&amp;K$3,Data_Cong!$R:$AI,10,0))),"")</f>
        <v/>
      </c>
      <c r="L17" s="49" t="str">
        <f>IFERROR(IF(L$3="","",IF(TEXT(L$3,"ddd")="CN","CN",VLOOKUP($A17&amp;L$3,Data_Cong!$R:$AI,10,0))),"")</f>
        <v/>
      </c>
      <c r="M17" s="49" t="str">
        <f>IFERROR(IF(M$3="","",IF(TEXT(M$3,"ddd")="CN","CN",VLOOKUP($A17&amp;M$3,Data_Cong!$R:$AI,10,0))),"")</f>
        <v/>
      </c>
      <c r="N17" s="49" t="str">
        <f>IFERROR(IF(N$3="","",IF(TEXT(N$3,"ddd")="CN","CN",VLOOKUP($A17&amp;N$3,Data_Cong!$R:$AI,10,0))),"")</f>
        <v/>
      </c>
      <c r="O17" s="49" t="str">
        <f>IFERROR(IF(O$3="","",IF(TEXT(O$3,"ddd")="CN","CN",VLOOKUP($A17&amp;O$3,Data_Cong!$R:$AI,10,0))),"")</f>
        <v/>
      </c>
      <c r="P17" s="49" t="str">
        <f>IFERROR(IF(P$3="","",IF(TEXT(P$3,"ddd")="CN","CN",VLOOKUP($A17&amp;P$3,Data_Cong!$R:$AI,10,0))),"")</f>
        <v/>
      </c>
      <c r="Q17" s="49" t="str">
        <f>IFERROR(IF(Q$3="","",IF(TEXT(Q$3,"ddd")="CN","CN",VLOOKUP($A17&amp;Q$3,Data_Cong!$R:$AI,10,0))),"")</f>
        <v>CN</v>
      </c>
      <c r="R17" s="49" t="str">
        <f>IFERROR(IF(R$3="","",IF(TEXT(R$3,"ddd")="CN","CN",VLOOKUP($A17&amp;R$3,Data_Cong!$R:$AI,10,0))),"")</f>
        <v/>
      </c>
      <c r="S17" s="49" t="str">
        <f>IFERROR(IF(S$3="","",IF(TEXT(S$3,"ddd")="CN","CN",VLOOKUP($A17&amp;S$3,Data_Cong!$R:$AI,10,0))),"")</f>
        <v/>
      </c>
      <c r="T17" s="49" t="str">
        <f>IFERROR(IF(T$3="","",IF(TEXT(T$3,"ddd")="CN","CN",VLOOKUP($A17&amp;T$3,Data_Cong!$R:$AI,10,0))),"")</f>
        <v/>
      </c>
      <c r="U17" s="49" t="str">
        <f>IFERROR(IF(U$3="","",IF(TEXT(U$3,"ddd")="CN","CN",VLOOKUP($A17&amp;U$3,Data_Cong!$R:$AI,10,0))),"")</f>
        <v/>
      </c>
      <c r="V17" s="49" t="str">
        <f>IFERROR(IF(V$3="","",IF(TEXT(V$3,"ddd")="CN","CN",VLOOKUP($A17&amp;V$3,Data_Cong!$R:$AI,10,0))),"")</f>
        <v/>
      </c>
      <c r="W17" s="49" t="str">
        <f>IFERROR(IF(W$3="","",IF(TEXT(W$3,"ddd")="CN","CN",VLOOKUP($A17&amp;W$3,Data_Cong!$R:$AI,10,0))),"")</f>
        <v/>
      </c>
      <c r="X17" s="49" t="str">
        <f>IFERROR(IF(X$3="","",IF(TEXT(X$3,"ddd")="CN","CN",VLOOKUP($A17&amp;X$3,Data_Cong!$R:$AI,10,0))),"")</f>
        <v>CN</v>
      </c>
      <c r="Y17" s="49" t="str">
        <f>IFERROR(IF(Y$3="","",IF(TEXT(Y$3,"ddd")="CN","CN",VLOOKUP($A17&amp;Y$3,Data_Cong!$R:$AI,10,0))),"")</f>
        <v/>
      </c>
      <c r="Z17" s="49" t="str">
        <f>IFERROR(IF(Z$3="","",IF(TEXT(Z$3,"ddd")="CN","CN",VLOOKUP($A17&amp;Z$3,Data_Cong!$R:$AI,10,0))),"")</f>
        <v/>
      </c>
      <c r="AA17" s="49" t="str">
        <f>IFERROR(IF(AA$3="","",IF(TEXT(AA$3,"ddd")="CN","CN",VLOOKUP($A17&amp;AA$3,Data_Cong!$R:$AI,10,0))),"")</f>
        <v/>
      </c>
      <c r="AB17" s="49" t="str">
        <f>IFERROR(IF(AB$3="","",IF(TEXT(AB$3,"ddd")="CN","CN",VLOOKUP($A17&amp;AB$3,Data_Cong!$R:$AI,10,0))),"")</f>
        <v/>
      </c>
      <c r="AC17" s="49" t="str">
        <f>IFERROR(IF(AC$3="","",IF(TEXT(AC$3,"ddd")="CN","CN",VLOOKUP($A17&amp;AC$3,Data_Cong!$R:$AI,10,0))),"")</f>
        <v/>
      </c>
      <c r="AD17" s="49" t="str">
        <f>IFERROR(IF(AD$3="","",IF(TEXT(AD$3,"ddd")="CN","CN",VLOOKUP($A17&amp;AD$3,Data_Cong!$R:$AI,10,0))),"")</f>
        <v/>
      </c>
      <c r="AE17" s="49" t="str">
        <f>IFERROR(IF(AE$3="","",IF(TEXT(AE$3,"ddd")="CN","CN",VLOOKUP($A17&amp;AE$3,Data_Cong!$R:$AI,10,0))),"")</f>
        <v>CN</v>
      </c>
      <c r="AF17" s="49" t="str">
        <f>IFERROR(IF(AF$3="","",IF(TEXT(AF$3,"ddd")="CN","CN",VLOOKUP($A17&amp;AF$3,Data_Cong!$R:$AI,10,0))),"")</f>
        <v/>
      </c>
      <c r="AG17" s="49" t="str">
        <f>IFERROR(IF(AG$3="","",IF(TEXT(AG$3,"ddd")="CN","CN",VLOOKUP($A17&amp;AG$3,Data_Cong!$R:$AI,10,0))),"")</f>
        <v/>
      </c>
      <c r="AH17" s="49" t="str">
        <f>IFERROR(IF(AH$3="","",IF(TEXT(AH$3,"ddd")="CN","CN",VLOOKUP($A17&amp;AH$3,Data_Cong!$R:$AI,10,0))),"")</f>
        <v/>
      </c>
      <c r="AI17" s="50" cm="1">
        <f t="array" ref="AI17">SUMPRODUCT((D17:AH17="x")*1+(D17:AH17="P")*1+(D17:AH17="1/2P")*1+(D17:AH17="1/2")*0.5+(D17:AH17="2x")*2+(D17:AH17="L")*1)</f>
        <v>0</v>
      </c>
      <c r="AJ17" s="51">
        <f>SUMIF(Data_Cong!A:A,$A17,Data_Cong!AE:AE)</f>
        <v>0</v>
      </c>
      <c r="AK17" s="52">
        <f>COUNTIFS(Data_Cong!AB:AB,"&gt;5",Data_Cong!A:A,A17)</f>
        <v>0</v>
      </c>
      <c r="AL17" s="53" t="str">
        <f>IF(MONTH(VLOOKUP(A17,Data_NV!$A:$J,10,0))=BANG_CHAM_CONG!$R$2,"T"&amp;BANG_CHAM_CONG!$R$2,"")</f>
        <v/>
      </c>
      <c r="AM17" s="96">
        <v>6</v>
      </c>
      <c r="AN17" s="93" cm="1">
        <f t="array" ref="AN17">IF((AM17+1)&gt;12,12,(AM17+1))-SUMPRODUCT((D17:AH17="P")*1+(D17:AH17="1/2P")*0.5)</f>
        <v>7</v>
      </c>
      <c r="AO17" s="50"/>
      <c r="AP17" s="54">
        <f>SUMIFS(Data_Cong!AF:AF,Data_Cong!A:A,$A17)+SUMIFS(Data_Cong!AG:AG,Data_Cong!A:A,$A17)</f>
        <v>0</v>
      </c>
    </row>
    <row r="18" spans="1:42" ht="15.75" x14ac:dyDescent="0.25">
      <c r="A18" s="28" t="s">
        <v>79</v>
      </c>
      <c r="B18" s="47">
        <v>4</v>
      </c>
      <c r="C18" s="48" t="s">
        <v>177</v>
      </c>
      <c r="D18" s="49" t="str">
        <f>IFERROR(IF(D$3="","",IF(TEXT(D$3,"ddd")="CN","CN",VLOOKUP($A18&amp;D$3,Data_Cong!$R:$AI,10,0))),"")</f>
        <v/>
      </c>
      <c r="E18" s="49" t="str">
        <f>IFERROR(IF(E$3="","",IF(TEXT(E$3,"ddd")="CN","CN",VLOOKUP($A18&amp;E$3,Data_Cong!$R:$AI,10,0))),"")</f>
        <v/>
      </c>
      <c r="F18" s="49" t="str">
        <f>IFERROR(IF(F$3="","",IF(TEXT(F$3,"ddd")="CN","CN",VLOOKUP($A18&amp;F$3,Data_Cong!$R:$AI,10,0))),"")</f>
        <v/>
      </c>
      <c r="G18" s="49" t="str">
        <f>IFERROR(IF(G$3="","",IF(TEXT(G$3,"ddd")="CN","CN",VLOOKUP($A18&amp;G$3,Data_Cong!$R:$AI,10,0))),"")</f>
        <v/>
      </c>
      <c r="H18" s="49" t="str">
        <f>IFERROR(IF(H$3="","",IF(TEXT(H$3,"ddd")="CN","CN",VLOOKUP($A18&amp;H$3,Data_Cong!$R:$AI,10,0))),"")</f>
        <v/>
      </c>
      <c r="I18" s="49" t="str">
        <f>IFERROR(IF(I$3="","",IF(TEXT(I$3,"ddd")="CN","CN",VLOOKUP($A18&amp;I$3,Data_Cong!$R:$AI,10,0))),"")</f>
        <v/>
      </c>
      <c r="J18" s="49" t="str">
        <f>IFERROR(IF(J$3="","",IF(TEXT(J$3,"ddd")="CN","CN",VLOOKUP($A18&amp;J$3,Data_Cong!$R:$AI,10,0))),"")</f>
        <v>CN</v>
      </c>
      <c r="K18" s="49" t="str">
        <f>IFERROR(IF(K$3="","",IF(TEXT(K$3,"ddd")="CN","CN",VLOOKUP($A18&amp;K$3,Data_Cong!$R:$AI,10,0))),"")</f>
        <v/>
      </c>
      <c r="L18" s="49" t="str">
        <f>IFERROR(IF(L$3="","",IF(TEXT(L$3,"ddd")="CN","CN",VLOOKUP($A18&amp;L$3,Data_Cong!$R:$AI,10,0))),"")</f>
        <v/>
      </c>
      <c r="M18" s="49" t="str">
        <f>IFERROR(IF(M$3="","",IF(TEXT(M$3,"ddd")="CN","CN",VLOOKUP($A18&amp;M$3,Data_Cong!$R:$AI,10,0))),"")</f>
        <v/>
      </c>
      <c r="N18" s="49" t="str">
        <f>IFERROR(IF(N$3="","",IF(TEXT(N$3,"ddd")="CN","CN",VLOOKUP($A18&amp;N$3,Data_Cong!$R:$AI,10,0))),"")</f>
        <v/>
      </c>
      <c r="O18" s="49" t="str">
        <f>IFERROR(IF(O$3="","",IF(TEXT(O$3,"ddd")="CN","CN",VLOOKUP($A18&amp;O$3,Data_Cong!$R:$AI,10,0))),"")</f>
        <v/>
      </c>
      <c r="P18" s="49" t="str">
        <f>IFERROR(IF(P$3="","",IF(TEXT(P$3,"ddd")="CN","CN",VLOOKUP($A18&amp;P$3,Data_Cong!$R:$AI,10,0))),"")</f>
        <v/>
      </c>
      <c r="Q18" s="49" t="str">
        <f>IFERROR(IF(Q$3="","",IF(TEXT(Q$3,"ddd")="CN","CN",VLOOKUP($A18&amp;Q$3,Data_Cong!$R:$AI,10,0))),"")</f>
        <v>CN</v>
      </c>
      <c r="R18" s="49" t="str">
        <f>IFERROR(IF(R$3="","",IF(TEXT(R$3,"ddd")="CN","CN",VLOOKUP($A18&amp;R$3,Data_Cong!$R:$AI,10,0))),"")</f>
        <v/>
      </c>
      <c r="S18" s="49" t="str">
        <f>IFERROR(IF(S$3="","",IF(TEXT(S$3,"ddd")="CN","CN",VLOOKUP($A18&amp;S$3,Data_Cong!$R:$AI,10,0))),"")</f>
        <v/>
      </c>
      <c r="T18" s="49" t="str">
        <f>IFERROR(IF(T$3="","",IF(TEXT(T$3,"ddd")="CN","CN",VLOOKUP($A18&amp;T$3,Data_Cong!$R:$AI,10,0))),"")</f>
        <v/>
      </c>
      <c r="U18" s="49" t="str">
        <f>IFERROR(IF(U$3="","",IF(TEXT(U$3,"ddd")="CN","CN",VLOOKUP($A18&amp;U$3,Data_Cong!$R:$AI,10,0))),"")</f>
        <v/>
      </c>
      <c r="V18" s="49" t="str">
        <f>IFERROR(IF(V$3="","",IF(TEXT(V$3,"ddd")="CN","CN",VLOOKUP($A18&amp;V$3,Data_Cong!$R:$AI,10,0))),"")</f>
        <v/>
      </c>
      <c r="W18" s="49" t="str">
        <f>IFERROR(IF(W$3="","",IF(TEXT(W$3,"ddd")="CN","CN",VLOOKUP($A18&amp;W$3,Data_Cong!$R:$AI,10,0))),"")</f>
        <v/>
      </c>
      <c r="X18" s="49" t="str">
        <f>IFERROR(IF(X$3="","",IF(TEXT(X$3,"ddd")="CN","CN",VLOOKUP($A18&amp;X$3,Data_Cong!$R:$AI,10,0))),"")</f>
        <v>CN</v>
      </c>
      <c r="Y18" s="49" t="str">
        <f>IFERROR(IF(Y$3="","",IF(TEXT(Y$3,"ddd")="CN","CN",VLOOKUP($A18&amp;Y$3,Data_Cong!$R:$AI,10,0))),"")</f>
        <v/>
      </c>
      <c r="Z18" s="49" t="str">
        <f>IFERROR(IF(Z$3="","",IF(TEXT(Z$3,"ddd")="CN","CN",VLOOKUP($A18&amp;Z$3,Data_Cong!$R:$AI,10,0))),"")</f>
        <v/>
      </c>
      <c r="AA18" s="49" t="str">
        <f>IFERROR(IF(AA$3="","",IF(TEXT(AA$3,"ddd")="CN","CN",VLOOKUP($A18&amp;AA$3,Data_Cong!$R:$AI,10,0))),"")</f>
        <v/>
      </c>
      <c r="AB18" s="49" t="str">
        <f>IFERROR(IF(AB$3="","",IF(TEXT(AB$3,"ddd")="CN","CN",VLOOKUP($A18&amp;AB$3,Data_Cong!$R:$AI,10,0))),"")</f>
        <v/>
      </c>
      <c r="AC18" s="49" t="str">
        <f>IFERROR(IF(AC$3="","",IF(TEXT(AC$3,"ddd")="CN","CN",VLOOKUP($A18&amp;AC$3,Data_Cong!$R:$AI,10,0))),"")</f>
        <v/>
      </c>
      <c r="AD18" s="49" t="str">
        <f>IFERROR(IF(AD$3="","",IF(TEXT(AD$3,"ddd")="CN","CN",VLOOKUP($A18&amp;AD$3,Data_Cong!$R:$AI,10,0))),"")</f>
        <v/>
      </c>
      <c r="AE18" s="49" t="str">
        <f>IFERROR(IF(AE$3="","",IF(TEXT(AE$3,"ddd")="CN","CN",VLOOKUP($A18&amp;AE$3,Data_Cong!$R:$AI,10,0))),"")</f>
        <v>CN</v>
      </c>
      <c r="AF18" s="49" t="str">
        <f>IFERROR(IF(AF$3="","",IF(TEXT(AF$3,"ddd")="CN","CN",VLOOKUP($A18&amp;AF$3,Data_Cong!$R:$AI,10,0))),"")</f>
        <v/>
      </c>
      <c r="AG18" s="49" t="str">
        <f>IFERROR(IF(AG$3="","",IF(TEXT(AG$3,"ddd")="CN","CN",VLOOKUP($A18&amp;AG$3,Data_Cong!$R:$AI,10,0))),"")</f>
        <v/>
      </c>
      <c r="AH18" s="49" t="str">
        <f>IFERROR(IF(AH$3="","",IF(TEXT(AH$3,"ddd")="CN","CN",VLOOKUP($A18&amp;AH$3,Data_Cong!$R:$AI,10,0))),"")</f>
        <v/>
      </c>
      <c r="AI18" s="50" cm="1">
        <f t="array" ref="AI18">SUMPRODUCT((D18:AH18="x")*1+(D18:AH18="P")*1+(D18:AH18="1/2P")*1+(D18:AH18="1/2")*0.5+(D18:AH18="2x")*2+(D18:AH18="L")*1)</f>
        <v>0</v>
      </c>
      <c r="AJ18" s="51">
        <f>SUMIF(Data_Cong!A:A,$A18,Data_Cong!AE:AE)</f>
        <v>0</v>
      </c>
      <c r="AK18" s="52">
        <f>COUNTIFS(Data_Cong!AB:AB,"&gt;5",Data_Cong!A:A,A18)</f>
        <v>0</v>
      </c>
      <c r="AL18" s="53" t="str">
        <f>IF(MONTH(VLOOKUP(A18,Data_NV!$A:$J,10,0))=BANG_CHAM_CONG!$R$2,"T"&amp;BANG_CHAM_CONG!$R$2,"")</f>
        <v/>
      </c>
      <c r="AM18" s="96">
        <v>8</v>
      </c>
      <c r="AN18" s="93" cm="1">
        <f t="array" ref="AN18">IF((AM18+1)&gt;12,12,(AM18+1))-SUMPRODUCT((D18:AH18="P")*1+(D18:AH18="1/2P")*0.5)</f>
        <v>9</v>
      </c>
      <c r="AO18" s="50"/>
      <c r="AP18" s="54">
        <f>SUMIFS(Data_Cong!AF:AF,Data_Cong!A:A,$A18)+SUMIFS(Data_Cong!AG:AG,Data_Cong!A:A,$A18)</f>
        <v>0</v>
      </c>
    </row>
    <row r="19" spans="1:42" ht="15.75" x14ac:dyDescent="0.25">
      <c r="A19" s="28" t="s">
        <v>56</v>
      </c>
      <c r="B19" s="47">
        <v>5</v>
      </c>
      <c r="C19" s="48" t="s">
        <v>178</v>
      </c>
      <c r="D19" s="49" t="str">
        <f>IFERROR(IF(D$3="","",IF(TEXT(D$3,"ddd")="CN","CN",VLOOKUP($A19&amp;D$3,Data_Cong!$R:$AI,10,0))),"")</f>
        <v/>
      </c>
      <c r="E19" s="49" t="str">
        <f>IFERROR(IF(E$3="","",IF(TEXT(E$3,"ddd")="CN","CN",VLOOKUP($A19&amp;E$3,Data_Cong!$R:$AI,10,0))),"")</f>
        <v/>
      </c>
      <c r="F19" s="49" t="str">
        <f>IFERROR(IF(F$3="","",IF(TEXT(F$3,"ddd")="CN","CN",VLOOKUP($A19&amp;F$3,Data_Cong!$R:$AI,10,0))),"")</f>
        <v/>
      </c>
      <c r="G19" s="49" t="str">
        <f>IFERROR(IF(G$3="","",IF(TEXT(G$3,"ddd")="CN","CN",VLOOKUP($A19&amp;G$3,Data_Cong!$R:$AI,10,0))),"")</f>
        <v/>
      </c>
      <c r="H19" s="49" t="str">
        <f>IFERROR(IF(H$3="","",IF(TEXT(H$3,"ddd")="CN","CN",VLOOKUP($A19&amp;H$3,Data_Cong!$R:$AI,10,0))),"")</f>
        <v/>
      </c>
      <c r="I19" s="49" t="str">
        <f>IFERROR(IF(I$3="","",IF(TEXT(I$3,"ddd")="CN","CN",VLOOKUP($A19&amp;I$3,Data_Cong!$R:$AI,10,0))),"")</f>
        <v/>
      </c>
      <c r="J19" s="49" t="str">
        <f>IFERROR(IF(J$3="","",IF(TEXT(J$3,"ddd")="CN","CN",VLOOKUP($A19&amp;J$3,Data_Cong!$R:$AI,10,0))),"")</f>
        <v>CN</v>
      </c>
      <c r="K19" s="49" t="str">
        <f>IFERROR(IF(K$3="","",IF(TEXT(K$3,"ddd")="CN","CN",VLOOKUP($A19&amp;K$3,Data_Cong!$R:$AI,10,0))),"")</f>
        <v/>
      </c>
      <c r="L19" s="49" t="str">
        <f>IFERROR(IF(L$3="","",IF(TEXT(L$3,"ddd")="CN","CN",VLOOKUP($A19&amp;L$3,Data_Cong!$R:$AI,10,0))),"")</f>
        <v/>
      </c>
      <c r="M19" s="49" t="str">
        <f>IFERROR(IF(M$3="","",IF(TEXT(M$3,"ddd")="CN","CN",VLOOKUP($A19&amp;M$3,Data_Cong!$R:$AI,10,0))),"")</f>
        <v/>
      </c>
      <c r="N19" s="49" t="str">
        <f>IFERROR(IF(N$3="","",IF(TEXT(N$3,"ddd")="CN","CN",VLOOKUP($A19&amp;N$3,Data_Cong!$R:$AI,10,0))),"")</f>
        <v/>
      </c>
      <c r="O19" s="49" t="str">
        <f>IFERROR(IF(O$3="","",IF(TEXT(O$3,"ddd")="CN","CN",VLOOKUP($A19&amp;O$3,Data_Cong!$R:$AI,10,0))),"")</f>
        <v/>
      </c>
      <c r="P19" s="49" t="str">
        <f>IFERROR(IF(P$3="","",IF(TEXT(P$3,"ddd")="CN","CN",VLOOKUP($A19&amp;P$3,Data_Cong!$R:$AI,10,0))),"")</f>
        <v/>
      </c>
      <c r="Q19" s="49" t="str">
        <f>IFERROR(IF(Q$3="","",IF(TEXT(Q$3,"ddd")="CN","CN",VLOOKUP($A19&amp;Q$3,Data_Cong!$R:$AI,10,0))),"")</f>
        <v>CN</v>
      </c>
      <c r="R19" s="49" t="str">
        <f>IFERROR(IF(R$3="","",IF(TEXT(R$3,"ddd")="CN","CN",VLOOKUP($A19&amp;R$3,Data_Cong!$R:$AI,10,0))),"")</f>
        <v/>
      </c>
      <c r="S19" s="49" t="str">
        <f>IFERROR(IF(S$3="","",IF(TEXT(S$3,"ddd")="CN","CN",VLOOKUP($A19&amp;S$3,Data_Cong!$R:$AI,10,0))),"")</f>
        <v/>
      </c>
      <c r="T19" s="49" t="str">
        <f>IFERROR(IF(T$3="","",IF(TEXT(T$3,"ddd")="CN","CN",VLOOKUP($A19&amp;T$3,Data_Cong!$R:$AI,10,0))),"")</f>
        <v/>
      </c>
      <c r="U19" s="49" t="str">
        <f>IFERROR(IF(U$3="","",IF(TEXT(U$3,"ddd")="CN","CN",VLOOKUP($A19&amp;U$3,Data_Cong!$R:$AI,10,0))),"")</f>
        <v/>
      </c>
      <c r="V19" s="49" t="str">
        <f>IFERROR(IF(V$3="","",IF(TEXT(V$3,"ddd")="CN","CN",VLOOKUP($A19&amp;V$3,Data_Cong!$R:$AI,10,0))),"")</f>
        <v/>
      </c>
      <c r="W19" s="49" t="str">
        <f>IFERROR(IF(W$3="","",IF(TEXT(W$3,"ddd")="CN","CN",VLOOKUP($A19&amp;W$3,Data_Cong!$R:$AI,10,0))),"")</f>
        <v/>
      </c>
      <c r="X19" s="49" t="str">
        <f>IFERROR(IF(X$3="","",IF(TEXT(X$3,"ddd")="CN","CN",VLOOKUP($A19&amp;X$3,Data_Cong!$R:$AI,10,0))),"")</f>
        <v>CN</v>
      </c>
      <c r="Y19" s="49" t="str">
        <f>IFERROR(IF(Y$3="","",IF(TEXT(Y$3,"ddd")="CN","CN",VLOOKUP($A19&amp;Y$3,Data_Cong!$R:$AI,10,0))),"")</f>
        <v/>
      </c>
      <c r="Z19" s="49" t="str">
        <f>IFERROR(IF(Z$3="","",IF(TEXT(Z$3,"ddd")="CN","CN",VLOOKUP($A19&amp;Z$3,Data_Cong!$R:$AI,10,0))),"")</f>
        <v/>
      </c>
      <c r="AA19" s="49" t="str">
        <f>IFERROR(IF(AA$3="","",IF(TEXT(AA$3,"ddd")="CN","CN",VLOOKUP($A19&amp;AA$3,Data_Cong!$R:$AI,10,0))),"")</f>
        <v/>
      </c>
      <c r="AB19" s="49" t="str">
        <f>IFERROR(IF(AB$3="","",IF(TEXT(AB$3,"ddd")="CN","CN",VLOOKUP($A19&amp;AB$3,Data_Cong!$R:$AI,10,0))),"")</f>
        <v/>
      </c>
      <c r="AC19" s="49" t="str">
        <f>IFERROR(IF(AC$3="","",IF(TEXT(AC$3,"ddd")="CN","CN",VLOOKUP($A19&amp;AC$3,Data_Cong!$R:$AI,10,0))),"")</f>
        <v/>
      </c>
      <c r="AD19" s="49" t="str">
        <f>IFERROR(IF(AD$3="","",IF(TEXT(AD$3,"ddd")="CN","CN",VLOOKUP($A19&amp;AD$3,Data_Cong!$R:$AI,10,0))),"")</f>
        <v/>
      </c>
      <c r="AE19" s="49" t="str">
        <f>IFERROR(IF(AE$3="","",IF(TEXT(AE$3,"ddd")="CN","CN",VLOOKUP($A19&amp;AE$3,Data_Cong!$R:$AI,10,0))),"")</f>
        <v>CN</v>
      </c>
      <c r="AF19" s="49" t="str">
        <f>IFERROR(IF(AF$3="","",IF(TEXT(AF$3,"ddd")="CN","CN",VLOOKUP($A19&amp;AF$3,Data_Cong!$R:$AI,10,0))),"")</f>
        <v/>
      </c>
      <c r="AG19" s="49" t="str">
        <f>IFERROR(IF(AG$3="","",IF(TEXT(AG$3,"ddd")="CN","CN",VLOOKUP($A19&amp;AG$3,Data_Cong!$R:$AI,10,0))),"")</f>
        <v/>
      </c>
      <c r="AH19" s="49" t="str">
        <f>IFERROR(IF(AH$3="","",IF(TEXT(AH$3,"ddd")="CN","CN",VLOOKUP($A19&amp;AH$3,Data_Cong!$R:$AI,10,0))),"")</f>
        <v/>
      </c>
      <c r="AI19" s="50" cm="1">
        <f t="array" ref="AI19">SUMPRODUCT((D19:AH19="x")*1+(D19:AH19="P")*1+(D19:AH19="1/2P")*1+(D19:AH19="1/2")*0.5+(D19:AH19="2x")*2+(D19:AH19="L")*1)</f>
        <v>0</v>
      </c>
      <c r="AJ19" s="51">
        <f>SUMIF(Data_Cong!A:A,$A19,Data_Cong!AE:AE)</f>
        <v>0</v>
      </c>
      <c r="AK19" s="52">
        <f>COUNTIFS(Data_Cong!AB:AB,"&gt;5",Data_Cong!A:A,A19)</f>
        <v>0</v>
      </c>
      <c r="AL19" s="53" t="str">
        <f>IF(MONTH(VLOOKUP(A19,Data_NV!$A:$J,10,0))=BANG_CHAM_CONG!$R$2,"T"&amp;BANG_CHAM_CONG!$R$2,"")</f>
        <v/>
      </c>
      <c r="AM19" s="96">
        <v>6</v>
      </c>
      <c r="AN19" s="93" cm="1">
        <f t="array" ref="AN19">IF((AM19+1)&gt;12,12,(AM19+1))-SUMPRODUCT((D19:AH19="P")*1+(D19:AH19="1/2P")*0.5)</f>
        <v>7</v>
      </c>
      <c r="AO19" s="50"/>
      <c r="AP19" s="54">
        <f>SUMIFS(Data_Cong!AF:AF,Data_Cong!A:A,$A19)+SUMIFS(Data_Cong!AG:AG,Data_Cong!A:A,$A19)</f>
        <v>0</v>
      </c>
    </row>
    <row r="20" spans="1:42" ht="15.75" x14ac:dyDescent="0.25">
      <c r="A20" s="28" t="s">
        <v>55</v>
      </c>
      <c r="B20" s="47">
        <v>6</v>
      </c>
      <c r="C20" s="48" t="s">
        <v>179</v>
      </c>
      <c r="D20" s="49" t="str">
        <f>IFERROR(IF(D$3="","",IF(TEXT(D$3,"ddd")="CN","CN",VLOOKUP($A20&amp;D$3,Data_Cong!$R:$AI,10,0))),"")</f>
        <v/>
      </c>
      <c r="E20" s="49" t="str">
        <f>IFERROR(IF(E$3="","",IF(TEXT(E$3,"ddd")="CN","CN",VLOOKUP($A20&amp;E$3,Data_Cong!$R:$AI,10,0))),"")</f>
        <v/>
      </c>
      <c r="F20" s="49" t="str">
        <f>IFERROR(IF(F$3="","",IF(TEXT(F$3,"ddd")="CN","CN",VLOOKUP($A20&amp;F$3,Data_Cong!$R:$AI,10,0))),"")</f>
        <v/>
      </c>
      <c r="G20" s="49" t="str">
        <f>IFERROR(IF(G$3="","",IF(TEXT(G$3,"ddd")="CN","CN",VLOOKUP($A20&amp;G$3,Data_Cong!$R:$AI,10,0))),"")</f>
        <v/>
      </c>
      <c r="H20" s="49" t="str">
        <f>IFERROR(IF(H$3="","",IF(TEXT(H$3,"ddd")="CN","CN",VLOOKUP($A20&amp;H$3,Data_Cong!$R:$AI,10,0))),"")</f>
        <v/>
      </c>
      <c r="I20" s="49" t="str">
        <f>IFERROR(IF(I$3="","",IF(TEXT(I$3,"ddd")="CN","CN",VLOOKUP($A20&amp;I$3,Data_Cong!$R:$AI,10,0))),"")</f>
        <v/>
      </c>
      <c r="J20" s="49" t="str">
        <f>IFERROR(IF(J$3="","",IF(TEXT(J$3,"ddd")="CN","CN",VLOOKUP($A20&amp;J$3,Data_Cong!$R:$AI,10,0))),"")</f>
        <v>CN</v>
      </c>
      <c r="K20" s="49" t="str">
        <f>IFERROR(IF(K$3="","",IF(TEXT(K$3,"ddd")="CN","CN",VLOOKUP($A20&amp;K$3,Data_Cong!$R:$AI,10,0))),"")</f>
        <v/>
      </c>
      <c r="L20" s="49" t="str">
        <f>IFERROR(IF(L$3="","",IF(TEXT(L$3,"ddd")="CN","CN",VLOOKUP($A20&amp;L$3,Data_Cong!$R:$AI,10,0))),"")</f>
        <v/>
      </c>
      <c r="M20" s="49" t="str">
        <f>IFERROR(IF(M$3="","",IF(TEXT(M$3,"ddd")="CN","CN",VLOOKUP($A20&amp;M$3,Data_Cong!$R:$AI,10,0))),"")</f>
        <v/>
      </c>
      <c r="N20" s="49" t="str">
        <f>IFERROR(IF(N$3="","",IF(TEXT(N$3,"ddd")="CN","CN",VLOOKUP($A20&amp;N$3,Data_Cong!$R:$AI,10,0))),"")</f>
        <v/>
      </c>
      <c r="O20" s="49" t="str">
        <f>IFERROR(IF(O$3="","",IF(TEXT(O$3,"ddd")="CN","CN",VLOOKUP($A20&amp;O$3,Data_Cong!$R:$AI,10,0))),"")</f>
        <v/>
      </c>
      <c r="P20" s="49" t="str">
        <f>IFERROR(IF(P$3="","",IF(TEXT(P$3,"ddd")="CN","CN",VLOOKUP($A20&amp;P$3,Data_Cong!$R:$AI,10,0))),"")</f>
        <v/>
      </c>
      <c r="Q20" s="49" t="str">
        <f>IFERROR(IF(Q$3="","",IF(TEXT(Q$3,"ddd")="CN","CN",VLOOKUP($A20&amp;Q$3,Data_Cong!$R:$AI,10,0))),"")</f>
        <v>CN</v>
      </c>
      <c r="R20" s="49" t="str">
        <f>IFERROR(IF(R$3="","",IF(TEXT(R$3,"ddd")="CN","CN",VLOOKUP($A20&amp;R$3,Data_Cong!$R:$AI,10,0))),"")</f>
        <v/>
      </c>
      <c r="S20" s="49" t="str">
        <f>IFERROR(IF(S$3="","",IF(TEXT(S$3,"ddd")="CN","CN",VLOOKUP($A20&amp;S$3,Data_Cong!$R:$AI,10,0))),"")</f>
        <v/>
      </c>
      <c r="T20" s="49" t="str">
        <f>IFERROR(IF(T$3="","",IF(TEXT(T$3,"ddd")="CN","CN",VLOOKUP($A20&amp;T$3,Data_Cong!$R:$AI,10,0))),"")</f>
        <v/>
      </c>
      <c r="U20" s="49" t="str">
        <f>IFERROR(IF(U$3="","",IF(TEXT(U$3,"ddd")="CN","CN",VLOOKUP($A20&amp;U$3,Data_Cong!$R:$AI,10,0))),"")</f>
        <v/>
      </c>
      <c r="V20" s="49" t="str">
        <f>IFERROR(IF(V$3="","",IF(TEXT(V$3,"ddd")="CN","CN",VLOOKUP($A20&amp;V$3,Data_Cong!$R:$AI,10,0))),"")</f>
        <v/>
      </c>
      <c r="W20" s="49" t="str">
        <f>IFERROR(IF(W$3="","",IF(TEXT(W$3,"ddd")="CN","CN",VLOOKUP($A20&amp;W$3,Data_Cong!$R:$AI,10,0))),"")</f>
        <v/>
      </c>
      <c r="X20" s="49" t="str">
        <f>IFERROR(IF(X$3="","",IF(TEXT(X$3,"ddd")="CN","CN",VLOOKUP($A20&amp;X$3,Data_Cong!$R:$AI,10,0))),"")</f>
        <v>CN</v>
      </c>
      <c r="Y20" s="49" t="str">
        <f>IFERROR(IF(Y$3="","",IF(TEXT(Y$3,"ddd")="CN","CN",VLOOKUP($A20&amp;Y$3,Data_Cong!$R:$AI,10,0))),"")</f>
        <v/>
      </c>
      <c r="Z20" s="49" t="str">
        <f>IFERROR(IF(Z$3="","",IF(TEXT(Z$3,"ddd")="CN","CN",VLOOKUP($A20&amp;Z$3,Data_Cong!$R:$AI,10,0))),"")</f>
        <v/>
      </c>
      <c r="AA20" s="49" t="str">
        <f>IFERROR(IF(AA$3="","",IF(TEXT(AA$3,"ddd")="CN","CN",VLOOKUP($A20&amp;AA$3,Data_Cong!$R:$AI,10,0))),"")</f>
        <v/>
      </c>
      <c r="AB20" s="49" t="str">
        <f>IFERROR(IF(AB$3="","",IF(TEXT(AB$3,"ddd")="CN","CN",VLOOKUP($A20&amp;AB$3,Data_Cong!$R:$AI,10,0))),"")</f>
        <v/>
      </c>
      <c r="AC20" s="49" t="str">
        <f>IFERROR(IF(AC$3="","",IF(TEXT(AC$3,"ddd")="CN","CN",VLOOKUP($A20&amp;AC$3,Data_Cong!$R:$AI,10,0))),"")</f>
        <v/>
      </c>
      <c r="AD20" s="49" t="str">
        <f>IFERROR(IF(AD$3="","",IF(TEXT(AD$3,"ddd")="CN","CN",VLOOKUP($A20&amp;AD$3,Data_Cong!$R:$AI,10,0))),"")</f>
        <v/>
      </c>
      <c r="AE20" s="49" t="str">
        <f>IFERROR(IF(AE$3="","",IF(TEXT(AE$3,"ddd")="CN","CN",VLOOKUP($A20&amp;AE$3,Data_Cong!$R:$AI,10,0))),"")</f>
        <v>CN</v>
      </c>
      <c r="AF20" s="49" t="str">
        <f>IFERROR(IF(AF$3="","",IF(TEXT(AF$3,"ddd")="CN","CN",VLOOKUP($A20&amp;AF$3,Data_Cong!$R:$AI,10,0))),"")</f>
        <v/>
      </c>
      <c r="AG20" s="49" t="str">
        <f>IFERROR(IF(AG$3="","",IF(TEXT(AG$3,"ddd")="CN","CN",VLOOKUP($A20&amp;AG$3,Data_Cong!$R:$AI,10,0))),"")</f>
        <v/>
      </c>
      <c r="AH20" s="49" t="str">
        <f>IFERROR(IF(AH$3="","",IF(TEXT(AH$3,"ddd")="CN","CN",VLOOKUP($A20&amp;AH$3,Data_Cong!$R:$AI,10,0))),"")</f>
        <v/>
      </c>
      <c r="AI20" s="50" cm="1">
        <f t="array" ref="AI20">SUMPRODUCT((D20:AH20="x")*1+(D20:AH20="P")*1+(D20:AH20="1/2P")*1+(D20:AH20="1/2")*0.5+(D20:AH20="2x")*2+(D20:AH20="L")*1)</f>
        <v>0</v>
      </c>
      <c r="AJ20" s="51">
        <f>SUMIF(Data_Cong!A:A,$A20,Data_Cong!AE:AE)</f>
        <v>0</v>
      </c>
      <c r="AK20" s="52">
        <f>COUNTIFS(Data_Cong!AB:AB,"&gt;5",Data_Cong!A:A,A20)</f>
        <v>0</v>
      </c>
      <c r="AL20" s="53" t="str">
        <f>IF(MONTH(VLOOKUP(A20,Data_NV!$A:$J,10,0))=BANG_CHAM_CONG!$R$2,"T"&amp;BANG_CHAM_CONG!$R$2,"")</f>
        <v/>
      </c>
      <c r="AM20" s="96">
        <v>10</v>
      </c>
      <c r="AN20" s="93" cm="1">
        <f t="array" ref="AN20">IF((AM20+1)&gt;12,12,(AM20+1))-SUMPRODUCT((D20:AH20="P")*1+(D20:AH20="1/2P")*0.5)</f>
        <v>11</v>
      </c>
      <c r="AO20" s="50"/>
      <c r="AP20" s="54">
        <f>SUMIFS(Data_Cong!AF:AF,Data_Cong!A:A,$A20)+SUMIFS(Data_Cong!AG:AG,Data_Cong!A:A,$A20)</f>
        <v>0</v>
      </c>
    </row>
    <row r="21" spans="1:42" ht="15.75" x14ac:dyDescent="0.25">
      <c r="A21" s="28" t="s">
        <v>78</v>
      </c>
      <c r="B21" s="47">
        <v>7</v>
      </c>
      <c r="C21" s="48" t="s">
        <v>180</v>
      </c>
      <c r="D21" s="49" t="str">
        <f>IFERROR(IF(D$3="","",IF(TEXT(D$3,"ddd")="CN","CN",VLOOKUP($A21&amp;D$3,Data_Cong!$R:$AI,10,0))),"")</f>
        <v/>
      </c>
      <c r="E21" s="49" t="str">
        <f>IFERROR(IF(E$3="","",IF(TEXT(E$3,"ddd")="CN","CN",VLOOKUP($A21&amp;E$3,Data_Cong!$R:$AI,10,0))),"")</f>
        <v/>
      </c>
      <c r="F21" s="49" t="str">
        <f>IFERROR(IF(F$3="","",IF(TEXT(F$3,"ddd")="CN","CN",VLOOKUP($A21&amp;F$3,Data_Cong!$R:$AI,10,0))),"")</f>
        <v/>
      </c>
      <c r="G21" s="49" t="str">
        <f>IFERROR(IF(G$3="","",IF(TEXT(G$3,"ddd")="CN","CN",VLOOKUP($A21&amp;G$3,Data_Cong!$R:$AI,10,0))),"")</f>
        <v/>
      </c>
      <c r="H21" s="49" t="str">
        <f>IFERROR(IF(H$3="","",IF(TEXT(H$3,"ddd")="CN","CN",VLOOKUP($A21&amp;H$3,Data_Cong!$R:$AI,10,0))),"")</f>
        <v/>
      </c>
      <c r="I21" s="49" t="str">
        <f>IFERROR(IF(I$3="","",IF(TEXT(I$3,"ddd")="CN","CN",VLOOKUP($A21&amp;I$3,Data_Cong!$R:$AI,10,0))),"")</f>
        <v/>
      </c>
      <c r="J21" s="49" t="str">
        <f>IFERROR(IF(J$3="","",IF(TEXT(J$3,"ddd")="CN","CN",VLOOKUP($A21&amp;J$3,Data_Cong!$R:$AI,10,0))),"")</f>
        <v>CN</v>
      </c>
      <c r="K21" s="49" t="str">
        <f>IFERROR(IF(K$3="","",IF(TEXT(K$3,"ddd")="CN","CN",VLOOKUP($A21&amp;K$3,Data_Cong!$R:$AI,10,0))),"")</f>
        <v/>
      </c>
      <c r="L21" s="49" t="str">
        <f>IFERROR(IF(L$3="","",IF(TEXT(L$3,"ddd")="CN","CN",VLOOKUP($A21&amp;L$3,Data_Cong!$R:$AI,10,0))),"")</f>
        <v/>
      </c>
      <c r="M21" s="49" t="str">
        <f>IFERROR(IF(M$3="","",IF(TEXT(M$3,"ddd")="CN","CN",VLOOKUP($A21&amp;M$3,Data_Cong!$R:$AI,10,0))),"")</f>
        <v/>
      </c>
      <c r="N21" s="49" t="str">
        <f>IFERROR(IF(N$3="","",IF(TEXT(N$3,"ddd")="CN","CN",VLOOKUP($A21&amp;N$3,Data_Cong!$R:$AI,10,0))),"")</f>
        <v/>
      </c>
      <c r="O21" s="49" t="str">
        <f>IFERROR(IF(O$3="","",IF(TEXT(O$3,"ddd")="CN","CN",VLOOKUP($A21&amp;O$3,Data_Cong!$R:$AI,10,0))),"")</f>
        <v/>
      </c>
      <c r="P21" s="49" t="str">
        <f>IFERROR(IF(P$3="","",IF(TEXT(P$3,"ddd")="CN","CN",VLOOKUP($A21&amp;P$3,Data_Cong!$R:$AI,10,0))),"")</f>
        <v/>
      </c>
      <c r="Q21" s="49" t="str">
        <f>IFERROR(IF(Q$3="","",IF(TEXT(Q$3,"ddd")="CN","CN",VLOOKUP($A21&amp;Q$3,Data_Cong!$R:$AI,10,0))),"")</f>
        <v>CN</v>
      </c>
      <c r="R21" s="49" t="str">
        <f>IFERROR(IF(R$3="","",IF(TEXT(R$3,"ddd")="CN","CN",VLOOKUP($A21&amp;R$3,Data_Cong!$R:$AI,10,0))),"")</f>
        <v/>
      </c>
      <c r="S21" s="49" t="str">
        <f>IFERROR(IF(S$3="","",IF(TEXT(S$3,"ddd")="CN","CN",VLOOKUP($A21&amp;S$3,Data_Cong!$R:$AI,10,0))),"")</f>
        <v/>
      </c>
      <c r="T21" s="49" t="str">
        <f>IFERROR(IF(T$3="","",IF(TEXT(T$3,"ddd")="CN","CN",VLOOKUP($A21&amp;T$3,Data_Cong!$R:$AI,10,0))),"")</f>
        <v/>
      </c>
      <c r="U21" s="49" t="str">
        <f>IFERROR(IF(U$3="","",IF(TEXT(U$3,"ddd")="CN","CN",VLOOKUP($A21&amp;U$3,Data_Cong!$R:$AI,10,0))),"")</f>
        <v/>
      </c>
      <c r="V21" s="49" t="str">
        <f>IFERROR(IF(V$3="","",IF(TEXT(V$3,"ddd")="CN","CN",VLOOKUP($A21&amp;V$3,Data_Cong!$R:$AI,10,0))),"")</f>
        <v/>
      </c>
      <c r="W21" s="49" t="str">
        <f>IFERROR(IF(W$3="","",IF(TEXT(W$3,"ddd")="CN","CN",VLOOKUP($A21&amp;W$3,Data_Cong!$R:$AI,10,0))),"")</f>
        <v/>
      </c>
      <c r="X21" s="49" t="str">
        <f>IFERROR(IF(X$3="","",IF(TEXT(X$3,"ddd")="CN","CN",VLOOKUP($A21&amp;X$3,Data_Cong!$R:$AI,10,0))),"")</f>
        <v>CN</v>
      </c>
      <c r="Y21" s="49" t="str">
        <f>IFERROR(IF(Y$3="","",IF(TEXT(Y$3,"ddd")="CN","CN",VLOOKUP($A21&amp;Y$3,Data_Cong!$R:$AI,10,0))),"")</f>
        <v/>
      </c>
      <c r="Z21" s="49" t="str">
        <f>IFERROR(IF(Z$3="","",IF(TEXT(Z$3,"ddd")="CN","CN",VLOOKUP($A21&amp;Z$3,Data_Cong!$R:$AI,10,0))),"")</f>
        <v/>
      </c>
      <c r="AA21" s="49" t="str">
        <f>IFERROR(IF(AA$3="","",IF(TEXT(AA$3,"ddd")="CN","CN",VLOOKUP($A21&amp;AA$3,Data_Cong!$R:$AI,10,0))),"")</f>
        <v/>
      </c>
      <c r="AB21" s="49" t="str">
        <f>IFERROR(IF(AB$3="","",IF(TEXT(AB$3,"ddd")="CN","CN",VLOOKUP($A21&amp;AB$3,Data_Cong!$R:$AI,10,0))),"")</f>
        <v/>
      </c>
      <c r="AC21" s="49" t="str">
        <f>IFERROR(IF(AC$3="","",IF(TEXT(AC$3,"ddd")="CN","CN",VLOOKUP($A21&amp;AC$3,Data_Cong!$R:$AI,10,0))),"")</f>
        <v/>
      </c>
      <c r="AD21" s="49" t="str">
        <f>IFERROR(IF(AD$3="","",IF(TEXT(AD$3,"ddd")="CN","CN",VLOOKUP($A21&amp;AD$3,Data_Cong!$R:$AI,10,0))),"")</f>
        <v/>
      </c>
      <c r="AE21" s="49" t="str">
        <f>IFERROR(IF(AE$3="","",IF(TEXT(AE$3,"ddd")="CN","CN",VLOOKUP($A21&amp;AE$3,Data_Cong!$R:$AI,10,0))),"")</f>
        <v>CN</v>
      </c>
      <c r="AF21" s="49" t="str">
        <f>IFERROR(IF(AF$3="","",IF(TEXT(AF$3,"ddd")="CN","CN",VLOOKUP($A21&amp;AF$3,Data_Cong!$R:$AI,10,0))),"")</f>
        <v/>
      </c>
      <c r="AG21" s="49" t="str">
        <f>IFERROR(IF(AG$3="","",IF(TEXT(AG$3,"ddd")="CN","CN",VLOOKUP($A21&amp;AG$3,Data_Cong!$R:$AI,10,0))),"")</f>
        <v/>
      </c>
      <c r="AH21" s="49" t="str">
        <f>IFERROR(IF(AH$3="","",IF(TEXT(AH$3,"ddd")="CN","CN",VLOOKUP($A21&amp;AH$3,Data_Cong!$R:$AI,10,0))),"")</f>
        <v/>
      </c>
      <c r="AI21" s="50" cm="1">
        <f t="array" ref="AI21">SUMPRODUCT((D21:AH21="x")*1+(D21:AH21="P")*1+(D21:AH21="1/2P")*1+(D21:AH21="1/2")*0.5+(D21:AH21="2x")*2+(D21:AH21="L")*1)</f>
        <v>0</v>
      </c>
      <c r="AJ21" s="51">
        <f>SUMIF(Data_Cong!A:A,$A21,Data_Cong!AE:AE)</f>
        <v>0</v>
      </c>
      <c r="AK21" s="52">
        <f>COUNTIFS(Data_Cong!AB:AB,"&gt;5",Data_Cong!A:A,A21)</f>
        <v>0</v>
      </c>
      <c r="AL21" s="53" t="str">
        <f>IF(MONTH(VLOOKUP(A21,Data_NV!$A:$J,10,0))=BANG_CHAM_CONG!$R$2,"T"&amp;BANG_CHAM_CONG!$R$2,"")</f>
        <v/>
      </c>
      <c r="AM21" s="96">
        <v>12</v>
      </c>
      <c r="AN21" s="93" cm="1">
        <f t="array" ref="AN21">IF((AM21+1)&gt;12,12,(AM21+1))-SUMPRODUCT((D21:AH21="P")*1+(D21:AH21="1/2P")*0.5)</f>
        <v>12</v>
      </c>
      <c r="AO21" s="50"/>
      <c r="AP21" s="54">
        <f>SUMIFS(Data_Cong!AF:AF,Data_Cong!A:A,$A21)+SUMIFS(Data_Cong!AG:AG,Data_Cong!A:A,$A21)</f>
        <v>0</v>
      </c>
    </row>
    <row r="22" spans="1:42" ht="15.75" x14ac:dyDescent="0.25">
      <c r="A22" s="28" t="s">
        <v>77</v>
      </c>
      <c r="B22" s="47">
        <v>8</v>
      </c>
      <c r="C22" s="48" t="s">
        <v>181</v>
      </c>
      <c r="D22" s="49" t="str">
        <f>IFERROR(IF(D$3="","",IF(TEXT(D$3,"ddd")="CN","CN",VLOOKUP($A22&amp;D$3,Data_Cong!$R:$AI,10,0))),"")</f>
        <v/>
      </c>
      <c r="E22" s="49" t="str">
        <f>IFERROR(IF(E$3="","",IF(TEXT(E$3,"ddd")="CN","CN",VLOOKUP($A22&amp;E$3,Data_Cong!$R:$AI,10,0))),"")</f>
        <v/>
      </c>
      <c r="F22" s="49" t="str">
        <f>IFERROR(IF(F$3="","",IF(TEXT(F$3,"ddd")="CN","CN",VLOOKUP($A22&amp;F$3,Data_Cong!$R:$AI,10,0))),"")</f>
        <v/>
      </c>
      <c r="G22" s="49" t="str">
        <f>IFERROR(IF(G$3="","",IF(TEXT(G$3,"ddd")="CN","CN",VLOOKUP($A22&amp;G$3,Data_Cong!$R:$AI,10,0))),"")</f>
        <v/>
      </c>
      <c r="H22" s="49" t="str">
        <f>IFERROR(IF(H$3="","",IF(TEXT(H$3,"ddd")="CN","CN",VLOOKUP($A22&amp;H$3,Data_Cong!$R:$AI,10,0))),"")</f>
        <v/>
      </c>
      <c r="I22" s="49" t="str">
        <f>IFERROR(IF(I$3="","",IF(TEXT(I$3,"ddd")="CN","CN",VLOOKUP($A22&amp;I$3,Data_Cong!$R:$AI,10,0))),"")</f>
        <v/>
      </c>
      <c r="J22" s="49" t="str">
        <f>IFERROR(IF(J$3="","",IF(TEXT(J$3,"ddd")="CN","CN",VLOOKUP($A22&amp;J$3,Data_Cong!$R:$AI,10,0))),"")</f>
        <v>CN</v>
      </c>
      <c r="K22" s="49" t="str">
        <f>IFERROR(IF(K$3="","",IF(TEXT(K$3,"ddd")="CN","CN",VLOOKUP($A22&amp;K$3,Data_Cong!$R:$AI,10,0))),"")</f>
        <v/>
      </c>
      <c r="L22" s="49" t="str">
        <f>IFERROR(IF(L$3="","",IF(TEXT(L$3,"ddd")="CN","CN",VLOOKUP($A22&amp;L$3,Data_Cong!$R:$AI,10,0))),"")</f>
        <v/>
      </c>
      <c r="M22" s="49" t="str">
        <f>IFERROR(IF(M$3="","",IF(TEXT(M$3,"ddd")="CN","CN",VLOOKUP($A22&amp;M$3,Data_Cong!$R:$AI,10,0))),"")</f>
        <v/>
      </c>
      <c r="N22" s="49" t="str">
        <f>IFERROR(IF(N$3="","",IF(TEXT(N$3,"ddd")="CN","CN",VLOOKUP($A22&amp;N$3,Data_Cong!$R:$AI,10,0))),"")</f>
        <v/>
      </c>
      <c r="O22" s="49" t="str">
        <f>IFERROR(IF(O$3="","",IF(TEXT(O$3,"ddd")="CN","CN",VLOOKUP($A22&amp;O$3,Data_Cong!$R:$AI,10,0))),"")</f>
        <v/>
      </c>
      <c r="P22" s="49" t="str">
        <f>IFERROR(IF(P$3="","",IF(TEXT(P$3,"ddd")="CN","CN",VLOOKUP($A22&amp;P$3,Data_Cong!$R:$AI,10,0))),"")</f>
        <v/>
      </c>
      <c r="Q22" s="49" t="str">
        <f>IFERROR(IF(Q$3="","",IF(TEXT(Q$3,"ddd")="CN","CN",VLOOKUP($A22&amp;Q$3,Data_Cong!$R:$AI,10,0))),"")</f>
        <v>CN</v>
      </c>
      <c r="R22" s="49" t="str">
        <f>IFERROR(IF(R$3="","",IF(TEXT(R$3,"ddd")="CN","CN",VLOOKUP($A22&amp;R$3,Data_Cong!$R:$AI,10,0))),"")</f>
        <v/>
      </c>
      <c r="S22" s="49" t="str">
        <f>IFERROR(IF(S$3="","",IF(TEXT(S$3,"ddd")="CN","CN",VLOOKUP($A22&amp;S$3,Data_Cong!$R:$AI,10,0))),"")</f>
        <v/>
      </c>
      <c r="T22" s="49" t="str">
        <f>IFERROR(IF(T$3="","",IF(TEXT(T$3,"ddd")="CN","CN",VLOOKUP($A22&amp;T$3,Data_Cong!$R:$AI,10,0))),"")</f>
        <v/>
      </c>
      <c r="U22" s="49" t="str">
        <f>IFERROR(IF(U$3="","",IF(TEXT(U$3,"ddd")="CN","CN",VLOOKUP($A22&amp;U$3,Data_Cong!$R:$AI,10,0))),"")</f>
        <v/>
      </c>
      <c r="V22" s="49" t="str">
        <f>IFERROR(IF(V$3="","",IF(TEXT(V$3,"ddd")="CN","CN",VLOOKUP($A22&amp;V$3,Data_Cong!$R:$AI,10,0))),"")</f>
        <v/>
      </c>
      <c r="W22" s="49" t="str">
        <f>IFERROR(IF(W$3="","",IF(TEXT(W$3,"ddd")="CN","CN",VLOOKUP($A22&amp;W$3,Data_Cong!$R:$AI,10,0))),"")</f>
        <v/>
      </c>
      <c r="X22" s="49" t="str">
        <f>IFERROR(IF(X$3="","",IF(TEXT(X$3,"ddd")="CN","CN",VLOOKUP($A22&amp;X$3,Data_Cong!$R:$AI,10,0))),"")</f>
        <v>CN</v>
      </c>
      <c r="Y22" s="49" t="str">
        <f>IFERROR(IF(Y$3="","",IF(TEXT(Y$3,"ddd")="CN","CN",VLOOKUP($A22&amp;Y$3,Data_Cong!$R:$AI,10,0))),"")</f>
        <v/>
      </c>
      <c r="Z22" s="49" t="str">
        <f>IFERROR(IF(Z$3="","",IF(TEXT(Z$3,"ddd")="CN","CN",VLOOKUP($A22&amp;Z$3,Data_Cong!$R:$AI,10,0))),"")</f>
        <v/>
      </c>
      <c r="AA22" s="49" t="str">
        <f>IFERROR(IF(AA$3="","",IF(TEXT(AA$3,"ddd")="CN","CN",VLOOKUP($A22&amp;AA$3,Data_Cong!$R:$AI,10,0))),"")</f>
        <v/>
      </c>
      <c r="AB22" s="49" t="str">
        <f>IFERROR(IF(AB$3="","",IF(TEXT(AB$3,"ddd")="CN","CN",VLOOKUP($A22&amp;AB$3,Data_Cong!$R:$AI,10,0))),"")</f>
        <v/>
      </c>
      <c r="AC22" s="49" t="str">
        <f>IFERROR(IF(AC$3="","",IF(TEXT(AC$3,"ddd")="CN","CN",VLOOKUP($A22&amp;AC$3,Data_Cong!$R:$AI,10,0))),"")</f>
        <v/>
      </c>
      <c r="AD22" s="49" t="str">
        <f>IFERROR(IF(AD$3="","",IF(TEXT(AD$3,"ddd")="CN","CN",VLOOKUP($A22&amp;AD$3,Data_Cong!$R:$AI,10,0))),"")</f>
        <v/>
      </c>
      <c r="AE22" s="49" t="str">
        <f>IFERROR(IF(AE$3="","",IF(TEXT(AE$3,"ddd")="CN","CN",VLOOKUP($A22&amp;AE$3,Data_Cong!$R:$AI,10,0))),"")</f>
        <v>CN</v>
      </c>
      <c r="AF22" s="49" t="str">
        <f>IFERROR(IF(AF$3="","",IF(TEXT(AF$3,"ddd")="CN","CN",VLOOKUP($A22&amp;AF$3,Data_Cong!$R:$AI,10,0))),"")</f>
        <v/>
      </c>
      <c r="AG22" s="49" t="str">
        <f>IFERROR(IF(AG$3="","",IF(TEXT(AG$3,"ddd")="CN","CN",VLOOKUP($A22&amp;AG$3,Data_Cong!$R:$AI,10,0))),"")</f>
        <v/>
      </c>
      <c r="AH22" s="49" t="str">
        <f>IFERROR(IF(AH$3="","",IF(TEXT(AH$3,"ddd")="CN","CN",VLOOKUP($A22&amp;AH$3,Data_Cong!$R:$AI,10,0))),"")</f>
        <v/>
      </c>
      <c r="AI22" s="50" cm="1">
        <f t="array" ref="AI22">SUMPRODUCT((D22:AH22="x")*1+(D22:AH22="P")*1+(D22:AH22="1/2P")*1+(D22:AH22="1/2")*0.5+(D22:AH22="2x")*2+(D22:AH22="L")*1)</f>
        <v>0</v>
      </c>
      <c r="AJ22" s="51">
        <f>SUMIF(Data_Cong!A:A,$A22,Data_Cong!AE:AE)</f>
        <v>0</v>
      </c>
      <c r="AK22" s="52">
        <f>COUNTIFS(Data_Cong!AB:AB,"&gt;5",Data_Cong!A:A,A22)</f>
        <v>0</v>
      </c>
      <c r="AL22" s="53" t="str">
        <f>IF(MONTH(VLOOKUP(A22,Data_NV!$A:$J,10,0))=BANG_CHAM_CONG!$R$2,"T"&amp;BANG_CHAM_CONG!$R$2,"")</f>
        <v/>
      </c>
      <c r="AM22" s="96">
        <v>12</v>
      </c>
      <c r="AN22" s="93" cm="1">
        <f t="array" ref="AN22">IF((AM22+1)&gt;12,12,(AM22+1))-SUMPRODUCT((D22:AH22="P")*1+(D22:AH22="1/2P")*0.5)</f>
        <v>12</v>
      </c>
      <c r="AO22" s="50"/>
      <c r="AP22" s="54">
        <f>SUMIFS(Data_Cong!AF:AF,Data_Cong!A:A,$A22)+SUMIFS(Data_Cong!AG:AG,Data_Cong!A:A,$A22)</f>
        <v>0</v>
      </c>
    </row>
    <row r="23" spans="1:42" ht="15.75" x14ac:dyDescent="0.25">
      <c r="A23" s="28" t="s">
        <v>94</v>
      </c>
      <c r="B23" s="47">
        <v>9</v>
      </c>
      <c r="C23" s="48" t="s">
        <v>182</v>
      </c>
      <c r="D23" s="49" t="str">
        <f>IFERROR(IF(D$3="","",IF(TEXT(D$3,"ddd")="CN","CN",VLOOKUP($A23&amp;D$3,Data_Cong!$R:$AI,10,0))),"")</f>
        <v/>
      </c>
      <c r="E23" s="49" t="str">
        <f>IFERROR(IF(E$3="","",IF(TEXT(E$3,"ddd")="CN","CN",VLOOKUP($A23&amp;E$3,Data_Cong!$R:$AI,10,0))),"")</f>
        <v/>
      </c>
      <c r="F23" s="49" t="str">
        <f>IFERROR(IF(F$3="","",IF(TEXT(F$3,"ddd")="CN","CN",VLOOKUP($A23&amp;F$3,Data_Cong!$R:$AI,10,0))),"")</f>
        <v/>
      </c>
      <c r="G23" s="49" t="str">
        <f>IFERROR(IF(G$3="","",IF(TEXT(G$3,"ddd")="CN","CN",VLOOKUP($A23&amp;G$3,Data_Cong!$R:$AI,10,0))),"")</f>
        <v/>
      </c>
      <c r="H23" s="49" t="str">
        <f>IFERROR(IF(H$3="","",IF(TEXT(H$3,"ddd")="CN","CN",VLOOKUP($A23&amp;H$3,Data_Cong!$R:$AI,10,0))),"")</f>
        <v/>
      </c>
      <c r="I23" s="49" t="str">
        <f>IFERROR(IF(I$3="","",IF(TEXT(I$3,"ddd")="CN","CN",VLOOKUP($A23&amp;I$3,Data_Cong!$R:$AI,10,0))),"")</f>
        <v/>
      </c>
      <c r="J23" s="49" t="str">
        <f>IFERROR(IF(J$3="","",IF(TEXT(J$3,"ddd")="CN","CN",VLOOKUP($A23&amp;J$3,Data_Cong!$R:$AI,10,0))),"")</f>
        <v>CN</v>
      </c>
      <c r="K23" s="49" t="str">
        <f>IFERROR(IF(K$3="","",IF(TEXT(K$3,"ddd")="CN","CN",VLOOKUP($A23&amp;K$3,Data_Cong!$R:$AI,10,0))),"")</f>
        <v/>
      </c>
      <c r="L23" s="49" t="str">
        <f>IFERROR(IF(L$3="","",IF(TEXT(L$3,"ddd")="CN","CN",VLOOKUP($A23&amp;L$3,Data_Cong!$R:$AI,10,0))),"")</f>
        <v/>
      </c>
      <c r="M23" s="49" t="str">
        <f>IFERROR(IF(M$3="","",IF(TEXT(M$3,"ddd")="CN","CN",VLOOKUP($A23&amp;M$3,Data_Cong!$R:$AI,10,0))),"")</f>
        <v/>
      </c>
      <c r="N23" s="49" t="str">
        <f>IFERROR(IF(N$3="","",IF(TEXT(N$3,"ddd")="CN","CN",VLOOKUP($A23&amp;N$3,Data_Cong!$R:$AI,10,0))),"")</f>
        <v/>
      </c>
      <c r="O23" s="49" t="str">
        <f>IFERROR(IF(O$3="","",IF(TEXT(O$3,"ddd")="CN","CN",VLOOKUP($A23&amp;O$3,Data_Cong!$R:$AI,10,0))),"")</f>
        <v/>
      </c>
      <c r="P23" s="49" t="str">
        <f>IFERROR(IF(P$3="","",IF(TEXT(P$3,"ddd")="CN","CN",VLOOKUP($A23&amp;P$3,Data_Cong!$R:$AI,10,0))),"")</f>
        <v/>
      </c>
      <c r="Q23" s="49" t="str">
        <f>IFERROR(IF(Q$3="","",IF(TEXT(Q$3,"ddd")="CN","CN",VLOOKUP($A23&amp;Q$3,Data_Cong!$R:$AI,10,0))),"")</f>
        <v>CN</v>
      </c>
      <c r="R23" s="49" t="str">
        <f>IFERROR(IF(R$3="","",IF(TEXT(R$3,"ddd")="CN","CN",VLOOKUP($A23&amp;R$3,Data_Cong!$R:$AI,10,0))),"")</f>
        <v/>
      </c>
      <c r="S23" s="49" t="str">
        <f>IFERROR(IF(S$3="","",IF(TEXT(S$3,"ddd")="CN","CN",VLOOKUP($A23&amp;S$3,Data_Cong!$R:$AI,10,0))),"")</f>
        <v/>
      </c>
      <c r="T23" s="49" t="str">
        <f>IFERROR(IF(T$3="","",IF(TEXT(T$3,"ddd")="CN","CN",VLOOKUP($A23&amp;T$3,Data_Cong!$R:$AI,10,0))),"")</f>
        <v/>
      </c>
      <c r="U23" s="49" t="str">
        <f>IFERROR(IF(U$3="","",IF(TEXT(U$3,"ddd")="CN","CN",VLOOKUP($A23&amp;U$3,Data_Cong!$R:$AI,10,0))),"")</f>
        <v/>
      </c>
      <c r="V23" s="49" t="str">
        <f>IFERROR(IF(V$3="","",IF(TEXT(V$3,"ddd")="CN","CN",VLOOKUP($A23&amp;V$3,Data_Cong!$R:$AI,10,0))),"")</f>
        <v/>
      </c>
      <c r="W23" s="49" t="str">
        <f>IFERROR(IF(W$3="","",IF(TEXT(W$3,"ddd")="CN","CN",VLOOKUP($A23&amp;W$3,Data_Cong!$R:$AI,10,0))),"")</f>
        <v/>
      </c>
      <c r="X23" s="49" t="str">
        <f>IFERROR(IF(X$3="","",IF(TEXT(X$3,"ddd")="CN","CN",VLOOKUP($A23&amp;X$3,Data_Cong!$R:$AI,10,0))),"")</f>
        <v>CN</v>
      </c>
      <c r="Y23" s="49" t="str">
        <f>IFERROR(IF(Y$3="","",IF(TEXT(Y$3,"ddd")="CN","CN",VLOOKUP($A23&amp;Y$3,Data_Cong!$R:$AI,10,0))),"")</f>
        <v/>
      </c>
      <c r="Z23" s="49" t="str">
        <f>IFERROR(IF(Z$3="","",IF(TEXT(Z$3,"ddd")="CN","CN",VLOOKUP($A23&amp;Z$3,Data_Cong!$R:$AI,10,0))),"")</f>
        <v/>
      </c>
      <c r="AA23" s="49" t="str">
        <f>IFERROR(IF(AA$3="","",IF(TEXT(AA$3,"ddd")="CN","CN",VLOOKUP($A23&amp;AA$3,Data_Cong!$R:$AI,10,0))),"")</f>
        <v/>
      </c>
      <c r="AB23" s="49" t="str">
        <f>IFERROR(IF(AB$3="","",IF(TEXT(AB$3,"ddd")="CN","CN",VLOOKUP($A23&amp;AB$3,Data_Cong!$R:$AI,10,0))),"")</f>
        <v/>
      </c>
      <c r="AC23" s="49" t="str">
        <f>IFERROR(IF(AC$3="","",IF(TEXT(AC$3,"ddd")="CN","CN",VLOOKUP($A23&amp;AC$3,Data_Cong!$R:$AI,10,0))),"")</f>
        <v/>
      </c>
      <c r="AD23" s="49" t="str">
        <f>IFERROR(IF(AD$3="","",IF(TEXT(AD$3,"ddd")="CN","CN",VLOOKUP($A23&amp;AD$3,Data_Cong!$R:$AI,10,0))),"")</f>
        <v/>
      </c>
      <c r="AE23" s="49" t="str">
        <f>IFERROR(IF(AE$3="","",IF(TEXT(AE$3,"ddd")="CN","CN",VLOOKUP($A23&amp;AE$3,Data_Cong!$R:$AI,10,0))),"")</f>
        <v>CN</v>
      </c>
      <c r="AF23" s="49" t="str">
        <f>IFERROR(IF(AF$3="","",IF(TEXT(AF$3,"ddd")="CN","CN",VLOOKUP($A23&amp;AF$3,Data_Cong!$R:$AI,10,0))),"")</f>
        <v/>
      </c>
      <c r="AG23" s="49" t="str">
        <f>IFERROR(IF(AG$3="","",IF(TEXT(AG$3,"ddd")="CN","CN",VLOOKUP($A23&amp;AG$3,Data_Cong!$R:$AI,10,0))),"")</f>
        <v/>
      </c>
      <c r="AH23" s="49" t="str">
        <f>IFERROR(IF(AH$3="","",IF(TEXT(AH$3,"ddd")="CN","CN",VLOOKUP($A23&amp;AH$3,Data_Cong!$R:$AI,10,0))),"")</f>
        <v/>
      </c>
      <c r="AI23" s="50" cm="1">
        <f t="array" ref="AI23">SUMPRODUCT((D23:AH23="x")*1+(D23:AH23="P")*1+(D23:AH23="1/2P")*1+(D23:AH23="1/2")*0.5+(D23:AH23="2x")*2+(D23:AH23="L")*1)</f>
        <v>0</v>
      </c>
      <c r="AJ23" s="51">
        <f>SUMIF(Data_Cong!A:A,$A23,Data_Cong!AE:AE)</f>
        <v>0</v>
      </c>
      <c r="AK23" s="52">
        <f>COUNTIFS(Data_Cong!AB:AB,"&gt;5",Data_Cong!A:A,A23)</f>
        <v>0</v>
      </c>
      <c r="AL23" s="53" t="str">
        <f>IF(MONTH(VLOOKUP(A23,Data_NV!$A:$J,10,0))=BANG_CHAM_CONG!$R$2,"T"&amp;BANG_CHAM_CONG!$R$2,"")</f>
        <v/>
      </c>
      <c r="AM23" s="96">
        <v>8</v>
      </c>
      <c r="AN23" s="93" cm="1">
        <f t="array" ref="AN23">IF((AM23+1)&gt;12,12,(AM23+1))-SUMPRODUCT((D23:AH23="P")*1+(D23:AH23="1/2P")*0.5)</f>
        <v>9</v>
      </c>
      <c r="AO23" s="50"/>
      <c r="AP23" s="54">
        <f>SUMIFS(Data_Cong!AF:AF,Data_Cong!A:A,$A23)+SUMIFS(Data_Cong!AG:AG,Data_Cong!A:A,$A23)</f>
        <v>0</v>
      </c>
    </row>
    <row r="24" spans="1:42" ht="15.75" x14ac:dyDescent="0.25">
      <c r="A24" s="28" t="s">
        <v>126</v>
      </c>
      <c r="B24" s="47">
        <v>10</v>
      </c>
      <c r="C24" s="48" t="s">
        <v>183</v>
      </c>
      <c r="D24" s="49" t="str">
        <f>IFERROR(IF(D$3="","",IF(TEXT(D$3,"ddd")="CN","CN",VLOOKUP($A24&amp;D$3,Data_Cong!$R:$AI,10,0))),"")</f>
        <v/>
      </c>
      <c r="E24" s="49" t="str">
        <f>IFERROR(IF(E$3="","",IF(TEXT(E$3,"ddd")="CN","CN",VLOOKUP($A24&amp;E$3,Data_Cong!$R:$AI,10,0))),"")</f>
        <v/>
      </c>
      <c r="F24" s="49" t="str">
        <f>IFERROR(IF(F$3="","",IF(TEXT(F$3,"ddd")="CN","CN",VLOOKUP($A24&amp;F$3,Data_Cong!$R:$AI,10,0))),"")</f>
        <v/>
      </c>
      <c r="G24" s="49" t="str">
        <f>IFERROR(IF(G$3="","",IF(TEXT(G$3,"ddd")="CN","CN",VLOOKUP($A24&amp;G$3,Data_Cong!$R:$AI,10,0))),"")</f>
        <v/>
      </c>
      <c r="H24" s="49" t="str">
        <f>IFERROR(IF(H$3="","",IF(TEXT(H$3,"ddd")="CN","CN",VLOOKUP($A24&amp;H$3,Data_Cong!$R:$AI,10,0))),"")</f>
        <v/>
      </c>
      <c r="I24" s="49" t="str">
        <f>IFERROR(IF(I$3="","",IF(TEXT(I$3,"ddd")="CN","CN",VLOOKUP($A24&amp;I$3,Data_Cong!$R:$AI,10,0))),"")</f>
        <v/>
      </c>
      <c r="J24" s="49" t="str">
        <f>IFERROR(IF(J$3="","",IF(TEXT(J$3,"ddd")="CN","CN",VLOOKUP($A24&amp;J$3,Data_Cong!$R:$AI,10,0))),"")</f>
        <v>CN</v>
      </c>
      <c r="K24" s="49" t="str">
        <f>IFERROR(IF(K$3="","",IF(TEXT(K$3,"ddd")="CN","CN",VLOOKUP($A24&amp;K$3,Data_Cong!$R:$AI,10,0))),"")</f>
        <v/>
      </c>
      <c r="L24" s="49" t="str">
        <f>IFERROR(IF(L$3="","",IF(TEXT(L$3,"ddd")="CN","CN",VLOOKUP($A24&amp;L$3,Data_Cong!$R:$AI,10,0))),"")</f>
        <v/>
      </c>
      <c r="M24" s="49" t="str">
        <f>IFERROR(IF(M$3="","",IF(TEXT(M$3,"ddd")="CN","CN",VLOOKUP($A24&amp;M$3,Data_Cong!$R:$AI,10,0))),"")</f>
        <v/>
      </c>
      <c r="N24" s="49" t="str">
        <f>IFERROR(IF(N$3="","",IF(TEXT(N$3,"ddd")="CN","CN",VLOOKUP($A24&amp;N$3,Data_Cong!$R:$AI,10,0))),"")</f>
        <v/>
      </c>
      <c r="O24" s="49" t="str">
        <f>IFERROR(IF(O$3="","",IF(TEXT(O$3,"ddd")="CN","CN",VLOOKUP($A24&amp;O$3,Data_Cong!$R:$AI,10,0))),"")</f>
        <v/>
      </c>
      <c r="P24" s="49" t="str">
        <f>IFERROR(IF(P$3="","",IF(TEXT(P$3,"ddd")="CN","CN",VLOOKUP($A24&amp;P$3,Data_Cong!$R:$AI,10,0))),"")</f>
        <v/>
      </c>
      <c r="Q24" s="49" t="str">
        <f>IFERROR(IF(Q$3="","",IF(TEXT(Q$3,"ddd")="CN","CN",VLOOKUP($A24&amp;Q$3,Data_Cong!$R:$AI,10,0))),"")</f>
        <v>CN</v>
      </c>
      <c r="R24" s="49" t="str">
        <f>IFERROR(IF(R$3="","",IF(TEXT(R$3,"ddd")="CN","CN",VLOOKUP($A24&amp;R$3,Data_Cong!$R:$AI,10,0))),"")</f>
        <v/>
      </c>
      <c r="S24" s="49" t="str">
        <f>IFERROR(IF(S$3="","",IF(TEXT(S$3,"ddd")="CN","CN",VLOOKUP($A24&amp;S$3,Data_Cong!$R:$AI,10,0))),"")</f>
        <v/>
      </c>
      <c r="T24" s="49" t="str">
        <f>IFERROR(IF(T$3="","",IF(TEXT(T$3,"ddd")="CN","CN",VLOOKUP($A24&amp;T$3,Data_Cong!$R:$AI,10,0))),"")</f>
        <v/>
      </c>
      <c r="U24" s="49" t="str">
        <f>IFERROR(IF(U$3="","",IF(TEXT(U$3,"ddd")="CN","CN",VLOOKUP($A24&amp;U$3,Data_Cong!$R:$AI,10,0))),"")</f>
        <v/>
      </c>
      <c r="V24" s="49" t="str">
        <f>IFERROR(IF(V$3="","",IF(TEXT(V$3,"ddd")="CN","CN",VLOOKUP($A24&amp;V$3,Data_Cong!$R:$AI,10,0))),"")</f>
        <v/>
      </c>
      <c r="W24" s="49" t="str">
        <f>IFERROR(IF(W$3="","",IF(TEXT(W$3,"ddd")="CN","CN",VLOOKUP($A24&amp;W$3,Data_Cong!$R:$AI,10,0))),"")</f>
        <v/>
      </c>
      <c r="X24" s="49" t="str">
        <f>IFERROR(IF(X$3="","",IF(TEXT(X$3,"ddd")="CN","CN",VLOOKUP($A24&amp;X$3,Data_Cong!$R:$AI,10,0))),"")</f>
        <v>CN</v>
      </c>
      <c r="Y24" s="49" t="str">
        <f>IFERROR(IF(Y$3="","",IF(TEXT(Y$3,"ddd")="CN","CN",VLOOKUP($A24&amp;Y$3,Data_Cong!$R:$AI,10,0))),"")</f>
        <v/>
      </c>
      <c r="Z24" s="49" t="str">
        <f>IFERROR(IF(Z$3="","",IF(TEXT(Z$3,"ddd")="CN","CN",VLOOKUP($A24&amp;Z$3,Data_Cong!$R:$AI,10,0))),"")</f>
        <v/>
      </c>
      <c r="AA24" s="49" t="str">
        <f>IFERROR(IF(AA$3="","",IF(TEXT(AA$3,"ddd")="CN","CN",VLOOKUP($A24&amp;AA$3,Data_Cong!$R:$AI,10,0))),"")</f>
        <v/>
      </c>
      <c r="AB24" s="49" t="str">
        <f>IFERROR(IF(AB$3="","",IF(TEXT(AB$3,"ddd")="CN","CN",VLOOKUP($A24&amp;AB$3,Data_Cong!$R:$AI,10,0))),"")</f>
        <v/>
      </c>
      <c r="AC24" s="49" t="str">
        <f>IFERROR(IF(AC$3="","",IF(TEXT(AC$3,"ddd")="CN","CN",VLOOKUP($A24&amp;AC$3,Data_Cong!$R:$AI,10,0))),"")</f>
        <v/>
      </c>
      <c r="AD24" s="49" t="str">
        <f>IFERROR(IF(AD$3="","",IF(TEXT(AD$3,"ddd")="CN","CN",VLOOKUP($A24&amp;AD$3,Data_Cong!$R:$AI,10,0))),"")</f>
        <v/>
      </c>
      <c r="AE24" s="49" t="str">
        <f>IFERROR(IF(AE$3="","",IF(TEXT(AE$3,"ddd")="CN","CN",VLOOKUP($A24&amp;AE$3,Data_Cong!$R:$AI,10,0))),"")</f>
        <v>CN</v>
      </c>
      <c r="AF24" s="49" t="str">
        <f>IFERROR(IF(AF$3="","",IF(TEXT(AF$3,"ddd")="CN","CN",VLOOKUP($A24&amp;AF$3,Data_Cong!$R:$AI,10,0))),"")</f>
        <v/>
      </c>
      <c r="AG24" s="49" t="str">
        <f>IFERROR(IF(AG$3="","",IF(TEXT(AG$3,"ddd")="CN","CN",VLOOKUP($A24&amp;AG$3,Data_Cong!$R:$AI,10,0))),"")</f>
        <v/>
      </c>
      <c r="AH24" s="49" t="str">
        <f>IFERROR(IF(AH$3="","",IF(TEXT(AH$3,"ddd")="CN","CN",VLOOKUP($A24&amp;AH$3,Data_Cong!$R:$AI,10,0))),"")</f>
        <v/>
      </c>
      <c r="AI24" s="50" cm="1">
        <f t="array" ref="AI24">SUMPRODUCT((D24:AH24="x")*1+(D24:AH24="P")*1+(D24:AH24="1/2P")*1+(D24:AH24="1/2")*0.5+(D24:AH24="2x")*2+(D24:AH24="L")*1)</f>
        <v>0</v>
      </c>
      <c r="AJ24" s="51">
        <f>SUMIF(Data_Cong!A:A,$A24,Data_Cong!AE:AE)</f>
        <v>0</v>
      </c>
      <c r="AK24" s="52">
        <f>COUNTIFS(Data_Cong!AB:AB,"&gt;5",Data_Cong!A:A,A24)</f>
        <v>0</v>
      </c>
      <c r="AL24" s="53" t="str">
        <f>IF(MONTH(VLOOKUP(A24,Data_NV!$A:$J,10,0))=BANG_CHAM_CONG!$R$2,"T"&amp;BANG_CHAM_CONG!$R$2,"")</f>
        <v/>
      </c>
      <c r="AM24" s="96">
        <v>0</v>
      </c>
      <c r="AN24" s="93" cm="1">
        <f t="array" ref="AN24">IF((AM24+1)&gt;12,12,(AM24+1))-SUMPRODUCT((D24:AH24="P")*1+(D24:AH24="1/2P")*0.5)</f>
        <v>1</v>
      </c>
      <c r="AO24" s="50"/>
      <c r="AP24" s="54">
        <f>SUMIFS(Data_Cong!AF:AF,Data_Cong!A:A,$A24)+SUMIFS(Data_Cong!AG:AG,Data_Cong!A:A,$A24)</f>
        <v>0</v>
      </c>
    </row>
    <row r="25" spans="1:42" ht="15.75" x14ac:dyDescent="0.25">
      <c r="A25" s="28" t="s">
        <v>142</v>
      </c>
      <c r="B25" s="47">
        <v>11</v>
      </c>
      <c r="C25" s="48" t="s">
        <v>184</v>
      </c>
      <c r="D25" s="49" t="str">
        <f>IFERROR(IF(D$3="","",IF(TEXT(D$3,"ddd")="CN","CN",VLOOKUP($A25&amp;D$3,Data_Cong!$R:$AI,10,0))),"")</f>
        <v/>
      </c>
      <c r="E25" s="49" t="str">
        <f>IFERROR(IF(E$3="","",IF(TEXT(E$3,"ddd")="CN","CN",VLOOKUP($A25&amp;E$3,Data_Cong!$R:$AI,10,0))),"")</f>
        <v/>
      </c>
      <c r="F25" s="49" t="str">
        <f>IFERROR(IF(F$3="","",IF(TEXT(F$3,"ddd")="CN","CN",VLOOKUP($A25&amp;F$3,Data_Cong!$R:$AI,10,0))),"")</f>
        <v/>
      </c>
      <c r="G25" s="49" t="str">
        <f>IFERROR(IF(G$3="","",IF(TEXT(G$3,"ddd")="CN","CN",VLOOKUP($A25&amp;G$3,Data_Cong!$R:$AI,10,0))),"")</f>
        <v/>
      </c>
      <c r="H25" s="49" t="str">
        <f>IFERROR(IF(H$3="","",IF(TEXT(H$3,"ddd")="CN","CN",VLOOKUP($A25&amp;H$3,Data_Cong!$R:$AI,10,0))),"")</f>
        <v/>
      </c>
      <c r="I25" s="49" t="str">
        <f>IFERROR(IF(I$3="","",IF(TEXT(I$3,"ddd")="CN","CN",VLOOKUP($A25&amp;I$3,Data_Cong!$R:$AI,10,0))),"")</f>
        <v/>
      </c>
      <c r="J25" s="49" t="str">
        <f>IFERROR(IF(J$3="","",IF(TEXT(J$3,"ddd")="CN","CN",VLOOKUP($A25&amp;J$3,Data_Cong!$R:$AI,10,0))),"")</f>
        <v>CN</v>
      </c>
      <c r="K25" s="49" t="str">
        <f>IFERROR(IF(K$3="","",IF(TEXT(K$3,"ddd")="CN","CN",VLOOKUP($A25&amp;K$3,Data_Cong!$R:$AI,10,0))),"")</f>
        <v/>
      </c>
      <c r="L25" s="49" t="str">
        <f>IFERROR(IF(L$3="","",IF(TEXT(L$3,"ddd")="CN","CN",VLOOKUP($A25&amp;L$3,Data_Cong!$R:$AI,10,0))),"")</f>
        <v/>
      </c>
      <c r="M25" s="49" t="str">
        <f>IFERROR(IF(M$3="","",IF(TEXT(M$3,"ddd")="CN","CN",VLOOKUP($A25&amp;M$3,Data_Cong!$R:$AI,10,0))),"")</f>
        <v/>
      </c>
      <c r="N25" s="49" t="str">
        <f>IFERROR(IF(N$3="","",IF(TEXT(N$3,"ddd")="CN","CN",VLOOKUP($A25&amp;N$3,Data_Cong!$R:$AI,10,0))),"")</f>
        <v/>
      </c>
      <c r="O25" s="49" t="str">
        <f>IFERROR(IF(O$3="","",IF(TEXT(O$3,"ddd")="CN","CN",VLOOKUP($A25&amp;O$3,Data_Cong!$R:$AI,10,0))),"")</f>
        <v/>
      </c>
      <c r="P25" s="49" t="str">
        <f>IFERROR(IF(P$3="","",IF(TEXT(P$3,"ddd")="CN","CN",VLOOKUP($A25&amp;P$3,Data_Cong!$R:$AI,10,0))),"")</f>
        <v/>
      </c>
      <c r="Q25" s="49" t="str">
        <f>IFERROR(IF(Q$3="","",IF(TEXT(Q$3,"ddd")="CN","CN",VLOOKUP($A25&amp;Q$3,Data_Cong!$R:$AI,10,0))),"")</f>
        <v>CN</v>
      </c>
      <c r="R25" s="49" t="str">
        <f>IFERROR(IF(R$3="","",IF(TEXT(R$3,"ddd")="CN","CN",VLOOKUP($A25&amp;R$3,Data_Cong!$R:$AI,10,0))),"")</f>
        <v/>
      </c>
      <c r="S25" s="49" t="str">
        <f>IFERROR(IF(S$3="","",IF(TEXT(S$3,"ddd")="CN","CN",VLOOKUP($A25&amp;S$3,Data_Cong!$R:$AI,10,0))),"")</f>
        <v/>
      </c>
      <c r="T25" s="49" t="str">
        <f>IFERROR(IF(T$3="","",IF(TEXT(T$3,"ddd")="CN","CN",VLOOKUP($A25&amp;T$3,Data_Cong!$R:$AI,10,0))),"")</f>
        <v/>
      </c>
      <c r="U25" s="49" t="str">
        <f>IFERROR(IF(U$3="","",IF(TEXT(U$3,"ddd")="CN","CN",VLOOKUP($A25&amp;U$3,Data_Cong!$R:$AI,10,0))),"")</f>
        <v/>
      </c>
      <c r="V25" s="49" t="str">
        <f>IFERROR(IF(V$3="","",IF(TEXT(V$3,"ddd")="CN","CN",VLOOKUP($A25&amp;V$3,Data_Cong!$R:$AI,10,0))),"")</f>
        <v/>
      </c>
      <c r="W25" s="49" t="str">
        <f>IFERROR(IF(W$3="","",IF(TEXT(W$3,"ddd")="CN","CN",VLOOKUP($A25&amp;W$3,Data_Cong!$R:$AI,10,0))),"")</f>
        <v/>
      </c>
      <c r="X25" s="49" t="str">
        <f>IFERROR(IF(X$3="","",IF(TEXT(X$3,"ddd")="CN","CN",VLOOKUP($A25&amp;X$3,Data_Cong!$R:$AI,10,0))),"")</f>
        <v>CN</v>
      </c>
      <c r="Y25" s="49" t="str">
        <f>IFERROR(IF(Y$3="","",IF(TEXT(Y$3,"ddd")="CN","CN",VLOOKUP($A25&amp;Y$3,Data_Cong!$R:$AI,10,0))),"")</f>
        <v/>
      </c>
      <c r="Z25" s="49" t="str">
        <f>IFERROR(IF(Z$3="","",IF(TEXT(Z$3,"ddd")="CN","CN",VLOOKUP($A25&amp;Z$3,Data_Cong!$R:$AI,10,0))),"")</f>
        <v/>
      </c>
      <c r="AA25" s="49" t="str">
        <f>IFERROR(IF(AA$3="","",IF(TEXT(AA$3,"ddd")="CN","CN",VLOOKUP($A25&amp;AA$3,Data_Cong!$R:$AI,10,0))),"")</f>
        <v/>
      </c>
      <c r="AB25" s="49" t="str">
        <f>IFERROR(IF(AB$3="","",IF(TEXT(AB$3,"ddd")="CN","CN",VLOOKUP($A25&amp;AB$3,Data_Cong!$R:$AI,10,0))),"")</f>
        <v/>
      </c>
      <c r="AC25" s="49" t="str">
        <f>IFERROR(IF(AC$3="","",IF(TEXT(AC$3,"ddd")="CN","CN",VLOOKUP($A25&amp;AC$3,Data_Cong!$R:$AI,10,0))),"")</f>
        <v/>
      </c>
      <c r="AD25" s="49" t="str">
        <f>IFERROR(IF(AD$3="","",IF(TEXT(AD$3,"ddd")="CN","CN",VLOOKUP($A25&amp;AD$3,Data_Cong!$R:$AI,10,0))),"")</f>
        <v/>
      </c>
      <c r="AE25" s="49" t="str">
        <f>IFERROR(IF(AE$3="","",IF(TEXT(AE$3,"ddd")="CN","CN",VLOOKUP($A25&amp;AE$3,Data_Cong!$R:$AI,10,0))),"")</f>
        <v>CN</v>
      </c>
      <c r="AF25" s="49" t="str">
        <f>IFERROR(IF(AF$3="","",IF(TEXT(AF$3,"ddd")="CN","CN",VLOOKUP($A25&amp;AF$3,Data_Cong!$R:$AI,10,0))),"")</f>
        <v/>
      </c>
      <c r="AG25" s="49" t="str">
        <f>IFERROR(IF(AG$3="","",IF(TEXT(AG$3,"ddd")="CN","CN",VLOOKUP($A25&amp;AG$3,Data_Cong!$R:$AI,10,0))),"")</f>
        <v/>
      </c>
      <c r="AH25" s="49" t="str">
        <f>IFERROR(IF(AH$3="","",IF(TEXT(AH$3,"ddd")="CN","CN",VLOOKUP($A25&amp;AH$3,Data_Cong!$R:$AI,10,0))),"")</f>
        <v/>
      </c>
      <c r="AI25" s="50" cm="1">
        <f t="array" ref="AI25">SUMPRODUCT((D25:AH25="x")*1+(D25:AH25="P")*1+(D25:AH25="1/2P")*1+(D25:AH25="1/2")*0.5+(D25:AH25="2x")*2+(D25:AH25="L")*1)</f>
        <v>0</v>
      </c>
      <c r="AJ25" s="51">
        <f>SUMIF(Data_Cong!A:A,$A25,Data_Cong!AE:AE)</f>
        <v>0</v>
      </c>
      <c r="AK25" s="52">
        <f>COUNTIFS(Data_Cong!AB:AB,"&gt;5",Data_Cong!A:A,A25)</f>
        <v>0</v>
      </c>
      <c r="AL25" s="53" t="str">
        <f>IF(MONTH(VLOOKUP(A25,Data_NV!$A:$J,10,0))=BANG_CHAM_CONG!$R$2,"T"&amp;BANG_CHAM_CONG!$R$2,"")</f>
        <v/>
      </c>
      <c r="AM25" s="96">
        <v>1</v>
      </c>
      <c r="AN25" s="93" cm="1">
        <f t="array" ref="AN25">IF((AM25+1)&gt;12,12,(AM25+1))-SUMPRODUCT((D25:AH25="P")*1+(D25:AH25="1/2P")*0.5)</f>
        <v>2</v>
      </c>
      <c r="AO25" s="50"/>
      <c r="AP25" s="54">
        <f>SUMIFS(Data_Cong!AF:AF,Data_Cong!A:A,$A25)+SUMIFS(Data_Cong!AG:AG,Data_Cong!A:A,$A25)</f>
        <v>0</v>
      </c>
    </row>
    <row r="26" spans="1:42" ht="15.75" x14ac:dyDescent="0.25">
      <c r="A26" s="28" t="s">
        <v>70</v>
      </c>
      <c r="B26" s="47">
        <v>12</v>
      </c>
      <c r="C26" s="48" t="s">
        <v>185</v>
      </c>
      <c r="D26" s="49" t="str">
        <f>IFERROR(IF(D$3="","",IF(TEXT(D$3,"ddd")="CN","CN",VLOOKUP($A26&amp;D$3,Data_Cong!$R:$AI,10,0))),"")</f>
        <v/>
      </c>
      <c r="E26" s="49" t="str">
        <f>IFERROR(IF(E$3="","",IF(TEXT(E$3,"ddd")="CN","CN",VLOOKUP($A26&amp;E$3,Data_Cong!$R:$AI,10,0))),"")</f>
        <v/>
      </c>
      <c r="F26" s="49" t="str">
        <f>IFERROR(IF(F$3="","",IF(TEXT(F$3,"ddd")="CN","CN",VLOOKUP($A26&amp;F$3,Data_Cong!$R:$AI,10,0))),"")</f>
        <v/>
      </c>
      <c r="G26" s="49" t="str">
        <f>IFERROR(IF(G$3="","",IF(TEXT(G$3,"ddd")="CN","CN",VLOOKUP($A26&amp;G$3,Data_Cong!$R:$AI,10,0))),"")</f>
        <v/>
      </c>
      <c r="H26" s="49" t="str">
        <f>IFERROR(IF(H$3="","",IF(TEXT(H$3,"ddd")="CN","CN",VLOOKUP($A26&amp;H$3,Data_Cong!$R:$AI,10,0))),"")</f>
        <v/>
      </c>
      <c r="I26" s="49" t="str">
        <f>IFERROR(IF(I$3="","",IF(TEXT(I$3,"ddd")="CN","CN",VLOOKUP($A26&amp;I$3,Data_Cong!$R:$AI,10,0))),"")</f>
        <v/>
      </c>
      <c r="J26" s="49" t="str">
        <f>IFERROR(IF(J$3="","",IF(TEXT(J$3,"ddd")="CN","CN",VLOOKUP($A26&amp;J$3,Data_Cong!$R:$AI,10,0))),"")</f>
        <v>CN</v>
      </c>
      <c r="K26" s="49" t="str">
        <f>IFERROR(IF(K$3="","",IF(TEXT(K$3,"ddd")="CN","CN",VLOOKUP($A26&amp;K$3,Data_Cong!$R:$AI,10,0))),"")</f>
        <v/>
      </c>
      <c r="L26" s="49" t="str">
        <f>IFERROR(IF(L$3="","",IF(TEXT(L$3,"ddd")="CN","CN",VLOOKUP($A26&amp;L$3,Data_Cong!$R:$AI,10,0))),"")</f>
        <v/>
      </c>
      <c r="M26" s="49" t="str">
        <f>IFERROR(IF(M$3="","",IF(TEXT(M$3,"ddd")="CN","CN",VLOOKUP($A26&amp;M$3,Data_Cong!$R:$AI,10,0))),"")</f>
        <v/>
      </c>
      <c r="N26" s="49" t="str">
        <f>IFERROR(IF(N$3="","",IF(TEXT(N$3,"ddd")="CN","CN",VLOOKUP($A26&amp;N$3,Data_Cong!$R:$AI,10,0))),"")</f>
        <v/>
      </c>
      <c r="O26" s="49" t="str">
        <f>IFERROR(IF(O$3="","",IF(TEXT(O$3,"ddd")="CN","CN",VLOOKUP($A26&amp;O$3,Data_Cong!$R:$AI,10,0))),"")</f>
        <v/>
      </c>
      <c r="P26" s="49" t="str">
        <f>IFERROR(IF(P$3="","",IF(TEXT(P$3,"ddd")="CN","CN",VLOOKUP($A26&amp;P$3,Data_Cong!$R:$AI,10,0))),"")</f>
        <v/>
      </c>
      <c r="Q26" s="49" t="str">
        <f>IFERROR(IF(Q$3="","",IF(TEXT(Q$3,"ddd")="CN","CN",VLOOKUP($A26&amp;Q$3,Data_Cong!$R:$AI,10,0))),"")</f>
        <v>CN</v>
      </c>
      <c r="R26" s="49" t="str">
        <f>IFERROR(IF(R$3="","",IF(TEXT(R$3,"ddd")="CN","CN",VLOOKUP($A26&amp;R$3,Data_Cong!$R:$AI,10,0))),"")</f>
        <v/>
      </c>
      <c r="S26" s="49" t="str">
        <f>IFERROR(IF(S$3="","",IF(TEXT(S$3,"ddd")="CN","CN",VLOOKUP($A26&amp;S$3,Data_Cong!$R:$AI,10,0))),"")</f>
        <v/>
      </c>
      <c r="T26" s="49" t="str">
        <f>IFERROR(IF(T$3="","",IF(TEXT(T$3,"ddd")="CN","CN",VLOOKUP($A26&amp;T$3,Data_Cong!$R:$AI,10,0))),"")</f>
        <v/>
      </c>
      <c r="U26" s="49" t="str">
        <f>IFERROR(IF(U$3="","",IF(TEXT(U$3,"ddd")="CN","CN",VLOOKUP($A26&amp;U$3,Data_Cong!$R:$AI,10,0))),"")</f>
        <v/>
      </c>
      <c r="V26" s="49" t="str">
        <f>IFERROR(IF(V$3="","",IF(TEXT(V$3,"ddd")="CN","CN",VLOOKUP($A26&amp;V$3,Data_Cong!$R:$AI,10,0))),"")</f>
        <v/>
      </c>
      <c r="W26" s="49" t="str">
        <f>IFERROR(IF(W$3="","",IF(TEXT(W$3,"ddd")="CN","CN",VLOOKUP($A26&amp;W$3,Data_Cong!$R:$AI,10,0))),"")</f>
        <v/>
      </c>
      <c r="X26" s="49" t="str">
        <f>IFERROR(IF(X$3="","",IF(TEXT(X$3,"ddd")="CN","CN",VLOOKUP($A26&amp;X$3,Data_Cong!$R:$AI,10,0))),"")</f>
        <v>CN</v>
      </c>
      <c r="Y26" s="49" t="str">
        <f>IFERROR(IF(Y$3="","",IF(TEXT(Y$3,"ddd")="CN","CN",VLOOKUP($A26&amp;Y$3,Data_Cong!$R:$AI,10,0))),"")</f>
        <v/>
      </c>
      <c r="Z26" s="49" t="str">
        <f>IFERROR(IF(Z$3="","",IF(TEXT(Z$3,"ddd")="CN","CN",VLOOKUP($A26&amp;Z$3,Data_Cong!$R:$AI,10,0))),"")</f>
        <v/>
      </c>
      <c r="AA26" s="49" t="str">
        <f>IFERROR(IF(AA$3="","",IF(TEXT(AA$3,"ddd")="CN","CN",VLOOKUP($A26&amp;AA$3,Data_Cong!$R:$AI,10,0))),"")</f>
        <v/>
      </c>
      <c r="AB26" s="49" t="str">
        <f>IFERROR(IF(AB$3="","",IF(TEXT(AB$3,"ddd")="CN","CN",VLOOKUP($A26&amp;AB$3,Data_Cong!$R:$AI,10,0))),"")</f>
        <v/>
      </c>
      <c r="AC26" s="49" t="str">
        <f>IFERROR(IF(AC$3="","",IF(TEXT(AC$3,"ddd")="CN","CN",VLOOKUP($A26&amp;AC$3,Data_Cong!$R:$AI,10,0))),"")</f>
        <v/>
      </c>
      <c r="AD26" s="49" t="str">
        <f>IFERROR(IF(AD$3="","",IF(TEXT(AD$3,"ddd")="CN","CN",VLOOKUP($A26&amp;AD$3,Data_Cong!$R:$AI,10,0))),"")</f>
        <v/>
      </c>
      <c r="AE26" s="49" t="str">
        <f>IFERROR(IF(AE$3="","",IF(TEXT(AE$3,"ddd")="CN","CN",VLOOKUP($A26&amp;AE$3,Data_Cong!$R:$AI,10,0))),"")</f>
        <v>CN</v>
      </c>
      <c r="AF26" s="49" t="str">
        <f>IFERROR(IF(AF$3="","",IF(TEXT(AF$3,"ddd")="CN","CN",VLOOKUP($A26&amp;AF$3,Data_Cong!$R:$AI,10,0))),"")</f>
        <v/>
      </c>
      <c r="AG26" s="49" t="str">
        <f>IFERROR(IF(AG$3="","",IF(TEXT(AG$3,"ddd")="CN","CN",VLOOKUP($A26&amp;AG$3,Data_Cong!$R:$AI,10,0))),"")</f>
        <v/>
      </c>
      <c r="AH26" s="49" t="str">
        <f>IFERROR(IF(AH$3="","",IF(TEXT(AH$3,"ddd")="CN","CN",VLOOKUP($A26&amp;AH$3,Data_Cong!$R:$AI,10,0))),"")</f>
        <v/>
      </c>
      <c r="AI26" s="50" cm="1">
        <f t="array" ref="AI26">SUMPRODUCT((D26:AH26="x")*1+(D26:AH26="P")*1+(D26:AH26="1/2P")*1+(D26:AH26="1/2")*0.5+(D26:AH26="2x")*2+(D26:AH26="L")*1)</f>
        <v>0</v>
      </c>
      <c r="AJ26" s="51">
        <f>SUMIF(Data_Cong!A:A,$A26,Data_Cong!AE:AE)</f>
        <v>0</v>
      </c>
      <c r="AK26" s="52">
        <f>COUNTIFS(Data_Cong!AB:AB,"&gt;5",Data_Cong!A:A,A26)</f>
        <v>0</v>
      </c>
      <c r="AL26" s="53" t="str">
        <f>IF(MONTH(VLOOKUP(A26,Data_NV!$A:$J,10,0))=BANG_CHAM_CONG!$R$2,"T"&amp;BANG_CHAM_CONG!$R$2,"")</f>
        <v/>
      </c>
      <c r="AM26" s="96">
        <v>10.5</v>
      </c>
      <c r="AN26" s="93" cm="1">
        <f t="array" ref="AN26">IF((AM26+1)&gt;12,12,(AM26+1))-SUMPRODUCT((D26:AH26="P")*1+(D26:AH26="1/2P")*0.5)</f>
        <v>11.5</v>
      </c>
      <c r="AO26" s="50"/>
      <c r="AP26" s="54">
        <f>SUMIFS(Data_Cong!AF:AF,Data_Cong!A:A,$A26)+SUMIFS(Data_Cong!AG:AG,Data_Cong!A:A,$A26)</f>
        <v>0</v>
      </c>
    </row>
    <row r="27" spans="1:42" ht="15.75" x14ac:dyDescent="0.25">
      <c r="A27" s="28"/>
      <c r="B27" s="41"/>
      <c r="C27" s="41" t="s">
        <v>186</v>
      </c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9"/>
      <c r="AM27" s="95"/>
      <c r="AN27" s="95"/>
      <c r="AO27" s="59"/>
      <c r="AP27" s="59"/>
    </row>
    <row r="28" spans="1:42" ht="15.75" x14ac:dyDescent="0.25">
      <c r="A28" s="28" t="s">
        <v>149</v>
      </c>
      <c r="B28" s="47">
        <v>1</v>
      </c>
      <c r="C28" s="60" t="s">
        <v>187</v>
      </c>
      <c r="D28" s="49" t="str">
        <f>IFERROR(IF(D$3="","",IF(TEXT(D$3,"ddd")="CN","CN",VLOOKUP($A28&amp;D$3,Data_Cong!$R:$AI,10,0))),"")</f>
        <v/>
      </c>
      <c r="E28" s="49" t="str">
        <f>IFERROR(IF(E$3="","",IF(TEXT(E$3,"ddd")="CN","CN",VLOOKUP($A28&amp;E$3,Data_Cong!$R:$AI,10,0))),"")</f>
        <v/>
      </c>
      <c r="F28" s="49" t="str">
        <f>IFERROR(IF(F$3="","",IF(TEXT(F$3,"ddd")="CN","CN",VLOOKUP($A28&amp;F$3,Data_Cong!$R:$AI,10,0))),"")</f>
        <v/>
      </c>
      <c r="G28" s="49" t="str">
        <f>IFERROR(IF(G$3="","",IF(TEXT(G$3,"ddd")="CN","CN",VLOOKUP($A28&amp;G$3,Data_Cong!$R:$AI,10,0))),"")</f>
        <v/>
      </c>
      <c r="H28" s="49" t="str">
        <f>IFERROR(IF(H$3="","",IF(TEXT(H$3,"ddd")="CN","CN",VLOOKUP($A28&amp;H$3,Data_Cong!$R:$AI,10,0))),"")</f>
        <v/>
      </c>
      <c r="I28" s="49" t="str">
        <f>IFERROR(IF(I$3="","",IF(TEXT(I$3,"ddd")="CN","CN",VLOOKUP($A28&amp;I$3,Data_Cong!$R:$AI,10,0))),"")</f>
        <v/>
      </c>
      <c r="J28" s="49" t="str">
        <f>IFERROR(IF(J$3="","",IF(TEXT(J$3,"ddd")="CN","CN",VLOOKUP($A28&amp;J$3,Data_Cong!$R:$AI,10,0))),"")</f>
        <v>CN</v>
      </c>
      <c r="K28" s="49" t="str">
        <f>IFERROR(IF(K$3="","",IF(TEXT(K$3,"ddd")="CN","CN",VLOOKUP($A28&amp;K$3,Data_Cong!$R:$AI,10,0))),"")</f>
        <v/>
      </c>
      <c r="L28" s="49" t="str">
        <f>IFERROR(IF(L$3="","",IF(TEXT(L$3,"ddd")="CN","CN",VLOOKUP($A28&amp;L$3,Data_Cong!$R:$AI,10,0))),"")</f>
        <v/>
      </c>
      <c r="M28" s="49" t="str">
        <f>IFERROR(IF(M$3="","",IF(TEXT(M$3,"ddd")="CN","CN",VLOOKUP($A28&amp;M$3,Data_Cong!$R:$AI,10,0))),"")</f>
        <v/>
      </c>
      <c r="N28" s="49" t="str">
        <f>IFERROR(IF(N$3="","",IF(TEXT(N$3,"ddd")="CN","CN",VLOOKUP($A28&amp;N$3,Data_Cong!$R:$AI,10,0))),"")</f>
        <v/>
      </c>
      <c r="O28" s="49" t="str">
        <f>IFERROR(IF(O$3="","",IF(TEXT(O$3,"ddd")="CN","CN",VLOOKUP($A28&amp;O$3,Data_Cong!$R:$AI,10,0))),"")</f>
        <v/>
      </c>
      <c r="P28" s="49" t="str">
        <f>IFERROR(IF(P$3="","",IF(TEXT(P$3,"ddd")="CN","CN",VLOOKUP($A28&amp;P$3,Data_Cong!$R:$AI,10,0))),"")</f>
        <v/>
      </c>
      <c r="Q28" s="49" t="str">
        <f>IFERROR(IF(Q$3="","",IF(TEXT(Q$3,"ddd")="CN","CN",VLOOKUP($A28&amp;Q$3,Data_Cong!$R:$AI,10,0))),"")</f>
        <v>CN</v>
      </c>
      <c r="R28" s="49" t="str">
        <f>IFERROR(IF(R$3="","",IF(TEXT(R$3,"ddd")="CN","CN",VLOOKUP($A28&amp;R$3,Data_Cong!$R:$AI,10,0))),"")</f>
        <v/>
      </c>
      <c r="S28" s="49" t="str">
        <f>IFERROR(IF(S$3="","",IF(TEXT(S$3,"ddd")="CN","CN",VLOOKUP($A28&amp;S$3,Data_Cong!$R:$AI,10,0))),"")</f>
        <v/>
      </c>
      <c r="T28" s="49" t="str">
        <f>IFERROR(IF(T$3="","",IF(TEXT(T$3,"ddd")="CN","CN",VLOOKUP($A28&amp;T$3,Data_Cong!$R:$AI,10,0))),"")</f>
        <v/>
      </c>
      <c r="U28" s="49" t="str">
        <f>IFERROR(IF(U$3="","",IF(TEXT(U$3,"ddd")="CN","CN",VLOOKUP($A28&amp;U$3,Data_Cong!$R:$AI,10,0))),"")</f>
        <v/>
      </c>
      <c r="V28" s="49" t="str">
        <f>IFERROR(IF(V$3="","",IF(TEXT(V$3,"ddd")="CN","CN",VLOOKUP($A28&amp;V$3,Data_Cong!$R:$AI,10,0))),"")</f>
        <v/>
      </c>
      <c r="W28" s="49" t="str">
        <f>IFERROR(IF(W$3="","",IF(TEXT(W$3,"ddd")="CN","CN",VLOOKUP($A28&amp;W$3,Data_Cong!$R:$AI,10,0))),"")</f>
        <v/>
      </c>
      <c r="X28" s="49" t="str">
        <f>IFERROR(IF(X$3="","",IF(TEXT(X$3,"ddd")="CN","CN",VLOOKUP($A28&amp;X$3,Data_Cong!$R:$AI,10,0))),"")</f>
        <v>CN</v>
      </c>
      <c r="Y28" s="49" t="str">
        <f>IFERROR(IF(Y$3="","",IF(TEXT(Y$3,"ddd")="CN","CN",VLOOKUP($A28&amp;Y$3,Data_Cong!$R:$AI,10,0))),"")</f>
        <v/>
      </c>
      <c r="Z28" s="49" t="str">
        <f>IFERROR(IF(Z$3="","",IF(TEXT(Z$3,"ddd")="CN","CN",VLOOKUP($A28&amp;Z$3,Data_Cong!$R:$AI,10,0))),"")</f>
        <v/>
      </c>
      <c r="AA28" s="49" t="str">
        <f>IFERROR(IF(AA$3="","",IF(TEXT(AA$3,"ddd")="CN","CN",VLOOKUP($A28&amp;AA$3,Data_Cong!$R:$AI,10,0))),"")</f>
        <v/>
      </c>
      <c r="AB28" s="49" t="str">
        <f>IFERROR(IF(AB$3="","",IF(TEXT(AB$3,"ddd")="CN","CN",VLOOKUP($A28&amp;AB$3,Data_Cong!$R:$AI,10,0))),"")</f>
        <v/>
      </c>
      <c r="AC28" s="49" t="str">
        <f>IFERROR(IF(AC$3="","",IF(TEXT(AC$3,"ddd")="CN","CN",VLOOKUP($A28&amp;AC$3,Data_Cong!$R:$AI,10,0))),"")</f>
        <v/>
      </c>
      <c r="AD28" s="49" t="str">
        <f>IFERROR(IF(AD$3="","",IF(TEXT(AD$3,"ddd")="CN","CN",VLOOKUP($A28&amp;AD$3,Data_Cong!$R:$AI,10,0))),"")</f>
        <v/>
      </c>
      <c r="AE28" s="49" t="str">
        <f>IFERROR(IF(AE$3="","",IF(TEXT(AE$3,"ddd")="CN","CN",VLOOKUP($A28&amp;AE$3,Data_Cong!$R:$AI,10,0))),"")</f>
        <v>CN</v>
      </c>
      <c r="AF28" s="49" t="str">
        <f>IFERROR(IF(AF$3="","",IF(TEXT(AF$3,"ddd")="CN","CN",VLOOKUP($A28&amp;AF$3,Data_Cong!$R:$AI,10,0))),"")</f>
        <v/>
      </c>
      <c r="AG28" s="49" t="str">
        <f>IFERROR(IF(AG$3="","",IF(TEXT(AG$3,"ddd")="CN","CN",VLOOKUP($A28&amp;AG$3,Data_Cong!$R:$AI,10,0))),"")</f>
        <v/>
      </c>
      <c r="AH28" s="49" t="str">
        <f>IFERROR(IF(AH$3="","",IF(TEXT(AH$3,"ddd")="CN","CN",VLOOKUP($A28&amp;AH$3,Data_Cong!$R:$AI,10,0))),"")</f>
        <v/>
      </c>
      <c r="AI28" s="50" cm="1">
        <f t="array" ref="AI28">SUMPRODUCT((D28:AH28="x")*1+(D28:AH28="P")*1+(D28:AH28="1/2P")*1+(D28:AH28="1/2")*0.5+(D28:AH28="2x")*2+(D28:AH28="L")*1)</f>
        <v>0</v>
      </c>
      <c r="AJ28" s="51">
        <f>SUMIF(Data_Cong!A:A,$A28,Data_Cong!AE:AE)</f>
        <v>0</v>
      </c>
      <c r="AK28" s="52">
        <f>COUNTIFS(Data_Cong!AB:AB,"&gt;5",Data_Cong!A:A,A28)</f>
        <v>0</v>
      </c>
      <c r="AL28" s="53" t="str">
        <f>IF(MONTH(VLOOKUP(A28,Data_NV!$A:$J,10,0))=BANG_CHAM_CONG!$R$2,"T"&amp;BANG_CHAM_CONG!$R$2,"")</f>
        <v/>
      </c>
      <c r="AM28" s="96"/>
      <c r="AN28" s="93"/>
      <c r="AO28" s="50"/>
      <c r="AP28" s="54">
        <f>SUMIFS(Data_Cong!AF:AF,Data_Cong!A:A,$A28)+SUMIFS(Data_Cong!AG:AG,Data_Cong!A:A,$A28)</f>
        <v>0</v>
      </c>
    </row>
    <row r="29" spans="1:42" ht="15.75" x14ac:dyDescent="0.25">
      <c r="A29" s="28" t="s">
        <v>148</v>
      </c>
      <c r="B29" s="47">
        <v>2</v>
      </c>
      <c r="C29" s="60" t="s">
        <v>188</v>
      </c>
      <c r="D29" s="49" t="str">
        <f>IFERROR(IF(D$3="","",IF(TEXT(D$3,"ddd")="CN","CN",VLOOKUP($A29&amp;D$3,Data_Cong!$R:$AI,10,0))),"")</f>
        <v/>
      </c>
      <c r="E29" s="49" t="str">
        <f>IFERROR(IF(E$3="","",IF(TEXT(E$3,"ddd")="CN","CN",VLOOKUP($A29&amp;E$3,Data_Cong!$R:$AI,10,0))),"")</f>
        <v/>
      </c>
      <c r="F29" s="49" t="str">
        <f>IFERROR(IF(F$3="","",IF(TEXT(F$3,"ddd")="CN","CN",VLOOKUP($A29&amp;F$3,Data_Cong!$R:$AI,10,0))),"")</f>
        <v/>
      </c>
      <c r="G29" s="49" t="str">
        <f>IFERROR(IF(G$3="","",IF(TEXT(G$3,"ddd")="CN","CN",VLOOKUP($A29&amp;G$3,Data_Cong!$R:$AI,10,0))),"")</f>
        <v/>
      </c>
      <c r="H29" s="49" t="str">
        <f>IFERROR(IF(H$3="","",IF(TEXT(H$3,"ddd")="CN","CN",VLOOKUP($A29&amp;H$3,Data_Cong!$R:$AI,10,0))),"")</f>
        <v/>
      </c>
      <c r="I29" s="49" t="str">
        <f>IFERROR(IF(I$3="","",IF(TEXT(I$3,"ddd")="CN","CN",VLOOKUP($A29&amp;I$3,Data_Cong!$R:$AI,10,0))),"")</f>
        <v/>
      </c>
      <c r="J29" s="49" t="str">
        <f>IFERROR(IF(J$3="","",IF(TEXT(J$3,"ddd")="CN","CN",VLOOKUP($A29&amp;J$3,Data_Cong!$R:$AI,10,0))),"")</f>
        <v>CN</v>
      </c>
      <c r="K29" s="49" t="str">
        <f>IFERROR(IF(K$3="","",IF(TEXT(K$3,"ddd")="CN","CN",VLOOKUP($A29&amp;K$3,Data_Cong!$R:$AI,10,0))),"")</f>
        <v/>
      </c>
      <c r="L29" s="49" t="str">
        <f>IFERROR(IF(L$3="","",IF(TEXT(L$3,"ddd")="CN","CN",VLOOKUP($A29&amp;L$3,Data_Cong!$R:$AI,10,0))),"")</f>
        <v/>
      </c>
      <c r="M29" s="49" t="str">
        <f>IFERROR(IF(M$3="","",IF(TEXT(M$3,"ddd")="CN","CN",VLOOKUP($A29&amp;M$3,Data_Cong!$R:$AI,10,0))),"")</f>
        <v/>
      </c>
      <c r="N29" s="49" t="str">
        <f>IFERROR(IF(N$3="","",IF(TEXT(N$3,"ddd")="CN","CN",VLOOKUP($A29&amp;N$3,Data_Cong!$R:$AI,10,0))),"")</f>
        <v/>
      </c>
      <c r="O29" s="49" t="str">
        <f>IFERROR(IF(O$3="","",IF(TEXT(O$3,"ddd")="CN","CN",VLOOKUP($A29&amp;O$3,Data_Cong!$R:$AI,10,0))),"")</f>
        <v/>
      </c>
      <c r="P29" s="49" t="str">
        <f>IFERROR(IF(P$3="","",IF(TEXT(P$3,"ddd")="CN","CN",VLOOKUP($A29&amp;P$3,Data_Cong!$R:$AI,10,0))),"")</f>
        <v/>
      </c>
      <c r="Q29" s="49" t="str">
        <f>IFERROR(IF(Q$3="","",IF(TEXT(Q$3,"ddd")="CN","CN",VLOOKUP($A29&amp;Q$3,Data_Cong!$R:$AI,10,0))),"")</f>
        <v>CN</v>
      </c>
      <c r="R29" s="49" t="str">
        <f>IFERROR(IF(R$3="","",IF(TEXT(R$3,"ddd")="CN","CN",VLOOKUP($A29&amp;R$3,Data_Cong!$R:$AI,10,0))),"")</f>
        <v/>
      </c>
      <c r="S29" s="49" t="str">
        <f>IFERROR(IF(S$3="","",IF(TEXT(S$3,"ddd")="CN","CN",VLOOKUP($A29&amp;S$3,Data_Cong!$R:$AI,10,0))),"")</f>
        <v/>
      </c>
      <c r="T29" s="49" t="str">
        <f>IFERROR(IF(T$3="","",IF(TEXT(T$3,"ddd")="CN","CN",VLOOKUP($A29&amp;T$3,Data_Cong!$R:$AI,10,0))),"")</f>
        <v/>
      </c>
      <c r="U29" s="49" t="str">
        <f>IFERROR(IF(U$3="","",IF(TEXT(U$3,"ddd")="CN","CN",VLOOKUP($A29&amp;U$3,Data_Cong!$R:$AI,10,0))),"")</f>
        <v/>
      </c>
      <c r="V29" s="49" t="str">
        <f>IFERROR(IF(V$3="","",IF(TEXT(V$3,"ddd")="CN","CN",VLOOKUP($A29&amp;V$3,Data_Cong!$R:$AI,10,0))),"")</f>
        <v/>
      </c>
      <c r="W29" s="49" t="str">
        <f>IFERROR(IF(W$3="","",IF(TEXT(W$3,"ddd")="CN","CN",VLOOKUP($A29&amp;W$3,Data_Cong!$R:$AI,10,0))),"")</f>
        <v/>
      </c>
      <c r="X29" s="49" t="str">
        <f>IFERROR(IF(X$3="","",IF(TEXT(X$3,"ddd")="CN","CN",VLOOKUP($A29&amp;X$3,Data_Cong!$R:$AI,10,0))),"")</f>
        <v>CN</v>
      </c>
      <c r="Y29" s="49" t="str">
        <f>IFERROR(IF(Y$3="","",IF(TEXT(Y$3,"ddd")="CN","CN",VLOOKUP($A29&amp;Y$3,Data_Cong!$R:$AI,10,0))),"")</f>
        <v/>
      </c>
      <c r="Z29" s="49" t="str">
        <f>IFERROR(IF(Z$3="","",IF(TEXT(Z$3,"ddd")="CN","CN",VLOOKUP($A29&amp;Z$3,Data_Cong!$R:$AI,10,0))),"")</f>
        <v/>
      </c>
      <c r="AA29" s="49" t="str">
        <f>IFERROR(IF(AA$3="","",IF(TEXT(AA$3,"ddd")="CN","CN",VLOOKUP($A29&amp;AA$3,Data_Cong!$R:$AI,10,0))),"")</f>
        <v/>
      </c>
      <c r="AB29" s="49" t="str">
        <f>IFERROR(IF(AB$3="","",IF(TEXT(AB$3,"ddd")="CN","CN",VLOOKUP($A29&amp;AB$3,Data_Cong!$R:$AI,10,0))),"")</f>
        <v/>
      </c>
      <c r="AC29" s="49" t="str">
        <f>IFERROR(IF(AC$3="","",IF(TEXT(AC$3,"ddd")="CN","CN",VLOOKUP($A29&amp;AC$3,Data_Cong!$R:$AI,10,0))),"")</f>
        <v/>
      </c>
      <c r="AD29" s="49" t="str">
        <f>IFERROR(IF(AD$3="","",IF(TEXT(AD$3,"ddd")="CN","CN",VLOOKUP($A29&amp;AD$3,Data_Cong!$R:$AI,10,0))),"")</f>
        <v/>
      </c>
      <c r="AE29" s="49" t="str">
        <f>IFERROR(IF(AE$3="","",IF(TEXT(AE$3,"ddd")="CN","CN",VLOOKUP($A29&amp;AE$3,Data_Cong!$R:$AI,10,0))),"")</f>
        <v>CN</v>
      </c>
      <c r="AF29" s="49" t="str">
        <f>IFERROR(IF(AF$3="","",IF(TEXT(AF$3,"ddd")="CN","CN",VLOOKUP($A29&amp;AF$3,Data_Cong!$R:$AI,10,0))),"")</f>
        <v/>
      </c>
      <c r="AG29" s="49" t="str">
        <f>IFERROR(IF(AG$3="","",IF(TEXT(AG$3,"ddd")="CN","CN",VLOOKUP($A29&amp;AG$3,Data_Cong!$R:$AI,10,0))),"")</f>
        <v/>
      </c>
      <c r="AH29" s="49" t="str">
        <f>IFERROR(IF(AH$3="","",IF(TEXT(AH$3,"ddd")="CN","CN",VLOOKUP($A29&amp;AH$3,Data_Cong!$R:$AI,10,0))),"")</f>
        <v/>
      </c>
      <c r="AI29" s="50" cm="1">
        <f t="array" ref="AI29">SUMPRODUCT((D29:AH29="x")*1+(D29:AH29="P")*1+(D29:AH29="1/2P")*1+(D29:AH29="1/2")*0.5+(D29:AH29="2x")*2+(D29:AH29="L")*1)</f>
        <v>0</v>
      </c>
      <c r="AJ29" s="51">
        <f>SUMIF(Data_Cong!A:A,$A29,Data_Cong!AE:AE)</f>
        <v>0</v>
      </c>
      <c r="AK29" s="52">
        <f>COUNTIFS(Data_Cong!AB:AB,"&gt;5",Data_Cong!A:A,A29)</f>
        <v>0</v>
      </c>
      <c r="AL29" s="53" t="str">
        <f>IF(MONTH(VLOOKUP(A29,Data_NV!$A:$J,10,0))=BANG_CHAM_CONG!$R$2,"T"&amp;BANG_CHAM_CONG!$R$2,"")</f>
        <v/>
      </c>
      <c r="AM29" s="96"/>
      <c r="AN29" s="93"/>
      <c r="AO29" s="50"/>
      <c r="AP29" s="54">
        <f>SUMIFS(Data_Cong!AF:AF,Data_Cong!A:A,$A29)+SUMIFS(Data_Cong!AG:AG,Data_Cong!A:A,$A29)</f>
        <v>0</v>
      </c>
    </row>
    <row r="30" spans="1:42" ht="15.75" x14ac:dyDescent="0.25">
      <c r="A30" s="28" t="s">
        <v>150</v>
      </c>
      <c r="B30" s="47">
        <v>3</v>
      </c>
      <c r="C30" s="60" t="s">
        <v>189</v>
      </c>
      <c r="D30" s="49" t="str">
        <f>IFERROR(IF(D$3="","",IF(TEXT(D$3,"ddd")="CN","CN",VLOOKUP($A30&amp;D$3,Data_Cong!$R:$AI,10,0))),"")</f>
        <v/>
      </c>
      <c r="E30" s="49" t="str">
        <f>IFERROR(IF(E$3="","",IF(TEXT(E$3,"ddd")="CN","CN",VLOOKUP($A30&amp;E$3,Data_Cong!$R:$AI,10,0))),"")</f>
        <v/>
      </c>
      <c r="F30" s="49" t="str">
        <f>IFERROR(IF(F$3="","",IF(TEXT(F$3,"ddd")="CN","CN",VLOOKUP($A30&amp;F$3,Data_Cong!$R:$AI,10,0))),"")</f>
        <v/>
      </c>
      <c r="G30" s="49" t="str">
        <f>IFERROR(IF(G$3="","",IF(TEXT(G$3,"ddd")="CN","CN",VLOOKUP($A30&amp;G$3,Data_Cong!$R:$AI,10,0))),"")</f>
        <v/>
      </c>
      <c r="H30" s="49" t="str">
        <f>IFERROR(IF(H$3="","",IF(TEXT(H$3,"ddd")="CN","CN",VLOOKUP($A30&amp;H$3,Data_Cong!$R:$AI,10,0))),"")</f>
        <v/>
      </c>
      <c r="I30" s="49" t="str">
        <f>IFERROR(IF(I$3="","",IF(TEXT(I$3,"ddd")="CN","CN",VLOOKUP($A30&amp;I$3,Data_Cong!$R:$AI,10,0))),"")</f>
        <v/>
      </c>
      <c r="J30" s="49" t="str">
        <f>IFERROR(IF(J$3="","",IF(TEXT(J$3,"ddd")="CN","CN",VLOOKUP($A30&amp;J$3,Data_Cong!$R:$AI,10,0))),"")</f>
        <v>CN</v>
      </c>
      <c r="K30" s="49" t="str">
        <f>IFERROR(IF(K$3="","",IF(TEXT(K$3,"ddd")="CN","CN",VLOOKUP($A30&amp;K$3,Data_Cong!$R:$AI,10,0))),"")</f>
        <v/>
      </c>
      <c r="L30" s="49" t="str">
        <f>IFERROR(IF(L$3="","",IF(TEXT(L$3,"ddd")="CN","CN",VLOOKUP($A30&amp;L$3,Data_Cong!$R:$AI,10,0))),"")</f>
        <v/>
      </c>
      <c r="M30" s="49" t="str">
        <f>IFERROR(IF(M$3="","",IF(TEXT(M$3,"ddd")="CN","CN",VLOOKUP($A30&amp;M$3,Data_Cong!$R:$AI,10,0))),"")</f>
        <v/>
      </c>
      <c r="N30" s="49" t="str">
        <f>IFERROR(IF(N$3="","",IF(TEXT(N$3,"ddd")="CN","CN",VLOOKUP($A30&amp;N$3,Data_Cong!$R:$AI,10,0))),"")</f>
        <v/>
      </c>
      <c r="O30" s="49" t="str">
        <f>IFERROR(IF(O$3="","",IF(TEXT(O$3,"ddd")="CN","CN",VLOOKUP($A30&amp;O$3,Data_Cong!$R:$AI,10,0))),"")</f>
        <v/>
      </c>
      <c r="P30" s="49" t="str">
        <f>IFERROR(IF(P$3="","",IF(TEXT(P$3,"ddd")="CN","CN",VLOOKUP($A30&amp;P$3,Data_Cong!$R:$AI,10,0))),"")</f>
        <v/>
      </c>
      <c r="Q30" s="49" t="str">
        <f>IFERROR(IF(Q$3="","",IF(TEXT(Q$3,"ddd")="CN","CN",VLOOKUP($A30&amp;Q$3,Data_Cong!$R:$AI,10,0))),"")</f>
        <v>CN</v>
      </c>
      <c r="R30" s="49" t="str">
        <f>IFERROR(IF(R$3="","",IF(TEXT(R$3,"ddd")="CN","CN",VLOOKUP($A30&amp;R$3,Data_Cong!$R:$AI,10,0))),"")</f>
        <v/>
      </c>
      <c r="S30" s="49" t="str">
        <f>IFERROR(IF(S$3="","",IF(TEXT(S$3,"ddd")="CN","CN",VLOOKUP($A30&amp;S$3,Data_Cong!$R:$AI,10,0))),"")</f>
        <v/>
      </c>
      <c r="T30" s="49" t="str">
        <f>IFERROR(IF(T$3="","",IF(TEXT(T$3,"ddd")="CN","CN",VLOOKUP($A30&amp;T$3,Data_Cong!$R:$AI,10,0))),"")</f>
        <v/>
      </c>
      <c r="U30" s="49" t="str">
        <f>IFERROR(IF(U$3="","",IF(TEXT(U$3,"ddd")="CN","CN",VLOOKUP($A30&amp;U$3,Data_Cong!$R:$AI,10,0))),"")</f>
        <v/>
      </c>
      <c r="V30" s="49" t="str">
        <f>IFERROR(IF(V$3="","",IF(TEXT(V$3,"ddd")="CN","CN",VLOOKUP($A30&amp;V$3,Data_Cong!$R:$AI,10,0))),"")</f>
        <v/>
      </c>
      <c r="W30" s="49" t="str">
        <f>IFERROR(IF(W$3="","",IF(TEXT(W$3,"ddd")="CN","CN",VLOOKUP($A30&amp;W$3,Data_Cong!$R:$AI,10,0))),"")</f>
        <v/>
      </c>
      <c r="X30" s="49" t="str">
        <f>IFERROR(IF(X$3="","",IF(TEXT(X$3,"ddd")="CN","CN",VLOOKUP($A30&amp;X$3,Data_Cong!$R:$AI,10,0))),"")</f>
        <v>CN</v>
      </c>
      <c r="Y30" s="49" t="str">
        <f>IFERROR(IF(Y$3="","",IF(TEXT(Y$3,"ddd")="CN","CN",VLOOKUP($A30&amp;Y$3,Data_Cong!$R:$AI,10,0))),"")</f>
        <v/>
      </c>
      <c r="Z30" s="49" t="str">
        <f>IFERROR(IF(Z$3="","",IF(TEXT(Z$3,"ddd")="CN","CN",VLOOKUP($A30&amp;Z$3,Data_Cong!$R:$AI,10,0))),"")</f>
        <v/>
      </c>
      <c r="AA30" s="49" t="str">
        <f>IFERROR(IF(AA$3="","",IF(TEXT(AA$3,"ddd")="CN","CN",VLOOKUP($A30&amp;AA$3,Data_Cong!$R:$AI,10,0))),"")</f>
        <v/>
      </c>
      <c r="AB30" s="49" t="str">
        <f>IFERROR(IF(AB$3="","",IF(TEXT(AB$3,"ddd")="CN","CN",VLOOKUP($A30&amp;AB$3,Data_Cong!$R:$AI,10,0))),"")</f>
        <v/>
      </c>
      <c r="AC30" s="49" t="str">
        <f>IFERROR(IF(AC$3="","",IF(TEXT(AC$3,"ddd")="CN","CN",VLOOKUP($A30&amp;AC$3,Data_Cong!$R:$AI,10,0))),"")</f>
        <v/>
      </c>
      <c r="AD30" s="49" t="str">
        <f>IFERROR(IF(AD$3="","",IF(TEXT(AD$3,"ddd")="CN","CN",VLOOKUP($A30&amp;AD$3,Data_Cong!$R:$AI,10,0))),"")</f>
        <v/>
      </c>
      <c r="AE30" s="49" t="str">
        <f>IFERROR(IF(AE$3="","",IF(TEXT(AE$3,"ddd")="CN","CN",VLOOKUP($A30&amp;AE$3,Data_Cong!$R:$AI,10,0))),"")</f>
        <v>CN</v>
      </c>
      <c r="AF30" s="49" t="str">
        <f>IFERROR(IF(AF$3="","",IF(TEXT(AF$3,"ddd")="CN","CN",VLOOKUP($A30&amp;AF$3,Data_Cong!$R:$AI,10,0))),"")</f>
        <v/>
      </c>
      <c r="AG30" s="49" t="str">
        <f>IFERROR(IF(AG$3="","",IF(TEXT(AG$3,"ddd")="CN","CN",VLOOKUP($A30&amp;AG$3,Data_Cong!$R:$AI,10,0))),"")</f>
        <v/>
      </c>
      <c r="AH30" s="49" t="str">
        <f>IFERROR(IF(AH$3="","",IF(TEXT(AH$3,"ddd")="CN","CN",VLOOKUP($A30&amp;AH$3,Data_Cong!$R:$AI,10,0))),"")</f>
        <v/>
      </c>
      <c r="AI30" s="50" cm="1">
        <f t="array" ref="AI30">SUMPRODUCT((D30:AH30="x")*1+(D30:AH30="P")*1+(D30:AH30="1/2P")*1+(D30:AH30="1/2")*0.5+(D30:AH30="2x")*2+(D30:AH30="L")*1)</f>
        <v>0</v>
      </c>
      <c r="AJ30" s="51">
        <f>SUMIF(Data_Cong!A:A,$A30,Data_Cong!AE:AE)</f>
        <v>0</v>
      </c>
      <c r="AK30" s="52">
        <f>COUNTIFS(Data_Cong!AB:AB,"&gt;5",Data_Cong!A:A,A30)</f>
        <v>0</v>
      </c>
      <c r="AL30" s="53" t="str">
        <f>IF(MONTH(VLOOKUP(A30,Data_NV!$A:$J,10,0))=BANG_CHAM_CONG!$R$2,"T"&amp;BANG_CHAM_CONG!$R$2,"")</f>
        <v/>
      </c>
      <c r="AM30" s="96"/>
      <c r="AN30" s="93"/>
      <c r="AO30" s="50"/>
      <c r="AP30" s="54">
        <f>SUMIFS(Data_Cong!AF:AF,Data_Cong!A:A,$A30)+SUMIFS(Data_Cong!AG:AG,Data_Cong!A:A,$A30)</f>
        <v>0</v>
      </c>
    </row>
    <row r="31" spans="1:42" ht="15.75" x14ac:dyDescent="0.25">
      <c r="A31" s="28" t="s">
        <v>160</v>
      </c>
      <c r="B31" s="47">
        <v>4</v>
      </c>
      <c r="C31" s="60" t="s">
        <v>190</v>
      </c>
      <c r="D31" s="49" t="str">
        <f>IFERROR(IF(D$3="","",IF(TEXT(D$3,"ddd")="CN","CN",VLOOKUP($A31&amp;D$3,Data_Cong!$R:$AI,10,0))),"")</f>
        <v/>
      </c>
      <c r="E31" s="49" t="str">
        <f>IFERROR(IF(E$3="","",IF(TEXT(E$3,"ddd")="CN","CN",VLOOKUP($A31&amp;E$3,Data_Cong!$R:$AI,10,0))),"")</f>
        <v/>
      </c>
      <c r="F31" s="49" t="str">
        <f>IFERROR(IF(F$3="","",IF(TEXT(F$3,"ddd")="CN","CN",VLOOKUP($A31&amp;F$3,Data_Cong!$R:$AI,10,0))),"")</f>
        <v/>
      </c>
      <c r="G31" s="49" t="str">
        <f>IFERROR(IF(G$3="","",IF(TEXT(G$3,"ddd")="CN","CN",VLOOKUP($A31&amp;G$3,Data_Cong!$R:$AI,10,0))),"")</f>
        <v/>
      </c>
      <c r="H31" s="49" t="str">
        <f>IFERROR(IF(H$3="","",IF(TEXT(H$3,"ddd")="CN","CN",VLOOKUP($A31&amp;H$3,Data_Cong!$R:$AI,10,0))),"")</f>
        <v/>
      </c>
      <c r="I31" s="49" t="str">
        <f>IFERROR(IF(I$3="","",IF(TEXT(I$3,"ddd")="CN","CN",VLOOKUP($A31&amp;I$3,Data_Cong!$R:$AI,10,0))),"")</f>
        <v/>
      </c>
      <c r="J31" s="49" t="str">
        <f>IFERROR(IF(J$3="","",IF(TEXT(J$3,"ddd")="CN","CN",VLOOKUP($A31&amp;J$3,Data_Cong!$R:$AI,10,0))),"")</f>
        <v>CN</v>
      </c>
      <c r="K31" s="49" t="str">
        <f>IFERROR(IF(K$3="","",IF(TEXT(K$3,"ddd")="CN","CN",VLOOKUP($A31&amp;K$3,Data_Cong!$R:$AI,10,0))),"")</f>
        <v/>
      </c>
      <c r="L31" s="49" t="str">
        <f>IFERROR(IF(L$3="","",IF(TEXT(L$3,"ddd")="CN","CN",VLOOKUP($A31&amp;L$3,Data_Cong!$R:$AI,10,0))),"")</f>
        <v/>
      </c>
      <c r="M31" s="49" t="str">
        <f>IFERROR(IF(M$3="","",IF(TEXT(M$3,"ddd")="CN","CN",VLOOKUP($A31&amp;M$3,Data_Cong!$R:$AI,10,0))),"")</f>
        <v/>
      </c>
      <c r="N31" s="49" t="str">
        <f>IFERROR(IF(N$3="","",IF(TEXT(N$3,"ddd")="CN","CN",VLOOKUP($A31&amp;N$3,Data_Cong!$R:$AI,10,0))),"")</f>
        <v/>
      </c>
      <c r="O31" s="49" t="str">
        <f>IFERROR(IF(O$3="","",IF(TEXT(O$3,"ddd")="CN","CN",VLOOKUP($A31&amp;O$3,Data_Cong!$R:$AI,10,0))),"")</f>
        <v/>
      </c>
      <c r="P31" s="49" t="str">
        <f>IFERROR(IF(P$3="","",IF(TEXT(P$3,"ddd")="CN","CN",VLOOKUP($A31&amp;P$3,Data_Cong!$R:$AI,10,0))),"")</f>
        <v/>
      </c>
      <c r="Q31" s="49" t="str">
        <f>IFERROR(IF(Q$3="","",IF(TEXT(Q$3,"ddd")="CN","CN",VLOOKUP($A31&amp;Q$3,Data_Cong!$R:$AI,10,0))),"")</f>
        <v>CN</v>
      </c>
      <c r="R31" s="49" t="str">
        <f>IFERROR(IF(R$3="","",IF(TEXT(R$3,"ddd")="CN","CN",VLOOKUP($A31&amp;R$3,Data_Cong!$R:$AI,10,0))),"")</f>
        <v/>
      </c>
      <c r="S31" s="49" t="str">
        <f>IFERROR(IF(S$3="","",IF(TEXT(S$3,"ddd")="CN","CN",VLOOKUP($A31&amp;S$3,Data_Cong!$R:$AI,10,0))),"")</f>
        <v/>
      </c>
      <c r="T31" s="49" t="str">
        <f>IFERROR(IF(T$3="","",IF(TEXT(T$3,"ddd")="CN","CN",VLOOKUP($A31&amp;T$3,Data_Cong!$R:$AI,10,0))),"")</f>
        <v/>
      </c>
      <c r="U31" s="49" t="str">
        <f>IFERROR(IF(U$3="","",IF(TEXT(U$3,"ddd")="CN","CN",VLOOKUP($A31&amp;U$3,Data_Cong!$R:$AI,10,0))),"")</f>
        <v/>
      </c>
      <c r="V31" s="49" t="str">
        <f>IFERROR(IF(V$3="","",IF(TEXT(V$3,"ddd")="CN","CN",VLOOKUP($A31&amp;V$3,Data_Cong!$R:$AI,10,0))),"")</f>
        <v/>
      </c>
      <c r="W31" s="49" t="str">
        <f>IFERROR(IF(W$3="","",IF(TEXT(W$3,"ddd")="CN","CN",VLOOKUP($A31&amp;W$3,Data_Cong!$R:$AI,10,0))),"")</f>
        <v/>
      </c>
      <c r="X31" s="49" t="str">
        <f>IFERROR(IF(X$3="","",IF(TEXT(X$3,"ddd")="CN","CN",VLOOKUP($A31&amp;X$3,Data_Cong!$R:$AI,10,0))),"")</f>
        <v>CN</v>
      </c>
      <c r="Y31" s="49" t="str">
        <f>IFERROR(IF(Y$3="","",IF(TEXT(Y$3,"ddd")="CN","CN",VLOOKUP($A31&amp;Y$3,Data_Cong!$R:$AI,10,0))),"")</f>
        <v/>
      </c>
      <c r="Z31" s="49" t="str">
        <f>IFERROR(IF(Z$3="","",IF(TEXT(Z$3,"ddd")="CN","CN",VLOOKUP($A31&amp;Z$3,Data_Cong!$R:$AI,10,0))),"")</f>
        <v/>
      </c>
      <c r="AA31" s="49" t="str">
        <f>IFERROR(IF(AA$3="","",IF(TEXT(AA$3,"ddd")="CN","CN",VLOOKUP($A31&amp;AA$3,Data_Cong!$R:$AI,10,0))),"")</f>
        <v/>
      </c>
      <c r="AB31" s="49" t="str">
        <f>IFERROR(IF(AB$3="","",IF(TEXT(AB$3,"ddd")="CN","CN",VLOOKUP($A31&amp;AB$3,Data_Cong!$R:$AI,10,0))),"")</f>
        <v/>
      </c>
      <c r="AC31" s="49" t="str">
        <f>IFERROR(IF(AC$3="","",IF(TEXT(AC$3,"ddd")="CN","CN",VLOOKUP($A31&amp;AC$3,Data_Cong!$R:$AI,10,0))),"")</f>
        <v/>
      </c>
      <c r="AD31" s="49" t="str">
        <f>IFERROR(IF(AD$3="","",IF(TEXT(AD$3,"ddd")="CN","CN",VLOOKUP($A31&amp;AD$3,Data_Cong!$R:$AI,10,0))),"")</f>
        <v/>
      </c>
      <c r="AE31" s="49" t="str">
        <f>IFERROR(IF(AE$3="","",IF(TEXT(AE$3,"ddd")="CN","CN",VLOOKUP($A31&amp;AE$3,Data_Cong!$R:$AI,10,0))),"")</f>
        <v>CN</v>
      </c>
      <c r="AF31" s="49" t="str">
        <f>IFERROR(IF(AF$3="","",IF(TEXT(AF$3,"ddd")="CN","CN",VLOOKUP($A31&amp;AF$3,Data_Cong!$R:$AI,10,0))),"")</f>
        <v/>
      </c>
      <c r="AG31" s="49" t="str">
        <f>IFERROR(IF(AG$3="","",IF(TEXT(AG$3,"ddd")="CN","CN",VLOOKUP($A31&amp;AG$3,Data_Cong!$R:$AI,10,0))),"")</f>
        <v/>
      </c>
      <c r="AH31" s="49" t="str">
        <f>IFERROR(IF(AH$3="","",IF(TEXT(AH$3,"ddd")="CN","CN",VLOOKUP($A31&amp;AH$3,Data_Cong!$R:$AI,10,0))),"")</f>
        <v/>
      </c>
      <c r="AI31" s="50" cm="1">
        <f t="array" ref="AI31">SUMPRODUCT((D31:AH31="x")*1+(D31:AH31="P")*1+(D31:AH31="1/2P")*1+(D31:AH31="1/2")*0.5+(D31:AH31="2x")*2+(D31:AH31="L")*1)</f>
        <v>0</v>
      </c>
      <c r="AJ31" s="51">
        <f>SUMIF(Data_Cong!A:A,$A31,Data_Cong!AE:AE)</f>
        <v>0</v>
      </c>
      <c r="AK31" s="52">
        <f>COUNTIFS(Data_Cong!AB:AB,"&gt;5",Data_Cong!A:A,A31)</f>
        <v>0</v>
      </c>
      <c r="AL31" s="53" t="str">
        <f>IF(MONTH(VLOOKUP(A31,Data_NV!$A:$J,10,0))=BANG_CHAM_CONG!$R$2,"T"&amp;BANG_CHAM_CONG!$R$2,"")</f>
        <v/>
      </c>
      <c r="AM31" s="96">
        <v>11.5</v>
      </c>
      <c r="AN31" s="93">
        <v>12</v>
      </c>
      <c r="AO31" s="50"/>
      <c r="AP31" s="54">
        <f>SUMIFS(Data_Cong!AF:AF,Data_Cong!A:A,$A31)+SUMIFS(Data_Cong!AG:AG,Data_Cong!A:A,$A31)</f>
        <v>0</v>
      </c>
    </row>
    <row r="32" spans="1:42" ht="15.75" x14ac:dyDescent="0.25">
      <c r="A32" s="28" t="s">
        <v>73</v>
      </c>
      <c r="B32" s="47">
        <v>5</v>
      </c>
      <c r="C32" s="60" t="s">
        <v>191</v>
      </c>
      <c r="D32" s="49" t="str">
        <f>IFERROR(IF(D$3="","",IF(TEXT(D$3,"ddd")="CN","CN",VLOOKUP($A32&amp;D$3,Data_Cong!$R:$AI,10,0))),"")</f>
        <v/>
      </c>
      <c r="E32" s="49" t="str">
        <f>IFERROR(IF(E$3="","",IF(TEXT(E$3,"ddd")="CN","CN",VLOOKUP($A32&amp;E$3,Data_Cong!$R:$AI,10,0))),"")</f>
        <v/>
      </c>
      <c r="F32" s="49" t="str">
        <f>IFERROR(IF(F$3="","",IF(TEXT(F$3,"ddd")="CN","CN",VLOOKUP($A32&amp;F$3,Data_Cong!$R:$AI,10,0))),"")</f>
        <v/>
      </c>
      <c r="G32" s="49" t="str">
        <f>IFERROR(IF(G$3="","",IF(TEXT(G$3,"ddd")="CN","CN",VLOOKUP($A32&amp;G$3,Data_Cong!$R:$AI,10,0))),"")</f>
        <v/>
      </c>
      <c r="H32" s="49" t="str">
        <f>IFERROR(IF(H$3="","",IF(TEXT(H$3,"ddd")="CN","CN",VLOOKUP($A32&amp;H$3,Data_Cong!$R:$AI,10,0))),"")</f>
        <v/>
      </c>
      <c r="I32" s="49" t="str">
        <f>IFERROR(IF(I$3="","",IF(TEXT(I$3,"ddd")="CN","CN",VLOOKUP($A32&amp;I$3,Data_Cong!$R:$AI,10,0))),"")</f>
        <v/>
      </c>
      <c r="J32" s="49" t="str">
        <f>IFERROR(IF(J$3="","",IF(TEXT(J$3,"ddd")="CN","CN",VLOOKUP($A32&amp;J$3,Data_Cong!$R:$AI,10,0))),"")</f>
        <v>CN</v>
      </c>
      <c r="K32" s="49" t="str">
        <f>IFERROR(IF(K$3="","",IF(TEXT(K$3,"ddd")="CN","CN",VLOOKUP($A32&amp;K$3,Data_Cong!$R:$AI,10,0))),"")</f>
        <v/>
      </c>
      <c r="L32" s="49" t="str">
        <f>IFERROR(IF(L$3="","",IF(TEXT(L$3,"ddd")="CN","CN",VLOOKUP($A32&amp;L$3,Data_Cong!$R:$AI,10,0))),"")</f>
        <v/>
      </c>
      <c r="M32" s="49" t="str">
        <f>IFERROR(IF(M$3="","",IF(TEXT(M$3,"ddd")="CN","CN",VLOOKUP($A32&amp;M$3,Data_Cong!$R:$AI,10,0))),"")</f>
        <v/>
      </c>
      <c r="N32" s="49" t="str">
        <f>IFERROR(IF(N$3="","",IF(TEXT(N$3,"ddd")="CN","CN",VLOOKUP($A32&amp;N$3,Data_Cong!$R:$AI,10,0))),"")</f>
        <v/>
      </c>
      <c r="O32" s="49" t="str">
        <f>IFERROR(IF(O$3="","",IF(TEXT(O$3,"ddd")="CN","CN",VLOOKUP($A32&amp;O$3,Data_Cong!$R:$AI,10,0))),"")</f>
        <v/>
      </c>
      <c r="P32" s="49" t="str">
        <f>IFERROR(IF(P$3="","",IF(TEXT(P$3,"ddd")="CN","CN",VLOOKUP($A32&amp;P$3,Data_Cong!$R:$AI,10,0))),"")</f>
        <v/>
      </c>
      <c r="Q32" s="49" t="str">
        <f>IFERROR(IF(Q$3="","",IF(TEXT(Q$3,"ddd")="CN","CN",VLOOKUP($A32&amp;Q$3,Data_Cong!$R:$AI,10,0))),"")</f>
        <v>CN</v>
      </c>
      <c r="R32" s="49" t="str">
        <f>IFERROR(IF(R$3="","",IF(TEXT(R$3,"ddd")="CN","CN",VLOOKUP($A32&amp;R$3,Data_Cong!$R:$AI,10,0))),"")</f>
        <v/>
      </c>
      <c r="S32" s="49" t="str">
        <f>IFERROR(IF(S$3="","",IF(TEXT(S$3,"ddd")="CN","CN",VLOOKUP($A32&amp;S$3,Data_Cong!$R:$AI,10,0))),"")</f>
        <v/>
      </c>
      <c r="T32" s="49" t="str">
        <f>IFERROR(IF(T$3="","",IF(TEXT(T$3,"ddd")="CN","CN",VLOOKUP($A32&amp;T$3,Data_Cong!$R:$AI,10,0))),"")</f>
        <v/>
      </c>
      <c r="U32" s="49" t="str">
        <f>IFERROR(IF(U$3="","",IF(TEXT(U$3,"ddd")="CN","CN",VLOOKUP($A32&amp;U$3,Data_Cong!$R:$AI,10,0))),"")</f>
        <v/>
      </c>
      <c r="V32" s="49" t="str">
        <f>IFERROR(IF(V$3="","",IF(TEXT(V$3,"ddd")="CN","CN",VLOOKUP($A32&amp;V$3,Data_Cong!$R:$AI,10,0))),"")</f>
        <v/>
      </c>
      <c r="W32" s="49" t="str">
        <f>IFERROR(IF(W$3="","",IF(TEXT(W$3,"ddd")="CN","CN",VLOOKUP($A32&amp;W$3,Data_Cong!$R:$AI,10,0))),"")</f>
        <v/>
      </c>
      <c r="X32" s="49" t="str">
        <f>IFERROR(IF(X$3="","",IF(TEXT(X$3,"ddd")="CN","CN",VLOOKUP($A32&amp;X$3,Data_Cong!$R:$AI,10,0))),"")</f>
        <v>CN</v>
      </c>
      <c r="Y32" s="49" t="str">
        <f>IFERROR(IF(Y$3="","",IF(TEXT(Y$3,"ddd")="CN","CN",VLOOKUP($A32&amp;Y$3,Data_Cong!$R:$AI,10,0))),"")</f>
        <v/>
      </c>
      <c r="Z32" s="49" t="str">
        <f>IFERROR(IF(Z$3="","",IF(TEXT(Z$3,"ddd")="CN","CN",VLOOKUP($A32&amp;Z$3,Data_Cong!$R:$AI,10,0))),"")</f>
        <v/>
      </c>
      <c r="AA32" s="49" t="str">
        <f>IFERROR(IF(AA$3="","",IF(TEXT(AA$3,"ddd")="CN","CN",VLOOKUP($A32&amp;AA$3,Data_Cong!$R:$AI,10,0))),"")</f>
        <v/>
      </c>
      <c r="AB32" s="49" t="str">
        <f>IFERROR(IF(AB$3="","",IF(TEXT(AB$3,"ddd")="CN","CN",VLOOKUP($A32&amp;AB$3,Data_Cong!$R:$AI,10,0))),"")</f>
        <v/>
      </c>
      <c r="AC32" s="49" t="str">
        <f>IFERROR(IF(AC$3="","",IF(TEXT(AC$3,"ddd")="CN","CN",VLOOKUP($A32&amp;AC$3,Data_Cong!$R:$AI,10,0))),"")</f>
        <v/>
      </c>
      <c r="AD32" s="49" t="str">
        <f>IFERROR(IF(AD$3="","",IF(TEXT(AD$3,"ddd")="CN","CN",VLOOKUP($A32&amp;AD$3,Data_Cong!$R:$AI,10,0))),"")</f>
        <v/>
      </c>
      <c r="AE32" s="49" t="str">
        <f>IFERROR(IF(AE$3="","",IF(TEXT(AE$3,"ddd")="CN","CN",VLOOKUP($A32&amp;AE$3,Data_Cong!$R:$AI,10,0))),"")</f>
        <v>CN</v>
      </c>
      <c r="AF32" s="49" t="str">
        <f>IFERROR(IF(AF$3="","",IF(TEXT(AF$3,"ddd")="CN","CN",VLOOKUP($A32&amp;AF$3,Data_Cong!$R:$AI,10,0))),"")</f>
        <v/>
      </c>
      <c r="AG32" s="49" t="str">
        <f>IFERROR(IF(AG$3="","",IF(TEXT(AG$3,"ddd")="CN","CN",VLOOKUP($A32&amp;AG$3,Data_Cong!$R:$AI,10,0))),"")</f>
        <v/>
      </c>
      <c r="AH32" s="49" t="str">
        <f>IFERROR(IF(AH$3="","",IF(TEXT(AH$3,"ddd")="CN","CN",VLOOKUP($A32&amp;AH$3,Data_Cong!$R:$AI,10,0))),"")</f>
        <v/>
      </c>
      <c r="AI32" s="50" cm="1">
        <f t="array" ref="AI32">SUMPRODUCT((D32:AH32="x")*1+(D32:AH32="P")*1+(D32:AH32="1/2P")*1+(D32:AH32="1/2")*0.5+(D32:AH32="2x")*2+(D32:AH32="L")*1)</f>
        <v>0</v>
      </c>
      <c r="AJ32" s="51">
        <f>SUMIF(Data_Cong!A:A,$A32,Data_Cong!AE:AE)</f>
        <v>0</v>
      </c>
      <c r="AK32" s="52">
        <f>COUNTIFS(Data_Cong!AB:AB,"&gt;5",Data_Cong!A:A,A32)</f>
        <v>0</v>
      </c>
      <c r="AL32" s="53" t="str">
        <f>IF(MONTH(VLOOKUP(A32,Data_NV!$A:$J,10,0))=BANG_CHAM_CONG!$R$2,"T"&amp;BANG_CHAM_CONG!$R$2,"")</f>
        <v/>
      </c>
      <c r="AM32" s="96">
        <v>9</v>
      </c>
      <c r="AN32" s="93">
        <v>10</v>
      </c>
      <c r="AO32" s="50"/>
      <c r="AP32" s="54">
        <f>SUMIFS(Data_Cong!AF:AF,Data_Cong!A:A,$A32)+SUMIFS(Data_Cong!AG:AG,Data_Cong!A:A,$A32)</f>
        <v>0</v>
      </c>
    </row>
    <row r="33" spans="1:42" ht="15.75" x14ac:dyDescent="0.25">
      <c r="A33" s="28" t="s">
        <v>125</v>
      </c>
      <c r="B33" s="47">
        <v>6</v>
      </c>
      <c r="C33" s="48" t="s">
        <v>192</v>
      </c>
      <c r="D33" s="49" t="str">
        <f>IFERROR(IF(D$3="","",IF(TEXT(D$3,"ddd")="CN","CN",VLOOKUP($A33&amp;D$3,Data_Cong!$R:$AI,10,0))),"")</f>
        <v/>
      </c>
      <c r="E33" s="49" t="str">
        <f>IFERROR(IF(E$3="","",IF(TEXT(E$3,"ddd")="CN","CN",VLOOKUP($A33&amp;E$3,Data_Cong!$R:$AI,10,0))),"")</f>
        <v/>
      </c>
      <c r="F33" s="49" t="str">
        <f>IFERROR(IF(F$3="","",IF(TEXT(F$3,"ddd")="CN","CN",VLOOKUP($A33&amp;F$3,Data_Cong!$R:$AI,10,0))),"")</f>
        <v/>
      </c>
      <c r="G33" s="49" t="str">
        <f>IFERROR(IF(G$3="","",IF(TEXT(G$3,"ddd")="CN","CN",VLOOKUP($A33&amp;G$3,Data_Cong!$R:$AI,10,0))),"")</f>
        <v/>
      </c>
      <c r="H33" s="49" t="str">
        <f>IFERROR(IF(H$3="","",IF(TEXT(H$3,"ddd")="CN","CN",VLOOKUP($A33&amp;H$3,Data_Cong!$R:$AI,10,0))),"")</f>
        <v/>
      </c>
      <c r="I33" s="49" t="str">
        <f>IFERROR(IF(I$3="","",IF(TEXT(I$3,"ddd")="CN","CN",VLOOKUP($A33&amp;I$3,Data_Cong!$R:$AI,10,0))),"")</f>
        <v/>
      </c>
      <c r="J33" s="49" t="str">
        <f>IFERROR(IF(J$3="","",IF(TEXT(J$3,"ddd")="CN","CN",VLOOKUP($A33&amp;J$3,Data_Cong!$R:$AI,10,0))),"")</f>
        <v>CN</v>
      </c>
      <c r="K33" s="49" t="str">
        <f>IFERROR(IF(K$3="","",IF(TEXT(K$3,"ddd")="CN","CN",VLOOKUP($A33&amp;K$3,Data_Cong!$R:$AI,10,0))),"")</f>
        <v/>
      </c>
      <c r="L33" s="49" t="str">
        <f>IFERROR(IF(L$3="","",IF(TEXT(L$3,"ddd")="CN","CN",VLOOKUP($A33&amp;L$3,Data_Cong!$R:$AI,10,0))),"")</f>
        <v/>
      </c>
      <c r="M33" s="49" t="str">
        <f>IFERROR(IF(M$3="","",IF(TEXT(M$3,"ddd")="CN","CN",VLOOKUP($A33&amp;M$3,Data_Cong!$R:$AI,10,0))),"")</f>
        <v/>
      </c>
      <c r="N33" s="49" t="str">
        <f>IFERROR(IF(N$3="","",IF(TEXT(N$3,"ddd")="CN","CN",VLOOKUP($A33&amp;N$3,Data_Cong!$R:$AI,10,0))),"")</f>
        <v/>
      </c>
      <c r="O33" s="49" t="str">
        <f>IFERROR(IF(O$3="","",IF(TEXT(O$3,"ddd")="CN","CN",VLOOKUP($A33&amp;O$3,Data_Cong!$R:$AI,10,0))),"")</f>
        <v/>
      </c>
      <c r="P33" s="49" t="str">
        <f>IFERROR(IF(P$3="","",IF(TEXT(P$3,"ddd")="CN","CN",VLOOKUP($A33&amp;P$3,Data_Cong!$R:$AI,10,0))),"")</f>
        <v/>
      </c>
      <c r="Q33" s="49" t="str">
        <f>IFERROR(IF(Q$3="","",IF(TEXT(Q$3,"ddd")="CN","CN",VLOOKUP($A33&amp;Q$3,Data_Cong!$R:$AI,10,0))),"")</f>
        <v>CN</v>
      </c>
      <c r="R33" s="49" t="str">
        <f>IFERROR(IF(R$3="","",IF(TEXT(R$3,"ddd")="CN","CN",VLOOKUP($A33&amp;R$3,Data_Cong!$R:$AI,10,0))),"")</f>
        <v/>
      </c>
      <c r="S33" s="49" t="str">
        <f>IFERROR(IF(S$3="","",IF(TEXT(S$3,"ddd")="CN","CN",VLOOKUP($A33&amp;S$3,Data_Cong!$R:$AI,10,0))),"")</f>
        <v/>
      </c>
      <c r="T33" s="49" t="str">
        <f>IFERROR(IF(T$3="","",IF(TEXT(T$3,"ddd")="CN","CN",VLOOKUP($A33&amp;T$3,Data_Cong!$R:$AI,10,0))),"")</f>
        <v/>
      </c>
      <c r="U33" s="49" t="str">
        <f>IFERROR(IF(U$3="","",IF(TEXT(U$3,"ddd")="CN","CN",VLOOKUP($A33&amp;U$3,Data_Cong!$R:$AI,10,0))),"")</f>
        <v/>
      </c>
      <c r="V33" s="49" t="str">
        <f>IFERROR(IF(V$3="","",IF(TEXT(V$3,"ddd")="CN","CN",VLOOKUP($A33&amp;V$3,Data_Cong!$R:$AI,10,0))),"")</f>
        <v/>
      </c>
      <c r="W33" s="49" t="str">
        <f>IFERROR(IF(W$3="","",IF(TEXT(W$3,"ddd")="CN","CN",VLOOKUP($A33&amp;W$3,Data_Cong!$R:$AI,10,0))),"")</f>
        <v/>
      </c>
      <c r="X33" s="49" t="str">
        <f>IFERROR(IF(X$3="","",IF(TEXT(X$3,"ddd")="CN","CN",VLOOKUP($A33&amp;X$3,Data_Cong!$R:$AI,10,0))),"")</f>
        <v>CN</v>
      </c>
      <c r="Y33" s="49" t="str">
        <f>IFERROR(IF(Y$3="","",IF(TEXT(Y$3,"ddd")="CN","CN",VLOOKUP($A33&amp;Y$3,Data_Cong!$R:$AI,10,0))),"")</f>
        <v/>
      </c>
      <c r="Z33" s="49" t="str">
        <f>IFERROR(IF(Z$3="","",IF(TEXT(Z$3,"ddd")="CN","CN",VLOOKUP($A33&amp;Z$3,Data_Cong!$R:$AI,10,0))),"")</f>
        <v/>
      </c>
      <c r="AA33" s="49" t="str">
        <f>IFERROR(IF(AA$3="","",IF(TEXT(AA$3,"ddd")="CN","CN",VLOOKUP($A33&amp;AA$3,Data_Cong!$R:$AI,10,0))),"")</f>
        <v/>
      </c>
      <c r="AB33" s="49" t="str">
        <f>IFERROR(IF(AB$3="","",IF(TEXT(AB$3,"ddd")="CN","CN",VLOOKUP($A33&amp;AB$3,Data_Cong!$R:$AI,10,0))),"")</f>
        <v/>
      </c>
      <c r="AC33" s="49" t="str">
        <f>IFERROR(IF(AC$3="","",IF(TEXT(AC$3,"ddd")="CN","CN",VLOOKUP($A33&amp;AC$3,Data_Cong!$R:$AI,10,0))),"")</f>
        <v/>
      </c>
      <c r="AD33" s="49" t="str">
        <f>IFERROR(IF(AD$3="","",IF(TEXT(AD$3,"ddd")="CN","CN",VLOOKUP($A33&amp;AD$3,Data_Cong!$R:$AI,10,0))),"")</f>
        <v/>
      </c>
      <c r="AE33" s="49" t="str">
        <f>IFERROR(IF(AE$3="","",IF(TEXT(AE$3,"ddd")="CN","CN",VLOOKUP($A33&amp;AE$3,Data_Cong!$R:$AI,10,0))),"")</f>
        <v>CN</v>
      </c>
      <c r="AF33" s="49" t="str">
        <f>IFERROR(IF(AF$3="","",IF(TEXT(AF$3,"ddd")="CN","CN",VLOOKUP($A33&amp;AF$3,Data_Cong!$R:$AI,10,0))),"")</f>
        <v/>
      </c>
      <c r="AG33" s="49" t="str">
        <f>IFERROR(IF(AG$3="","",IF(TEXT(AG$3,"ddd")="CN","CN",VLOOKUP($A33&amp;AG$3,Data_Cong!$R:$AI,10,0))),"")</f>
        <v/>
      </c>
      <c r="AH33" s="49" t="str">
        <f>IFERROR(IF(AH$3="","",IF(TEXT(AH$3,"ddd")="CN","CN",VLOOKUP($A33&amp;AH$3,Data_Cong!$R:$AI,10,0))),"")</f>
        <v/>
      </c>
      <c r="AI33" s="50" cm="1">
        <f t="array" ref="AI33">SUMPRODUCT((D33:AH33="x")*1+(D33:AH33="P")*1+(D33:AH33="1/2P")*1+(D33:AH33="1/2")*0.5+(D33:AH33="2x")*2+(D33:AH33="L")*1)</f>
        <v>0</v>
      </c>
      <c r="AJ33" s="51">
        <f>SUMIF(Data_Cong!A:A,$A33,Data_Cong!AE:AE)</f>
        <v>0</v>
      </c>
      <c r="AK33" s="52">
        <f>COUNTIFS(Data_Cong!AB:AB,"&gt;5",Data_Cong!A:A,A33)</f>
        <v>0</v>
      </c>
      <c r="AL33" s="53" t="str">
        <f>IF(MONTH(VLOOKUP(A33,Data_NV!$A:$J,10,0))=BANG_CHAM_CONG!$R$2,"T"&amp;BANG_CHAM_CONG!$R$2,"")</f>
        <v/>
      </c>
      <c r="AM33" s="96">
        <v>11</v>
      </c>
      <c r="AN33" s="93">
        <v>11</v>
      </c>
      <c r="AO33" s="50"/>
      <c r="AP33" s="54">
        <f>SUMIFS(Data_Cong!AF:AF,Data_Cong!A:A,$A33)+SUMIFS(Data_Cong!AG:AG,Data_Cong!A:A,$A33)</f>
        <v>0</v>
      </c>
    </row>
    <row r="34" spans="1:42" ht="15.75" x14ac:dyDescent="0.25">
      <c r="A34" s="28" t="s">
        <v>136</v>
      </c>
      <c r="B34" s="47">
        <v>7</v>
      </c>
      <c r="C34" s="48" t="s">
        <v>193</v>
      </c>
      <c r="D34" s="49" t="str">
        <f>IFERROR(IF(D$3="","",IF(TEXT(D$3,"ddd")="CN","CN",VLOOKUP($A34&amp;D$3,Data_Cong!$R:$AI,10,0))),"")</f>
        <v/>
      </c>
      <c r="E34" s="49" t="str">
        <f>IFERROR(IF(E$3="","",IF(TEXT(E$3,"ddd")="CN","CN",VLOOKUP($A34&amp;E$3,Data_Cong!$R:$AI,10,0))),"")</f>
        <v/>
      </c>
      <c r="F34" s="49" t="str">
        <f>IFERROR(IF(F$3="","",IF(TEXT(F$3,"ddd")="CN","CN",VLOOKUP($A34&amp;F$3,Data_Cong!$R:$AI,10,0))),"")</f>
        <v/>
      </c>
      <c r="G34" s="49" t="str">
        <f>IFERROR(IF(G$3="","",IF(TEXT(G$3,"ddd")="CN","CN",VLOOKUP($A34&amp;G$3,Data_Cong!$R:$AI,10,0))),"")</f>
        <v/>
      </c>
      <c r="H34" s="49" t="str">
        <f>IFERROR(IF(H$3="","",IF(TEXT(H$3,"ddd")="CN","CN",VLOOKUP($A34&amp;H$3,Data_Cong!$R:$AI,10,0))),"")</f>
        <v/>
      </c>
      <c r="I34" s="49" t="str">
        <f>IFERROR(IF(I$3="","",IF(TEXT(I$3,"ddd")="CN","CN",VLOOKUP($A34&amp;I$3,Data_Cong!$R:$AI,10,0))),"")</f>
        <v/>
      </c>
      <c r="J34" s="49" t="str">
        <f>IFERROR(IF(J$3="","",IF(TEXT(J$3,"ddd")="CN","CN",VLOOKUP($A34&amp;J$3,Data_Cong!$R:$AI,10,0))),"")</f>
        <v>CN</v>
      </c>
      <c r="K34" s="49" t="str">
        <f>IFERROR(IF(K$3="","",IF(TEXT(K$3,"ddd")="CN","CN",VLOOKUP($A34&amp;K$3,Data_Cong!$R:$AI,10,0))),"")</f>
        <v/>
      </c>
      <c r="L34" s="49" t="str">
        <f>IFERROR(IF(L$3="","",IF(TEXT(L$3,"ddd")="CN","CN",VLOOKUP($A34&amp;L$3,Data_Cong!$R:$AI,10,0))),"")</f>
        <v/>
      </c>
      <c r="M34" s="49" t="str">
        <f>IFERROR(IF(M$3="","",IF(TEXT(M$3,"ddd")="CN","CN",VLOOKUP($A34&amp;M$3,Data_Cong!$R:$AI,10,0))),"")</f>
        <v/>
      </c>
      <c r="N34" s="49" t="str">
        <f>IFERROR(IF(N$3="","",IF(TEXT(N$3,"ddd")="CN","CN",VLOOKUP($A34&amp;N$3,Data_Cong!$R:$AI,10,0))),"")</f>
        <v/>
      </c>
      <c r="O34" s="49" t="str">
        <f>IFERROR(IF(O$3="","",IF(TEXT(O$3,"ddd")="CN","CN",VLOOKUP($A34&amp;O$3,Data_Cong!$R:$AI,10,0))),"")</f>
        <v/>
      </c>
      <c r="P34" s="49" t="str">
        <f>IFERROR(IF(P$3="","",IF(TEXT(P$3,"ddd")="CN","CN",VLOOKUP($A34&amp;P$3,Data_Cong!$R:$AI,10,0))),"")</f>
        <v/>
      </c>
      <c r="Q34" s="49" t="str">
        <f>IFERROR(IF(Q$3="","",IF(TEXT(Q$3,"ddd")="CN","CN",VLOOKUP($A34&amp;Q$3,Data_Cong!$R:$AI,10,0))),"")</f>
        <v>CN</v>
      </c>
      <c r="R34" s="49" t="str">
        <f>IFERROR(IF(R$3="","",IF(TEXT(R$3,"ddd")="CN","CN",VLOOKUP($A34&amp;R$3,Data_Cong!$R:$AI,10,0))),"")</f>
        <v/>
      </c>
      <c r="S34" s="49" t="str">
        <f>IFERROR(IF(S$3="","",IF(TEXT(S$3,"ddd")="CN","CN",VLOOKUP($A34&amp;S$3,Data_Cong!$R:$AI,10,0))),"")</f>
        <v/>
      </c>
      <c r="T34" s="49" t="str">
        <f>IFERROR(IF(T$3="","",IF(TEXT(T$3,"ddd")="CN","CN",VLOOKUP($A34&amp;T$3,Data_Cong!$R:$AI,10,0))),"")</f>
        <v/>
      </c>
      <c r="U34" s="49" t="str">
        <f>IFERROR(IF(U$3="","",IF(TEXT(U$3,"ddd")="CN","CN",VLOOKUP($A34&amp;U$3,Data_Cong!$R:$AI,10,0))),"")</f>
        <v/>
      </c>
      <c r="V34" s="49" t="str">
        <f>IFERROR(IF(V$3="","",IF(TEXT(V$3,"ddd")="CN","CN",VLOOKUP($A34&amp;V$3,Data_Cong!$R:$AI,10,0))),"")</f>
        <v/>
      </c>
      <c r="W34" s="49" t="str">
        <f>IFERROR(IF(W$3="","",IF(TEXT(W$3,"ddd")="CN","CN",VLOOKUP($A34&amp;W$3,Data_Cong!$R:$AI,10,0))),"")</f>
        <v/>
      </c>
      <c r="X34" s="49" t="str">
        <f>IFERROR(IF(X$3="","",IF(TEXT(X$3,"ddd")="CN","CN",VLOOKUP($A34&amp;X$3,Data_Cong!$R:$AI,10,0))),"")</f>
        <v>CN</v>
      </c>
      <c r="Y34" s="49" t="str">
        <f>IFERROR(IF(Y$3="","",IF(TEXT(Y$3,"ddd")="CN","CN",VLOOKUP($A34&amp;Y$3,Data_Cong!$R:$AI,10,0))),"")</f>
        <v/>
      </c>
      <c r="Z34" s="49" t="str">
        <f>IFERROR(IF(Z$3="","",IF(TEXT(Z$3,"ddd")="CN","CN",VLOOKUP($A34&amp;Z$3,Data_Cong!$R:$AI,10,0))),"")</f>
        <v/>
      </c>
      <c r="AA34" s="49" t="str">
        <f>IFERROR(IF(AA$3="","",IF(TEXT(AA$3,"ddd")="CN","CN",VLOOKUP($A34&amp;AA$3,Data_Cong!$R:$AI,10,0))),"")</f>
        <v/>
      </c>
      <c r="AB34" s="49" t="str">
        <f>IFERROR(IF(AB$3="","",IF(TEXT(AB$3,"ddd")="CN","CN",VLOOKUP($A34&amp;AB$3,Data_Cong!$R:$AI,10,0))),"")</f>
        <v/>
      </c>
      <c r="AC34" s="49" t="str">
        <f>IFERROR(IF(AC$3="","",IF(TEXT(AC$3,"ddd")="CN","CN",VLOOKUP($A34&amp;AC$3,Data_Cong!$R:$AI,10,0))),"")</f>
        <v/>
      </c>
      <c r="AD34" s="49" t="str">
        <f>IFERROR(IF(AD$3="","",IF(TEXT(AD$3,"ddd")="CN","CN",VLOOKUP($A34&amp;AD$3,Data_Cong!$R:$AI,10,0))),"")</f>
        <v/>
      </c>
      <c r="AE34" s="49" t="str">
        <f>IFERROR(IF(AE$3="","",IF(TEXT(AE$3,"ddd")="CN","CN",VLOOKUP($A34&amp;AE$3,Data_Cong!$R:$AI,10,0))),"")</f>
        <v>CN</v>
      </c>
      <c r="AF34" s="49" t="str">
        <f>IFERROR(IF(AF$3="","",IF(TEXT(AF$3,"ddd")="CN","CN",VLOOKUP($A34&amp;AF$3,Data_Cong!$R:$AI,10,0))),"")</f>
        <v/>
      </c>
      <c r="AG34" s="49" t="str">
        <f>IFERROR(IF(AG$3="","",IF(TEXT(AG$3,"ddd")="CN","CN",VLOOKUP($A34&amp;AG$3,Data_Cong!$R:$AI,10,0))),"")</f>
        <v/>
      </c>
      <c r="AH34" s="49" t="str">
        <f>IFERROR(IF(AH$3="","",IF(TEXT(AH$3,"ddd")="CN","CN",VLOOKUP($A34&amp;AH$3,Data_Cong!$R:$AI,10,0))),"")</f>
        <v/>
      </c>
      <c r="AI34" s="50" cm="1">
        <f t="array" ref="AI34">SUMPRODUCT((D34:AH34="x")*1+(D34:AH34="P")*1+(D34:AH34="1/2P")*1+(D34:AH34="1/2")*0.5+(D34:AH34="2x")*2+(D34:AH34="L")*1)</f>
        <v>0</v>
      </c>
      <c r="AJ34" s="51">
        <f>SUMIF(Data_Cong!A:A,$A34,Data_Cong!AE:AE)</f>
        <v>0</v>
      </c>
      <c r="AK34" s="52">
        <f>COUNTIFS(Data_Cong!AB:AB,"&gt;5",Data_Cong!A:A,A34)</f>
        <v>0</v>
      </c>
      <c r="AL34" s="53" t="str">
        <f>IF(MONTH(VLOOKUP(A34,Data_NV!$A:$J,10,0))=BANG_CHAM_CONG!$R$2,"T"&amp;BANG_CHAM_CONG!$R$2,"")</f>
        <v/>
      </c>
      <c r="AM34" s="96">
        <v>0</v>
      </c>
      <c r="AN34" s="93">
        <v>1</v>
      </c>
      <c r="AO34" s="50"/>
      <c r="AP34" s="54">
        <f>SUMIFS(Data_Cong!AF:AF,Data_Cong!A:A,$A34)+SUMIFS(Data_Cong!AG:AG,Data_Cong!A:A,$A34)</f>
        <v>0</v>
      </c>
    </row>
    <row r="35" spans="1:42" ht="15.75" x14ac:dyDescent="0.25">
      <c r="A35" s="28" t="s">
        <v>151</v>
      </c>
      <c r="B35" s="47">
        <v>9</v>
      </c>
      <c r="C35" s="62" t="s">
        <v>197</v>
      </c>
      <c r="D35" s="49">
        <f>IFERROR(IF(D$3="","",IF(TEXT(D$3,"ddd")="CN","CN",VLOOKUP($A35&amp;D$3,Data_Cong!$R:$AI,10,0))),"")</f>
        <v>0</v>
      </c>
      <c r="E35" s="49">
        <f>IFERROR(IF(E$3="","",IF(TEXT(E$3,"ddd")="CN","CN",VLOOKUP($A35&amp;E$3,Data_Cong!$R:$AI,10,0))),"")</f>
        <v>0</v>
      </c>
      <c r="F35" s="49" t="str">
        <f>IFERROR(IF(F$3="","",IF(TEXT(F$3,"ddd")="CN","CN",VLOOKUP($A35&amp;F$3,Data_Cong!$R:$AI,10,0))),"")</f>
        <v/>
      </c>
      <c r="G35" s="49" t="str">
        <f>IFERROR(IF(G$3="","",IF(TEXT(G$3,"ddd")="CN","CN",VLOOKUP($A35&amp;G$3,Data_Cong!$R:$AI,10,0))),"")</f>
        <v/>
      </c>
      <c r="H35" s="49" t="str">
        <f>IFERROR(IF(H$3="","",IF(TEXT(H$3,"ddd")="CN","CN",VLOOKUP($A35&amp;H$3,Data_Cong!$R:$AI,10,0))),"")</f>
        <v/>
      </c>
      <c r="I35" s="49" t="str">
        <f>IFERROR(IF(I$3="","",IF(TEXT(I$3,"ddd")="CN","CN",VLOOKUP($A35&amp;I$3,Data_Cong!$R:$AI,10,0))),"")</f>
        <v/>
      </c>
      <c r="J35" s="49" t="str">
        <f>IFERROR(IF(J$3="","",IF(TEXT(J$3,"ddd")="CN","CN",VLOOKUP($A35&amp;J$3,Data_Cong!$R:$AI,10,0))),"")</f>
        <v>CN</v>
      </c>
      <c r="K35" s="49" t="str">
        <f>IFERROR(IF(K$3="","",IF(TEXT(K$3,"ddd")="CN","CN",VLOOKUP($A35&amp;K$3,Data_Cong!$R:$AI,10,0))),"")</f>
        <v/>
      </c>
      <c r="L35" s="49" t="str">
        <f>IFERROR(IF(L$3="","",IF(TEXT(L$3,"ddd")="CN","CN",VLOOKUP($A35&amp;L$3,Data_Cong!$R:$AI,10,0))),"")</f>
        <v/>
      </c>
      <c r="M35" s="49" t="str">
        <f>IFERROR(IF(M$3="","",IF(TEXT(M$3,"ddd")="CN","CN",VLOOKUP($A35&amp;M$3,Data_Cong!$R:$AI,10,0))),"")</f>
        <v>x</v>
      </c>
      <c r="N35" s="49" t="str">
        <f>IFERROR(IF(N$3="","",IF(TEXT(N$3,"ddd")="CN","CN",VLOOKUP($A35&amp;N$3,Data_Cong!$R:$AI,10,0))),"")</f>
        <v>x</v>
      </c>
      <c r="O35" s="49" t="str">
        <f>IFERROR(IF(O$3="","",IF(TEXT(O$3,"ddd")="CN","CN",VLOOKUP($A35&amp;O$3,Data_Cong!$R:$AI,10,0))),"")</f>
        <v>x</v>
      </c>
      <c r="P35" s="49" t="str">
        <f>IFERROR(IF(P$3="","",IF(TEXT(P$3,"ddd")="CN","CN",VLOOKUP($A35&amp;P$3,Data_Cong!$R:$AI,10,0))),"")</f>
        <v>x</v>
      </c>
      <c r="Q35" s="49" t="str">
        <f>IFERROR(IF(Q$3="","",IF(TEXT(Q$3,"ddd")="CN","CN",VLOOKUP($A35&amp;Q$3,Data_Cong!$R:$AI,10,0))),"")</f>
        <v>CN</v>
      </c>
      <c r="R35" s="49" t="str">
        <f>IFERROR(IF(R$3="","",IF(TEXT(R$3,"ddd")="CN","CN",VLOOKUP($A35&amp;R$3,Data_Cong!$R:$AI,10,0))),"")</f>
        <v>x</v>
      </c>
      <c r="S35" s="49" t="str">
        <f>IFERROR(IF(S$3="","",IF(TEXT(S$3,"ddd")="CN","CN",VLOOKUP($A35&amp;S$3,Data_Cong!$R:$AI,10,0))),"")</f>
        <v>x</v>
      </c>
      <c r="T35" s="49" t="str">
        <f>IFERROR(IF(T$3="","",IF(TEXT(T$3,"ddd")="CN","CN",VLOOKUP($A35&amp;T$3,Data_Cong!$R:$AI,10,0))),"")</f>
        <v>x</v>
      </c>
      <c r="U35" s="49" t="str">
        <f>IFERROR(IF(U$3="","",IF(TEXT(U$3,"ddd")="CN","CN",VLOOKUP($A35&amp;U$3,Data_Cong!$R:$AI,10,0))),"")</f>
        <v>x</v>
      </c>
      <c r="V35" s="49" t="str">
        <f>IFERROR(IF(V$3="","",IF(TEXT(V$3,"ddd")="CN","CN",VLOOKUP($A35&amp;V$3,Data_Cong!$R:$AI,10,0))),"")</f>
        <v>x</v>
      </c>
      <c r="W35" s="49" t="str">
        <f>IFERROR(IF(W$3="","",IF(TEXT(W$3,"ddd")="CN","CN",VLOOKUP($A35&amp;W$3,Data_Cong!$R:$AI,10,0))),"")</f>
        <v>x</v>
      </c>
      <c r="X35" s="49" t="str">
        <f>IFERROR(IF(X$3="","",IF(TEXT(X$3,"ddd")="CN","CN",VLOOKUP($A35&amp;X$3,Data_Cong!$R:$AI,10,0))),"")</f>
        <v>CN</v>
      </c>
      <c r="Y35" s="49" t="str">
        <f>IFERROR(IF(Y$3="","",IF(TEXT(Y$3,"ddd")="CN","CN",VLOOKUP($A35&amp;Y$3,Data_Cong!$R:$AI,10,0))),"")</f>
        <v>x</v>
      </c>
      <c r="Z35" s="49" t="str">
        <f>IFERROR(IF(Z$3="","",IF(TEXT(Z$3,"ddd")="CN","CN",VLOOKUP($A35&amp;Z$3,Data_Cong!$R:$AI,10,0))),"")</f>
        <v>x</v>
      </c>
      <c r="AA35" s="49" t="str">
        <f>IFERROR(IF(AA$3="","",IF(TEXT(AA$3,"ddd")="CN","CN",VLOOKUP($A35&amp;AA$3,Data_Cong!$R:$AI,10,0))),"")</f>
        <v>x</v>
      </c>
      <c r="AB35" s="49" t="str">
        <f>IFERROR(IF(AB$3="","",IF(TEXT(AB$3,"ddd")="CN","CN",VLOOKUP($A35&amp;AB$3,Data_Cong!$R:$AI,10,0))),"")</f>
        <v>x</v>
      </c>
      <c r="AC35" s="49" t="str">
        <f>IFERROR(IF(AC$3="","",IF(TEXT(AC$3,"ddd")="CN","CN",VLOOKUP($A35&amp;AC$3,Data_Cong!$R:$AI,10,0))),"")</f>
        <v>x</v>
      </c>
      <c r="AD35" s="49" t="str">
        <f>IFERROR(IF(AD$3="","",IF(TEXT(AD$3,"ddd")="CN","CN",VLOOKUP($A35&amp;AD$3,Data_Cong!$R:$AI,10,0))),"")</f>
        <v>x</v>
      </c>
      <c r="AE35" s="49" t="str">
        <f>IFERROR(IF(AE$3="","",IF(TEXT(AE$3,"ddd")="CN","CN",VLOOKUP($A35&amp;AE$3,Data_Cong!$R:$AI,10,0))),"")</f>
        <v>CN</v>
      </c>
      <c r="AF35" s="49" t="str">
        <f>IFERROR(IF(AF$3="","",IF(TEXT(AF$3,"ddd")="CN","CN",VLOOKUP($A35&amp;AF$3,Data_Cong!$R:$AI,10,0))),"")</f>
        <v>x</v>
      </c>
      <c r="AG35" s="49" t="str">
        <f>IFERROR(IF(AG$3="","",IF(TEXT(AG$3,"ddd")="CN","CN",VLOOKUP($A35&amp;AG$3,Data_Cong!$R:$AI,10,0))),"")</f>
        <v>x</v>
      </c>
      <c r="AH35" s="49" t="str">
        <f>IFERROR(IF(AH$3="","",IF(TEXT(AH$3,"ddd")="CN","CN",VLOOKUP($A35&amp;AH$3,Data_Cong!$R:$AI,10,0))),"")</f>
        <v/>
      </c>
      <c r="AI35" s="50">
        <f t="shared" ref="AI35" si="4">SUMPRODUCT((D35:AH35="x")*1+(D35:AH35="P")*1+(D35:AH35="1/2P")*1+(D35:AH35="1/2")*0.5+(D35:AH35="2x")*2)</f>
        <v>18</v>
      </c>
      <c r="AJ35" s="51">
        <f>SUMIF(Data_Cong!A:A,$A35,Data_Cong!AE:AE)</f>
        <v>0</v>
      </c>
      <c r="AK35" s="52">
        <f>COUNTIFS(Data_Cong!AB:AB,"&gt;5",Data_Cong!A:A,A35)</f>
        <v>0</v>
      </c>
      <c r="AL35" s="53" t="str">
        <f>IF(MONTH(VLOOKUP(A35,Data_NV!$A:$J,10,0))=BANG_CHAM_CONG!$R$2,"T"&amp;BANG_CHAM_CONG!$R$2,"")</f>
        <v/>
      </c>
      <c r="AM35" s="96">
        <v>0</v>
      </c>
      <c r="AN35" s="93"/>
      <c r="AO35" s="50">
        <v>6</v>
      </c>
      <c r="AP35" s="54">
        <f>SUMIFS(Data_Cong!AF:AF,Data_Cong!A:A,$A35)+SUMIFS(Data_Cong!AG:AG,Data_Cong!A:A,$A35)</f>
        <v>0</v>
      </c>
    </row>
    <row r="36" spans="1:42" ht="15.75" x14ac:dyDescent="0.25">
      <c r="A36" s="28"/>
      <c r="B36" s="41"/>
      <c r="C36" s="41" t="s">
        <v>257</v>
      </c>
      <c r="D36" s="63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9"/>
      <c r="AM36" s="59"/>
      <c r="AN36" s="59"/>
      <c r="AO36" s="59"/>
      <c r="AP36" s="64"/>
    </row>
    <row r="37" spans="1:42" x14ac:dyDescent="0.25">
      <c r="A37" s="28"/>
      <c r="B37" s="65">
        <v>1</v>
      </c>
      <c r="C37" s="66" t="s">
        <v>258</v>
      </c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8"/>
      <c r="AJ37" s="52"/>
      <c r="AK37" s="52"/>
      <c r="AL37" s="61"/>
      <c r="AM37" s="61"/>
      <c r="AN37" s="68"/>
      <c r="AO37" s="68"/>
      <c r="AP37" s="69"/>
    </row>
    <row r="38" spans="1:42" ht="15.75" x14ac:dyDescent="0.25">
      <c r="A38" s="28"/>
      <c r="B38" s="70"/>
      <c r="C38" s="70"/>
      <c r="D38" s="71"/>
      <c r="E38" s="72"/>
      <c r="F38" s="70"/>
      <c r="G38" s="70"/>
      <c r="H38" s="70"/>
      <c r="I38" s="70"/>
      <c r="J38" s="73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28"/>
      <c r="AK38" s="28"/>
      <c r="AL38" s="28"/>
      <c r="AM38" s="28"/>
      <c r="AN38" s="28"/>
      <c r="AO38" s="28"/>
      <c r="AP38" s="31"/>
    </row>
    <row r="39" spans="1:42" ht="15.75" x14ac:dyDescent="0.25">
      <c r="A39" s="28"/>
      <c r="B39" s="70"/>
      <c r="C39" s="70"/>
      <c r="D39" s="71" t="s">
        <v>259</v>
      </c>
      <c r="E39" s="72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28"/>
      <c r="AK39" s="28"/>
      <c r="AL39" s="28"/>
      <c r="AM39" s="28"/>
      <c r="AN39" s="28"/>
      <c r="AO39" s="28"/>
      <c r="AP39" s="31"/>
    </row>
    <row r="40" spans="1:42" ht="15.75" x14ac:dyDescent="0.25">
      <c r="A40" s="28"/>
      <c r="B40" s="70"/>
      <c r="C40" s="70"/>
      <c r="D40" s="71" t="s">
        <v>260</v>
      </c>
      <c r="E40" s="72" t="s">
        <v>261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28"/>
      <c r="AK40" s="28"/>
      <c r="AL40" s="28"/>
      <c r="AM40" s="28"/>
      <c r="AN40" s="28"/>
      <c r="AO40" s="28"/>
      <c r="AP40" s="31"/>
    </row>
    <row r="41" spans="1:42" ht="15.75" x14ac:dyDescent="0.25">
      <c r="A41" s="28"/>
      <c r="B41" s="70"/>
      <c r="C41" s="70"/>
      <c r="D41" s="71" t="s">
        <v>262</v>
      </c>
      <c r="E41" s="72" t="s">
        <v>263</v>
      </c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28"/>
      <c r="AK41" s="28"/>
      <c r="AL41" s="28"/>
      <c r="AM41" s="28"/>
      <c r="AN41" s="28"/>
      <c r="AO41" s="28"/>
      <c r="AP41" s="31"/>
    </row>
    <row r="42" spans="1:42" ht="15.75" x14ac:dyDescent="0.25">
      <c r="A42" s="28"/>
      <c r="B42" s="70"/>
      <c r="C42" s="70"/>
      <c r="D42" s="74" t="s">
        <v>264</v>
      </c>
      <c r="E42" s="72" t="s">
        <v>265</v>
      </c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28"/>
      <c r="AK42" s="28"/>
      <c r="AL42" s="28"/>
      <c r="AM42" s="28"/>
      <c r="AN42" s="28"/>
      <c r="AO42" s="28"/>
      <c r="AP42" s="31"/>
    </row>
    <row r="43" spans="1:42" ht="15.75" x14ac:dyDescent="0.25">
      <c r="A43" s="28"/>
      <c r="B43" s="70"/>
      <c r="C43" s="70"/>
      <c r="D43" s="75" t="s">
        <v>266</v>
      </c>
      <c r="E43" s="72" t="s">
        <v>267</v>
      </c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28"/>
      <c r="Z43" s="76"/>
      <c r="AA43" s="76"/>
      <c r="AB43" s="76"/>
      <c r="AC43" s="76"/>
      <c r="AD43" s="76"/>
      <c r="AE43" s="76"/>
      <c r="AF43" s="76"/>
      <c r="AG43" s="76"/>
      <c r="AH43" s="76"/>
      <c r="AI43" s="70"/>
      <c r="AJ43" s="28"/>
      <c r="AK43" s="28"/>
      <c r="AL43" s="28"/>
      <c r="AM43" s="28"/>
      <c r="AN43" s="28"/>
      <c r="AO43" s="28"/>
      <c r="AP43" s="31"/>
    </row>
    <row r="44" spans="1:42" ht="15.75" x14ac:dyDescent="0.25">
      <c r="A44" s="28"/>
      <c r="B44" s="70"/>
      <c r="C44" s="70"/>
      <c r="D44" s="77" t="s">
        <v>268</v>
      </c>
      <c r="E44" s="72" t="s">
        <v>269</v>
      </c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28"/>
      <c r="Z44" s="76"/>
      <c r="AA44" s="76"/>
      <c r="AB44" s="76"/>
      <c r="AC44" s="76"/>
      <c r="AD44" s="76"/>
      <c r="AE44" s="76"/>
      <c r="AF44" s="76"/>
      <c r="AG44" s="76"/>
      <c r="AH44" s="76"/>
      <c r="AI44" s="70"/>
      <c r="AJ44" s="28"/>
      <c r="AK44" s="28"/>
      <c r="AL44" s="28"/>
      <c r="AM44" s="28"/>
      <c r="AN44" s="28"/>
      <c r="AO44" s="28"/>
      <c r="AP44" s="31"/>
    </row>
    <row r="45" spans="1:42" ht="15.75" x14ac:dyDescent="0.25">
      <c r="A45" s="28"/>
      <c r="B45" s="70"/>
      <c r="C45" s="70"/>
      <c r="D45" s="71" t="s">
        <v>270</v>
      </c>
      <c r="E45" s="72" t="s">
        <v>271</v>
      </c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0"/>
      <c r="AJ45" s="28"/>
      <c r="AK45" s="28"/>
      <c r="AL45" s="28"/>
      <c r="AM45" s="28"/>
      <c r="AN45" s="28"/>
      <c r="AO45" s="28"/>
      <c r="AP45" s="31"/>
    </row>
    <row r="46" spans="1:42" ht="15.75" x14ac:dyDescent="0.25">
      <c r="A46" s="28"/>
      <c r="B46" s="70"/>
      <c r="C46" s="70"/>
      <c r="D46" s="78" t="s">
        <v>272</v>
      </c>
      <c r="E46" s="72" t="s">
        <v>273</v>
      </c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79"/>
      <c r="AD46" s="79"/>
      <c r="AE46" s="79"/>
      <c r="AF46" s="79"/>
      <c r="AG46" s="79"/>
      <c r="AH46" s="79"/>
      <c r="AI46" s="70"/>
      <c r="AJ46" s="28"/>
      <c r="AK46" s="28"/>
      <c r="AL46" s="28"/>
      <c r="AM46" s="28"/>
      <c r="AN46" s="28"/>
      <c r="AO46" s="28"/>
      <c r="AP46" s="31"/>
    </row>
    <row r="47" spans="1:42" ht="15.75" x14ac:dyDescent="0.25">
      <c r="A47" s="28"/>
      <c r="B47" s="70"/>
      <c r="C47" s="70"/>
      <c r="D47" s="80" t="s">
        <v>274</v>
      </c>
      <c r="E47" s="72" t="s">
        <v>275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70"/>
      <c r="AD47" s="70"/>
      <c r="AE47" s="70"/>
      <c r="AF47" s="70"/>
      <c r="AG47" s="70"/>
      <c r="AH47" s="70"/>
      <c r="AI47" s="70"/>
      <c r="AJ47" s="28"/>
      <c r="AK47" s="28"/>
      <c r="AL47" s="28"/>
      <c r="AM47" s="28"/>
      <c r="AN47" s="28"/>
      <c r="AO47" s="28"/>
      <c r="AP47" s="31"/>
    </row>
    <row r="48" spans="1:42" ht="15.75" x14ac:dyDescent="0.25">
      <c r="A48" s="28"/>
      <c r="B48" s="70"/>
      <c r="C48" s="70"/>
      <c r="D48" s="71"/>
      <c r="E48" s="72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70"/>
      <c r="AD48" s="70"/>
      <c r="AE48" s="70"/>
      <c r="AF48" s="70"/>
      <c r="AG48" s="70"/>
      <c r="AH48" s="70"/>
      <c r="AI48" s="70"/>
      <c r="AJ48" s="28"/>
      <c r="AK48" s="28"/>
      <c r="AL48" s="28"/>
      <c r="AM48" s="28"/>
      <c r="AN48" s="28"/>
      <c r="AO48" s="28"/>
      <c r="AP48" s="31"/>
    </row>
    <row r="49" spans="1:42" ht="15.75" x14ac:dyDescent="0.25">
      <c r="A49" s="28"/>
      <c r="B49" s="70"/>
      <c r="C49" s="70"/>
      <c r="D49" s="71"/>
      <c r="E49" s="72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76" t="str">
        <f>"Ngày "&amp;DAY(EOMONTH(AN1,0))&amp;" Tháng "&amp;MONTH(AN1)&amp;" Năm "&amp;YEAR(AN1)</f>
        <v>Ngày 30 Tháng 9 Năm 2025</v>
      </c>
      <c r="Z49" s="28"/>
      <c r="AA49" s="28"/>
      <c r="AB49" s="28"/>
      <c r="AC49" s="70"/>
      <c r="AD49" s="70"/>
      <c r="AE49" s="70"/>
      <c r="AF49" s="70"/>
      <c r="AG49" s="70"/>
      <c r="AH49" s="70"/>
      <c r="AI49" s="70"/>
      <c r="AJ49" s="28"/>
      <c r="AK49" s="28"/>
      <c r="AL49" s="28"/>
      <c r="AM49" s="28"/>
      <c r="AN49" s="28"/>
      <c r="AO49" s="28"/>
      <c r="AP49" s="31"/>
    </row>
    <row r="50" spans="1:42" ht="15.75" x14ac:dyDescent="0.25">
      <c r="A50" s="28"/>
      <c r="B50" s="70"/>
      <c r="C50" s="70"/>
      <c r="D50" s="70"/>
      <c r="E50" s="70"/>
      <c r="F50" s="97" t="s">
        <v>276</v>
      </c>
      <c r="G50" s="97"/>
      <c r="H50" s="97"/>
      <c r="I50" s="97"/>
      <c r="J50" s="97"/>
      <c r="K50" s="97"/>
      <c r="L50" s="79"/>
      <c r="M50" s="79"/>
      <c r="N50" s="79"/>
      <c r="O50" s="70"/>
      <c r="P50" s="70"/>
      <c r="Q50" s="70"/>
      <c r="R50" s="70"/>
      <c r="S50" s="70"/>
      <c r="T50" s="70"/>
      <c r="U50" s="70"/>
      <c r="V50" s="70"/>
      <c r="W50" s="97" t="s">
        <v>277</v>
      </c>
      <c r="X50" s="97"/>
      <c r="Y50" s="97"/>
      <c r="Z50" s="97"/>
      <c r="AA50" s="97"/>
      <c r="AB50" s="97"/>
      <c r="AC50" s="70"/>
      <c r="AD50" s="70"/>
      <c r="AE50" s="70"/>
      <c r="AF50" s="70"/>
      <c r="AG50" s="70"/>
      <c r="AH50" s="70"/>
      <c r="AI50" s="70"/>
      <c r="AJ50" s="28"/>
      <c r="AK50" s="28"/>
      <c r="AL50" s="28"/>
      <c r="AM50" s="28"/>
      <c r="AN50" s="28"/>
      <c r="AO50" s="28"/>
      <c r="AP50" s="31"/>
    </row>
    <row r="51" spans="1:42" x14ac:dyDescent="0.25">
      <c r="A51" s="28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28"/>
      <c r="AK51" s="28"/>
      <c r="AL51" s="28"/>
      <c r="AM51" s="28"/>
      <c r="AN51" s="28"/>
      <c r="AO51" s="28"/>
      <c r="AP51" s="31"/>
    </row>
    <row r="52" spans="1:42" x14ac:dyDescent="0.25">
      <c r="A52" s="28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28"/>
      <c r="AK52" s="28"/>
      <c r="AL52" s="28"/>
      <c r="AM52" s="28"/>
      <c r="AN52" s="28"/>
      <c r="AO52" s="28"/>
      <c r="AP52" s="31"/>
    </row>
    <row r="53" spans="1:42" x14ac:dyDescent="0.25">
      <c r="A53" s="28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28"/>
      <c r="AK53" s="28"/>
      <c r="AL53" s="28"/>
      <c r="AM53" s="28"/>
      <c r="AN53" s="28"/>
      <c r="AO53" s="28"/>
      <c r="AP53" s="31"/>
    </row>
    <row r="54" spans="1:42" x14ac:dyDescent="0.25">
      <c r="A54" s="28"/>
      <c r="B54" s="70"/>
      <c r="C54" s="70"/>
      <c r="D54" s="70"/>
      <c r="E54" s="70"/>
      <c r="F54" s="81"/>
      <c r="G54" s="81"/>
      <c r="H54" s="81"/>
      <c r="I54" s="81"/>
      <c r="J54" s="81"/>
      <c r="K54" s="81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81"/>
      <c r="X54" s="81"/>
      <c r="Y54" s="81"/>
      <c r="Z54" s="81"/>
      <c r="AA54" s="81"/>
      <c r="AB54" s="81"/>
      <c r="AC54" s="70"/>
      <c r="AD54" s="70"/>
      <c r="AE54" s="70"/>
      <c r="AF54" s="70"/>
      <c r="AG54" s="70"/>
      <c r="AH54" s="70"/>
      <c r="AI54" s="70"/>
      <c r="AJ54" s="28"/>
      <c r="AK54" s="28"/>
      <c r="AL54" s="28"/>
      <c r="AM54" s="28"/>
      <c r="AN54" s="28"/>
      <c r="AO54" s="28"/>
      <c r="AP54" s="31"/>
    </row>
    <row r="55" spans="1:42" x14ac:dyDescent="0.25">
      <c r="A55" s="28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28"/>
      <c r="AK55" s="28"/>
      <c r="AL55" s="28"/>
      <c r="AM55" s="28"/>
      <c r="AN55" s="28"/>
      <c r="AO55" s="28"/>
      <c r="AP55" s="31"/>
    </row>
    <row r="56" spans="1:42" ht="15.75" x14ac:dyDescent="0.25">
      <c r="A56" s="28"/>
      <c r="B56" s="70"/>
      <c r="C56" s="70"/>
      <c r="D56" s="70"/>
      <c r="E56" s="70"/>
      <c r="F56" s="97" t="s">
        <v>187</v>
      </c>
      <c r="G56" s="97"/>
      <c r="H56" s="97"/>
      <c r="I56" s="97"/>
      <c r="J56" s="97"/>
      <c r="K56" s="97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97" t="s">
        <v>278</v>
      </c>
      <c r="X56" s="97"/>
      <c r="Y56" s="97"/>
      <c r="Z56" s="97"/>
      <c r="AA56" s="97"/>
      <c r="AB56" s="97"/>
      <c r="AC56" s="70"/>
      <c r="AD56" s="70"/>
      <c r="AE56" s="70"/>
      <c r="AF56" s="70"/>
      <c r="AG56" s="70"/>
      <c r="AH56" s="70"/>
      <c r="AI56" s="70"/>
      <c r="AJ56" s="28"/>
      <c r="AK56" s="28"/>
      <c r="AL56" s="28"/>
      <c r="AM56" s="28"/>
      <c r="AN56" s="28"/>
      <c r="AO56" s="28"/>
      <c r="AP56" s="31"/>
    </row>
  </sheetData>
  <mergeCells count="18">
    <mergeCell ref="B3:B4"/>
    <mergeCell ref="C3:C4"/>
    <mergeCell ref="AI3:AI4"/>
    <mergeCell ref="AJ3:AJ4"/>
    <mergeCell ref="AK3:AK4"/>
    <mergeCell ref="AP3:AP4"/>
    <mergeCell ref="F50:K50"/>
    <mergeCell ref="W50:AB50"/>
    <mergeCell ref="C1:AK1"/>
    <mergeCell ref="AN1:AO1"/>
    <mergeCell ref="R2:S2"/>
    <mergeCell ref="U2:W2"/>
    <mergeCell ref="AL3:AL4"/>
    <mergeCell ref="F56:K56"/>
    <mergeCell ref="W56:AB56"/>
    <mergeCell ref="AM3:AM4"/>
    <mergeCell ref="AN3:AN4"/>
    <mergeCell ref="AO3:AO4"/>
  </mergeCells>
  <conditionalFormatting sqref="C8">
    <cfRule type="duplicateValues" dxfId="40" priority="41"/>
  </conditionalFormatting>
  <conditionalFormatting sqref="C9">
    <cfRule type="duplicateValues" dxfId="39" priority="43"/>
  </conditionalFormatting>
  <conditionalFormatting sqref="C10:C12">
    <cfRule type="duplicateValues" dxfId="38" priority="42"/>
  </conditionalFormatting>
  <conditionalFormatting sqref="C14">
    <cfRule type="duplicateValues" dxfId="37" priority="34"/>
  </conditionalFormatting>
  <conditionalFormatting sqref="C15">
    <cfRule type="duplicateValues" dxfId="36" priority="33"/>
  </conditionalFormatting>
  <conditionalFormatting sqref="C24">
    <cfRule type="duplicateValues" dxfId="35" priority="32"/>
  </conditionalFormatting>
  <conditionalFormatting sqref="D27:AF27">
    <cfRule type="containsText" dxfId="34" priority="49" operator="containsText" text="CN">
      <formula>NOT(ISERROR(SEARCH("CN",D27)))</formula>
    </cfRule>
  </conditionalFormatting>
  <conditionalFormatting sqref="D6:AH13 D28:AH35">
    <cfRule type="containsText" dxfId="33" priority="36" operator="containsText" text="CN">
      <formula>NOT(ISERROR(SEARCH("CN",D6)))</formula>
    </cfRule>
    <cfRule type="containsText" dxfId="32" priority="37" operator="containsText" text="1/2P">
      <formula>NOT(ISERROR(SEARCH("1/2P",D6)))</formula>
    </cfRule>
    <cfRule type="containsText" dxfId="31" priority="38" operator="containsText" text="1/2">
      <formula>NOT(ISERROR(SEARCH("1/2",D6)))</formula>
    </cfRule>
    <cfRule type="containsText" dxfId="30" priority="39" operator="containsText" text="P">
      <formula>NOT(ISERROR(SEARCH("P",D6)))</formula>
    </cfRule>
    <cfRule type="containsText" dxfId="29" priority="40" operator="containsText" text="v">
      <formula>NOT(ISERROR(SEARCH("v",D6)))</formula>
    </cfRule>
  </conditionalFormatting>
  <conditionalFormatting sqref="D6:AH13">
    <cfRule type="containsText" dxfId="28" priority="35" operator="containsText" text="1/2CP">
      <formula>NOT(ISERROR(SEARCH("1/2CP",D6)))</formula>
    </cfRule>
  </conditionalFormatting>
  <conditionalFormatting sqref="D27:AH35">
    <cfRule type="containsText" dxfId="27" priority="14" operator="containsText" text="1/2CP">
      <formula>NOT(ISERROR(SEARCH("1/2CP",D27)))</formula>
    </cfRule>
  </conditionalFormatting>
  <conditionalFormatting sqref="D27:AH27">
    <cfRule type="containsText" dxfId="26" priority="50" operator="containsText" text="1/2P">
      <formula>NOT(ISERROR(SEARCH("1/2P",D27)))</formula>
    </cfRule>
    <cfRule type="containsText" dxfId="25" priority="51" operator="containsText" text="1/2">
      <formula>NOT(ISERROR(SEARCH("1/2",D27)))</formula>
    </cfRule>
    <cfRule type="containsText" dxfId="24" priority="53" operator="containsText" text="v">
      <formula>NOT(ISERROR(SEARCH("v",D27)))</formula>
    </cfRule>
  </conditionalFormatting>
  <conditionalFormatting sqref="D14:AP14">
    <cfRule type="containsText" dxfId="23" priority="26" operator="containsText" text="1/2CP">
      <formula>NOT(ISERROR(SEARCH("1/2CP",D14)))</formula>
    </cfRule>
    <cfRule type="containsText" dxfId="22" priority="27" operator="containsText" text="CN">
      <formula>NOT(ISERROR(SEARCH("CN",D14)))</formula>
    </cfRule>
    <cfRule type="containsText" dxfId="21" priority="28" operator="containsText" text="1/2P">
      <formula>NOT(ISERROR(SEARCH("1/2P",D14)))</formula>
    </cfRule>
    <cfRule type="containsText" dxfId="20" priority="29" operator="containsText" text="1/2">
      <formula>NOT(ISERROR(SEARCH("1/2",D14)))</formula>
    </cfRule>
    <cfRule type="containsText" dxfId="19" priority="31" operator="containsText" text="v">
      <formula>NOT(ISERROR(SEARCH("v",D14)))</formula>
    </cfRule>
  </conditionalFormatting>
  <conditionalFormatting sqref="E27:AH27">
    <cfRule type="containsText" dxfId="18" priority="52" operator="containsText" text="P">
      <formula>NOT(ISERROR(SEARCH("P",E27)))</formula>
    </cfRule>
  </conditionalFormatting>
  <conditionalFormatting sqref="E14:AP14">
    <cfRule type="containsText" dxfId="17" priority="30" operator="containsText" text="P">
      <formula>NOT(ISERROR(SEARCH("P",E14)))</formula>
    </cfRule>
  </conditionalFormatting>
  <conditionalFormatting sqref="AI27:AK27">
    <cfRule type="containsText" dxfId="16" priority="44" operator="containsText" text="1/2CP">
      <formula>NOT(ISERROR(SEARCH("1/2CP",AI27)))</formula>
    </cfRule>
    <cfRule type="containsText" dxfId="15" priority="45" operator="containsText" text="1/2P">
      <formula>NOT(ISERROR(SEARCH("1/2P",AI27)))</formula>
    </cfRule>
    <cfRule type="containsText" dxfId="14" priority="46" operator="containsText" text="1/2">
      <formula>NOT(ISERROR(SEARCH("1/2",AI27)))</formula>
    </cfRule>
    <cfRule type="containsText" dxfId="13" priority="47" operator="containsText" text="P">
      <formula>NOT(ISERROR(SEARCH("P",AI27)))</formula>
    </cfRule>
    <cfRule type="containsText" dxfId="12" priority="48" operator="containsText" text="v">
      <formula>NOT(ISERROR(SEARCH("v",AI27)))</formula>
    </cfRule>
  </conditionalFormatting>
  <conditionalFormatting sqref="AI3:AP3">
    <cfRule type="expression" dxfId="11" priority="54" stopIfTrue="1">
      <formula>"weekdey(r2,u2,1)&gt;5"</formula>
    </cfRule>
  </conditionalFormatting>
  <conditionalFormatting sqref="D15:AH26">
    <cfRule type="containsText" dxfId="10" priority="3" operator="containsText" text="CN">
      <formula>NOT(ISERROR(SEARCH("CN",D15)))</formula>
    </cfRule>
    <cfRule type="containsText" dxfId="9" priority="4" operator="containsText" text="1/2P">
      <formula>NOT(ISERROR(SEARCH("1/2P",D15)))</formula>
    </cfRule>
    <cfRule type="containsText" dxfId="8" priority="5" operator="containsText" text="1/2">
      <formula>NOT(ISERROR(SEARCH("1/2",D15)))</formula>
    </cfRule>
    <cfRule type="containsText" dxfId="7" priority="6" operator="containsText" text="P">
      <formula>NOT(ISERROR(SEARCH("P",D15)))</formula>
    </cfRule>
    <cfRule type="containsText" dxfId="6" priority="7" operator="containsText" text="v">
      <formula>NOT(ISERROR(SEARCH("v",D15)))</formula>
    </cfRule>
  </conditionalFormatting>
  <conditionalFormatting sqref="D15:AH26">
    <cfRule type="containsText" dxfId="5" priority="2" operator="containsText" text="1/2CP">
      <formula>NOT(ISERROR(SEARCH("1/2CP",D15)))</formula>
    </cfRule>
  </conditionalFormatting>
  <conditionalFormatting sqref="D28:AH35">
    <cfRule type="containsText" dxfId="4" priority="1" operator="containsText" text="1/2CP">
      <formula>NOT(ISERROR(SEARCH("1/2CP",D28)))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A4E23-A01B-4367-9EC2-FB41B0BE8399}">
  <dimension ref="A1:AI32"/>
  <sheetViews>
    <sheetView workbookViewId="0">
      <selection activeCell="C11" sqref="C11"/>
    </sheetView>
  </sheetViews>
  <sheetFormatPr defaultRowHeight="15" x14ac:dyDescent="0.25"/>
  <cols>
    <col min="1" max="1" width="12.140625" bestFit="1" customWidth="1"/>
    <col min="2" max="2" width="11" bestFit="1" customWidth="1"/>
    <col min="3" max="3" width="23" bestFit="1" customWidth="1"/>
    <col min="4" max="4" width="10.140625" bestFit="1" customWidth="1"/>
    <col min="5" max="5" width="11.7109375" customWidth="1"/>
    <col min="6" max="6" width="20.85546875" bestFit="1" customWidth="1"/>
    <col min="7" max="7" width="19.5703125" customWidth="1"/>
    <col min="8" max="8" width="11.42578125" style="91" bestFit="1" customWidth="1"/>
    <col min="9" max="10" width="7.85546875" bestFit="1" customWidth="1"/>
    <col min="11" max="11" width="11.7109375" customWidth="1"/>
    <col min="12" max="12" width="10" customWidth="1"/>
    <col min="13" max="13" width="11.7109375" customWidth="1"/>
    <col min="14" max="14" width="7.42578125" customWidth="1"/>
    <col min="15" max="17" width="10" customWidth="1"/>
    <col min="18" max="18" width="8" customWidth="1"/>
    <col min="19" max="19" width="19.7109375" bestFit="1" customWidth="1"/>
    <col min="20" max="20" width="12.140625" customWidth="1"/>
    <col min="21" max="21" width="12.140625" style="82" customWidth="1"/>
    <col min="22" max="22" width="13.42578125" bestFit="1" customWidth="1"/>
    <col min="23" max="23" width="13.7109375" style="10" bestFit="1" customWidth="1"/>
    <col min="24" max="24" width="13.42578125" style="10" customWidth="1"/>
    <col min="25" max="25" width="13.140625" style="10" bestFit="1" customWidth="1"/>
    <col min="26" max="26" width="11.85546875" style="10" bestFit="1" customWidth="1"/>
    <col min="28" max="28" width="9.140625" style="12"/>
    <col min="29" max="29" width="16" style="12" bestFit="1" customWidth="1"/>
    <col min="30" max="30" width="9.140625" style="12"/>
    <col min="32" max="32" width="18.140625" style="24" bestFit="1" customWidth="1"/>
    <col min="33" max="33" width="43.7109375" style="24" bestFit="1" customWidth="1"/>
    <col min="34" max="34" width="27.42578125" bestFit="1" customWidth="1"/>
    <col min="35" max="35" width="65.140625" bestFit="1" customWidth="1"/>
  </cols>
  <sheetData>
    <row r="1" spans="1:35" ht="13.5" customHeight="1" x14ac:dyDescent="0.25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8"/>
      <c r="R1" s="84" t="s">
        <v>18</v>
      </c>
      <c r="S1" s="84" t="s">
        <v>70</v>
      </c>
      <c r="T1" s="84" t="s">
        <v>88</v>
      </c>
      <c r="U1" s="84" t="s">
        <v>106</v>
      </c>
      <c r="V1" s="84" t="s">
        <v>125</v>
      </c>
      <c r="W1" s="84" t="s">
        <v>143</v>
      </c>
      <c r="X1" s="84" t="s">
        <v>157</v>
      </c>
      <c r="Y1" s="84" t="s">
        <v>159</v>
      </c>
      <c r="Z1" s="84" t="s">
        <v>160</v>
      </c>
      <c r="AA1" s="84" t="s">
        <v>55</v>
      </c>
      <c r="AB1" s="84" t="s">
        <v>56</v>
      </c>
      <c r="AC1" s="84" t="s">
        <v>57</v>
      </c>
      <c r="AD1" s="84" t="s">
        <v>58</v>
      </c>
      <c r="AE1" s="84" t="s">
        <v>59</v>
      </c>
      <c r="AF1" s="84" t="s">
        <v>61</v>
      </c>
      <c r="AG1" s="84" t="s">
        <v>63</v>
      </c>
      <c r="AH1" s="84" t="s">
        <v>65</v>
      </c>
      <c r="AI1" s="84" t="s">
        <v>67</v>
      </c>
    </row>
    <row r="2" spans="1:35" s="18" customFormat="1" ht="30" x14ac:dyDescent="0.25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  <c r="L2" s="15" t="s">
        <v>12</v>
      </c>
      <c r="M2" s="15" t="s">
        <v>13</v>
      </c>
      <c r="N2" s="15" t="s">
        <v>14</v>
      </c>
      <c r="O2" s="15" t="s">
        <v>15</v>
      </c>
      <c r="P2" s="15" t="s">
        <v>16</v>
      </c>
      <c r="Q2" s="15" t="s">
        <v>17</v>
      </c>
      <c r="R2" s="16" t="s">
        <v>280</v>
      </c>
      <c r="S2" s="16" t="s">
        <v>196</v>
      </c>
      <c r="T2" s="16" t="s">
        <v>202</v>
      </c>
      <c r="U2" s="83" t="s">
        <v>279</v>
      </c>
      <c r="V2" s="16" t="s">
        <v>201</v>
      </c>
      <c r="W2" s="17" t="s">
        <v>209</v>
      </c>
      <c r="X2" s="17" t="s">
        <v>210</v>
      </c>
      <c r="Y2" s="17" t="s">
        <v>212</v>
      </c>
      <c r="Z2" s="17" t="s">
        <v>213</v>
      </c>
      <c r="AA2" s="18" t="s">
        <v>207</v>
      </c>
      <c r="AB2" s="13" t="s">
        <v>208</v>
      </c>
      <c r="AC2" s="13" t="s">
        <v>240</v>
      </c>
      <c r="AD2" s="13" t="s">
        <v>71</v>
      </c>
      <c r="AE2" s="13" t="s">
        <v>214</v>
      </c>
      <c r="AF2" s="25" t="s">
        <v>243</v>
      </c>
      <c r="AG2" s="25" t="s">
        <v>244</v>
      </c>
      <c r="AH2" s="13" t="s">
        <v>241</v>
      </c>
      <c r="AI2" s="13" t="s">
        <v>242</v>
      </c>
    </row>
    <row r="3" spans="1:35" x14ac:dyDescent="0.25">
      <c r="A3" s="4" t="s">
        <v>151</v>
      </c>
      <c r="B3" s="1" t="s">
        <v>152</v>
      </c>
      <c r="C3" s="1" t="s">
        <v>19</v>
      </c>
      <c r="D3" s="1" t="s">
        <v>20</v>
      </c>
      <c r="E3" s="1" t="s">
        <v>21</v>
      </c>
      <c r="F3" s="1" t="s">
        <v>22</v>
      </c>
      <c r="G3" s="1" t="s">
        <v>12</v>
      </c>
      <c r="H3" s="1" t="s">
        <v>23</v>
      </c>
      <c r="I3" s="1" t="s">
        <v>23</v>
      </c>
      <c r="J3" s="1" t="s">
        <v>24</v>
      </c>
      <c r="K3" s="1" t="s">
        <v>24</v>
      </c>
      <c r="L3" s="1" t="s">
        <v>25</v>
      </c>
      <c r="M3" s="1" t="s">
        <v>24</v>
      </c>
      <c r="N3" s="1" t="s">
        <v>24</v>
      </c>
      <c r="O3" s="1" t="s">
        <v>24</v>
      </c>
      <c r="P3" s="1" t="s">
        <v>24</v>
      </c>
      <c r="Q3" s="1" t="s">
        <v>24</v>
      </c>
      <c r="R3" s="85" t="str">
        <f t="shared" ref="R3:R32" si="0">A3&amp;U3</f>
        <v>6545901</v>
      </c>
      <c r="S3" t="str">
        <f>VLOOKUP(A3,Data_NV!$A:$C,3,0)</f>
        <v>Lý Kim Hồ</v>
      </c>
      <c r="T3" t="str">
        <f>VLOOKUP(A3,Data_NV!$A:$E,4,0)</f>
        <v>Kế toán - Văn phòng</v>
      </c>
      <c r="U3" s="82">
        <f>DATEVALUE(Table2[[#This Row],[Ngày]])</f>
        <v>45901</v>
      </c>
      <c r="V3" t="str">
        <f>VLOOKUP(A3,Data_NV!$A:$E,5,0)</f>
        <v>Đang làm việc</v>
      </c>
      <c r="W3" s="10">
        <f>VLOOKUP(A3,Data_NV!$A:$I,8,0)</f>
        <v>0.33333333333333331</v>
      </c>
      <c r="X3" s="10">
        <f>VLOOKUP(A3,Data_NV!$A:$I,9,0)</f>
        <v>0.70833333333333337</v>
      </c>
      <c r="Y3" s="10">
        <f>IFERROR(TIMEVALUE(Table2[[#This Row],[Vào]]),0)</f>
        <v>0</v>
      </c>
      <c r="Z3" s="10">
        <f>IFERROR(TIMEVALUE(Table2[[#This Row],[Ra]]),0)</f>
        <v>0</v>
      </c>
      <c r="AA3" s="108"/>
      <c r="AB3" s="12">
        <f t="shared" ref="AB3:AB28" si="1">IF(Y3&lt;=W3,0,ROUNDDOWN((Y3-W3)*24*60,0))</f>
        <v>0</v>
      </c>
      <c r="AC3" s="12" t="str">
        <f>IF(VLOOKUP(A3,Data_NV!$A:$I,7,0)="Không","",IF(OR(AND(Y3=0,Z3=0),AND(Y3&lt;&gt;0,Z3&lt;&gt;0)),"","Quên chấm công"))</f>
        <v/>
      </c>
      <c r="AD3" s="12">
        <f>IF(VLOOKUP(A3,Data_NV!$A:$I,7,0)="Không",0,IF(AND(Y3=0,Z3=0),0,IF(X3&lt;=Z3,0,ROUNDDOWN((X3-Z3)*24*60,0))))</f>
        <v>0</v>
      </c>
      <c r="AE3" s="12">
        <f>IF(VLOOKUP(A3,Data_NV!$A:$I,6,0)="Không",0,IF(Z3&lt;=X3,0,ROUNDDOWN((Z3-X3)*24*60,0)))</f>
        <v>0</v>
      </c>
      <c r="AF3" s="26">
        <f t="shared" ref="AF3:AF32" si="2">IF(AB3&gt;60,"Trừ 1/2 ngày lương",IF(AB3&gt;15,50000,IF(AB3&gt;6,30000,0)))</f>
        <v>0</v>
      </c>
      <c r="AG3" s="27" t="str">
        <f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f>
        <v/>
      </c>
      <c r="AH3" s="12" t="str">
        <f>IF(AF3=0,"",IF(COUNTIFS($AF$3:AF3,"&gt;0",$S$3:S3,S3)&gt;3,"Trừ toàn bộ chuyên cần tháng",""))</f>
        <v/>
      </c>
      <c r="AI3" s="109"/>
    </row>
    <row r="4" spans="1:35" x14ac:dyDescent="0.25">
      <c r="A4" s="4" t="s">
        <v>151</v>
      </c>
      <c r="B4" s="1" t="s">
        <v>152</v>
      </c>
      <c r="C4" s="1" t="s">
        <v>19</v>
      </c>
      <c r="D4" s="1" t="s">
        <v>26</v>
      </c>
      <c r="E4" s="1" t="s">
        <v>21</v>
      </c>
      <c r="F4" s="1" t="s">
        <v>22</v>
      </c>
      <c r="G4" s="1" t="s">
        <v>12</v>
      </c>
      <c r="H4" s="1" t="s">
        <v>23</v>
      </c>
      <c r="I4" s="1" t="s">
        <v>23</v>
      </c>
      <c r="J4" s="1" t="s">
        <v>24</v>
      </c>
      <c r="K4" s="1" t="s">
        <v>24</v>
      </c>
      <c r="L4" s="1" t="s">
        <v>25</v>
      </c>
      <c r="M4" s="1" t="s">
        <v>24</v>
      </c>
      <c r="N4" s="1" t="s">
        <v>24</v>
      </c>
      <c r="O4" s="1" t="s">
        <v>24</v>
      </c>
      <c r="P4" s="1" t="s">
        <v>24</v>
      </c>
      <c r="Q4" s="1" t="s">
        <v>24</v>
      </c>
      <c r="R4" s="85" t="str">
        <f t="shared" si="0"/>
        <v>6545902</v>
      </c>
      <c r="S4" t="str">
        <f>VLOOKUP(A4,Data_NV!$A:$C,3,0)</f>
        <v>Lý Kim Hồ</v>
      </c>
      <c r="T4" t="str">
        <f>VLOOKUP(A4,Data_NV!$A:$E,4,0)</f>
        <v>Kế toán - Văn phòng</v>
      </c>
      <c r="U4" s="82">
        <f>DATEVALUE(Table2[[#This Row],[Ngày]])</f>
        <v>45902</v>
      </c>
      <c r="V4" t="str">
        <f>VLOOKUP(A4,Data_NV!$A:$E,5,0)</f>
        <v>Đang làm việc</v>
      </c>
      <c r="W4" s="10">
        <f>VLOOKUP(A4,Data_NV!$A:$I,8,0)</f>
        <v>0.33333333333333331</v>
      </c>
      <c r="X4" s="10">
        <f>VLOOKUP(A4,Data_NV!$A:$I,9,0)</f>
        <v>0.70833333333333337</v>
      </c>
      <c r="Y4" s="10">
        <f>IFERROR(TIMEVALUE(Table2[[#This Row],[Vào]]),0)</f>
        <v>0</v>
      </c>
      <c r="Z4" s="10">
        <f>IFERROR(TIMEVALUE(Table2[[#This Row],[Ra]]),0)</f>
        <v>0</v>
      </c>
      <c r="AA4" s="108"/>
      <c r="AB4" s="12">
        <f t="shared" si="1"/>
        <v>0</v>
      </c>
      <c r="AC4" s="12" t="str">
        <f>IF(VLOOKUP(A4,Data_NV!$A:$I,7,0)="Không","",IF(OR(AND(Y4=0,Z4=0),AND(Y4&lt;&gt;0,Z4&lt;&gt;0)),"","Quên chấm công"))</f>
        <v/>
      </c>
      <c r="AD4" s="12">
        <f>IF(VLOOKUP(A4,Data_NV!$A:$I,7,0)="Không",0,IF(AND(Y4=0,Z4=0),0,IF(X4&lt;=Z4,0,ROUNDDOWN((X4-Z4)*24*60,0))))</f>
        <v>0</v>
      </c>
      <c r="AE4" s="12">
        <f>IF(VLOOKUP(A4,Data_NV!$A:$I,6,0)="Không",0,IF(Z4&lt;=X4,0,ROUNDDOWN((Z4-X4)*24*60,0)))</f>
        <v>0</v>
      </c>
      <c r="AF4" s="26">
        <f t="shared" si="2"/>
        <v>0</v>
      </c>
      <c r="AG4" s="27" t="str">
        <f>IF(AC4="","",IF(COUNTIFS($AC$3:AC4,"Quên chấm công",$S$3:S4,S4)&gt;3,"Không chấm công do vi phạm quá 3 lần",IF(COUNTIFS($AC$3:AC4,"Quên chấm công",$S$3:S4,S4)&gt;2,"Trừ toàn bộ chuyên cần tháng do vi phạm lần 3",IF(COUNTIFS($AC$3:AC4,"Quên chấm công",$S$3:S4,S4)&gt;1,"Trừ 1/2 ngày lương",50000))))</f>
        <v/>
      </c>
      <c r="AH4" s="12" t="str">
        <f>IF(AF4=0,"",IF(COUNTIFS($AF$3:AF4,"&gt;0",$S$3:S4,S4)&gt;3,"Trừ toàn bộ chuyên cần tháng",""))</f>
        <v/>
      </c>
      <c r="AI4" s="109"/>
    </row>
    <row r="5" spans="1:35" x14ac:dyDescent="0.25">
      <c r="A5" s="4" t="s">
        <v>151</v>
      </c>
      <c r="B5" s="1" t="s">
        <v>152</v>
      </c>
      <c r="C5" s="1" t="s">
        <v>19</v>
      </c>
      <c r="D5" s="1" t="s">
        <v>27</v>
      </c>
      <c r="E5" s="1" t="s">
        <v>21</v>
      </c>
      <c r="F5" s="1" t="s">
        <v>22</v>
      </c>
      <c r="G5" s="1" t="s">
        <v>12</v>
      </c>
      <c r="H5" s="1" t="s">
        <v>23</v>
      </c>
      <c r="I5" s="1" t="s">
        <v>23</v>
      </c>
      <c r="J5" s="1" t="s">
        <v>24</v>
      </c>
      <c r="K5" s="1" t="s">
        <v>24</v>
      </c>
      <c r="L5" s="1" t="s">
        <v>25</v>
      </c>
      <c r="M5" s="1" t="s">
        <v>24</v>
      </c>
      <c r="N5" s="1" t="s">
        <v>24</v>
      </c>
      <c r="O5" s="1" t="s">
        <v>24</v>
      </c>
      <c r="P5" s="1" t="s">
        <v>24</v>
      </c>
      <c r="Q5" s="1" t="s">
        <v>24</v>
      </c>
      <c r="R5" s="85" t="str">
        <f t="shared" si="0"/>
        <v>6545903</v>
      </c>
      <c r="S5" t="str">
        <f>VLOOKUP(A5,Data_NV!$A:$C,3,0)</f>
        <v>Lý Kim Hồ</v>
      </c>
      <c r="T5" t="str">
        <f>VLOOKUP(A5,Data_NV!$A:$E,4,0)</f>
        <v>Kế toán - Văn phòng</v>
      </c>
      <c r="U5" s="82">
        <f>DATEVALUE(Table2[[#This Row],[Ngày]])</f>
        <v>45903</v>
      </c>
      <c r="V5" t="str">
        <f>VLOOKUP(A5,Data_NV!$A:$E,5,0)</f>
        <v>Đang làm việc</v>
      </c>
      <c r="W5" s="10">
        <f>VLOOKUP(A5,Data_NV!$A:$I,8,0)</f>
        <v>0.33333333333333331</v>
      </c>
      <c r="X5" s="10">
        <f>VLOOKUP(A5,Data_NV!$A:$I,9,0)</f>
        <v>0.70833333333333337</v>
      </c>
      <c r="Y5" s="10">
        <f>IFERROR(TIMEVALUE(Table2[[#This Row],[Vào]]),0)</f>
        <v>0</v>
      </c>
      <c r="Z5" s="10">
        <f>IFERROR(TIMEVALUE(Table2[[#This Row],[Ra]]),0)</f>
        <v>0</v>
      </c>
      <c r="AA5" t="str">
        <f t="shared" ref="AA5:AA32" si="3">IF(TEXT($U5,"ddd")="CN","Chủ nhật",IF(OR(AND(Y5=0,Z5=0),AG5="Không chấm công do vi phạm quá 3 lần"),"",IF(OR(AG5="Trừ 1/2 ngày lương",AF5="Trừ 1/2 ngày lương",AB5&gt;=60),"1/2","x")))</f>
        <v/>
      </c>
      <c r="AB5" s="12">
        <f t="shared" si="1"/>
        <v>0</v>
      </c>
      <c r="AC5" s="12" t="str">
        <f>IF(VLOOKUP(A5,Data_NV!$A:$I,7,0)="Không","",IF(OR(AND(Y5=0,Z5=0),AND(Y5&lt;&gt;0,Z5&lt;&gt;0)),"","Quên chấm công"))</f>
        <v/>
      </c>
      <c r="AD5" s="12">
        <f>IF(VLOOKUP(A5,Data_NV!$A:$I,7,0)="Không",0,IF(AND(Y5=0,Z5=0),0,IF(X5&lt;=Z5,0,ROUNDDOWN((X5-Z5)*24*60,0))))</f>
        <v>0</v>
      </c>
      <c r="AE5" s="12">
        <f>IF(VLOOKUP(A5,Data_NV!$A:$I,6,0)="Không",0,IF(Z5&lt;=X5,0,ROUNDDOWN((Z5-X5)*24*60,0)))</f>
        <v>0</v>
      </c>
      <c r="AF5" s="26">
        <f t="shared" si="2"/>
        <v>0</v>
      </c>
      <c r="AG5" s="27" t="str">
        <f>IF(AC5="","",IF(COUNTIFS($AC$3:AC5,"Quên chấm công",$S$3:S5,S5)&gt;3,"Không chấm công do vi phạm quá 3 lần",IF(COUNTIFS($AC$3:AC5,"Quên chấm công",$S$3:S5,S5)&gt;2,"Trừ toàn bộ chuyên cần tháng do vi phạm lần 3",IF(COUNTIFS($AC$3:AC5,"Quên chấm công",$S$3:S5,S5)&gt;1,"Trừ 1/2 ngày lương",50000))))</f>
        <v/>
      </c>
      <c r="AH5" s="12" t="str">
        <f>IF(AF5=0,"",IF(COUNTIFS($AF$3:AF5,"&gt;0",$S$3:S5,S5)&gt;3,"Trừ toàn bộ chuyên cần tháng",""))</f>
        <v/>
      </c>
      <c r="AI5" s="109"/>
    </row>
    <row r="6" spans="1:35" x14ac:dyDescent="0.25">
      <c r="A6" s="4" t="s">
        <v>151</v>
      </c>
      <c r="B6" s="1" t="s">
        <v>152</v>
      </c>
      <c r="C6" s="1" t="s">
        <v>19</v>
      </c>
      <c r="D6" s="1" t="s">
        <v>28</v>
      </c>
      <c r="E6" s="1" t="s">
        <v>21</v>
      </c>
      <c r="F6" s="1" t="s">
        <v>22</v>
      </c>
      <c r="G6" s="1" t="s">
        <v>12</v>
      </c>
      <c r="H6" s="1" t="s">
        <v>23</v>
      </c>
      <c r="I6" s="1" t="s">
        <v>23</v>
      </c>
      <c r="J6" s="1" t="s">
        <v>24</v>
      </c>
      <c r="K6" s="1" t="s">
        <v>24</v>
      </c>
      <c r="L6" s="1" t="s">
        <v>25</v>
      </c>
      <c r="M6" s="1" t="s">
        <v>24</v>
      </c>
      <c r="N6" s="1" t="s">
        <v>24</v>
      </c>
      <c r="O6" s="1" t="s">
        <v>24</v>
      </c>
      <c r="P6" s="1" t="s">
        <v>24</v>
      </c>
      <c r="Q6" s="1" t="s">
        <v>24</v>
      </c>
      <c r="R6" s="85" t="str">
        <f t="shared" si="0"/>
        <v>6545904</v>
      </c>
      <c r="S6" t="str">
        <f>VLOOKUP(A6,Data_NV!$A:$C,3,0)</f>
        <v>Lý Kim Hồ</v>
      </c>
      <c r="T6" t="str">
        <f>VLOOKUP(A6,Data_NV!$A:$E,4,0)</f>
        <v>Kế toán - Văn phòng</v>
      </c>
      <c r="U6" s="82">
        <f>DATEVALUE(Table2[[#This Row],[Ngày]])</f>
        <v>45904</v>
      </c>
      <c r="V6" t="str">
        <f>VLOOKUP(A6,Data_NV!$A:$E,5,0)</f>
        <v>Đang làm việc</v>
      </c>
      <c r="W6" s="10">
        <f>VLOOKUP(A6,Data_NV!$A:$I,8,0)</f>
        <v>0.33333333333333331</v>
      </c>
      <c r="X6" s="10">
        <f>VLOOKUP(A6,Data_NV!$A:$I,9,0)</f>
        <v>0.70833333333333337</v>
      </c>
      <c r="Y6" s="10">
        <f>IFERROR(TIMEVALUE(Table2[[#This Row],[Vào]]),0)</f>
        <v>0</v>
      </c>
      <c r="Z6" s="10">
        <f>IFERROR(TIMEVALUE(Table2[[#This Row],[Ra]]),0)</f>
        <v>0</v>
      </c>
      <c r="AA6" t="str">
        <f t="shared" si="3"/>
        <v/>
      </c>
      <c r="AB6" s="12">
        <f t="shared" si="1"/>
        <v>0</v>
      </c>
      <c r="AC6" s="12" t="str">
        <f>IF(VLOOKUP(A6,Data_NV!$A:$I,7,0)="Không","",IF(OR(AND(Y6=0,Z6=0),AND(Y6&lt;&gt;0,Z6&lt;&gt;0)),"","Quên chấm công"))</f>
        <v/>
      </c>
      <c r="AD6" s="12">
        <f>IF(VLOOKUP(A6,Data_NV!$A:$I,7,0)="Không",0,IF(AND(Y6=0,Z6=0),0,IF(X6&lt;=Z6,0,ROUNDDOWN((X6-Z6)*24*60,0))))</f>
        <v>0</v>
      </c>
      <c r="AE6" s="12">
        <f>IF(VLOOKUP(A6,Data_NV!$A:$I,6,0)="Không",0,IF(Z6&lt;=X6,0,ROUNDDOWN((Z6-X6)*24*60,0)))</f>
        <v>0</v>
      </c>
      <c r="AF6" s="26">
        <f t="shared" si="2"/>
        <v>0</v>
      </c>
      <c r="AG6" s="27" t="str">
        <f>IF(AC6="","",IF(COUNTIFS($AC$3:AC6,"Quên chấm công",$S$3:S6,S6)&gt;3,"Không chấm công do vi phạm quá 3 lần",IF(COUNTIFS($AC$3:AC6,"Quên chấm công",$S$3:S6,S6)&gt;2,"Trừ toàn bộ chuyên cần tháng do vi phạm lần 3",IF(COUNTIFS($AC$3:AC6,"Quên chấm công",$S$3:S6,S6)&gt;1,"Trừ 1/2 ngày lương",50000))))</f>
        <v/>
      </c>
      <c r="AH6" s="12" t="str">
        <f>IF(AF6=0,"",IF(COUNTIFS($AF$3:AF6,"&gt;0",$S$3:S6,S6)&gt;3,"Trừ toàn bộ chuyên cần tháng",""))</f>
        <v/>
      </c>
      <c r="AI6" s="12"/>
    </row>
    <row r="7" spans="1:35" x14ac:dyDescent="0.25">
      <c r="A7" s="4" t="s">
        <v>151</v>
      </c>
      <c r="B7" s="1" t="s">
        <v>152</v>
      </c>
      <c r="C7" s="1" t="s">
        <v>19</v>
      </c>
      <c r="D7" s="1" t="s">
        <v>29</v>
      </c>
      <c r="E7" s="1" t="s">
        <v>21</v>
      </c>
      <c r="F7" s="1" t="s">
        <v>22</v>
      </c>
      <c r="G7" s="1" t="s">
        <v>12</v>
      </c>
      <c r="H7" s="1" t="s">
        <v>23</v>
      </c>
      <c r="I7" s="1" t="s">
        <v>23</v>
      </c>
      <c r="J7" s="1" t="s">
        <v>24</v>
      </c>
      <c r="K7" s="1" t="s">
        <v>24</v>
      </c>
      <c r="L7" s="1" t="s">
        <v>25</v>
      </c>
      <c r="M7" s="1" t="s">
        <v>24</v>
      </c>
      <c r="N7" s="1" t="s">
        <v>24</v>
      </c>
      <c r="O7" s="1" t="s">
        <v>24</v>
      </c>
      <c r="P7" s="1" t="s">
        <v>24</v>
      </c>
      <c r="Q7" s="1" t="s">
        <v>24</v>
      </c>
      <c r="R7" s="85" t="str">
        <f t="shared" si="0"/>
        <v>6545905</v>
      </c>
      <c r="S7" t="str">
        <f>VLOOKUP(A7,Data_NV!$A:$C,3,0)</f>
        <v>Lý Kim Hồ</v>
      </c>
      <c r="T7" t="str">
        <f>VLOOKUP(A7,Data_NV!$A:$E,4,0)</f>
        <v>Kế toán - Văn phòng</v>
      </c>
      <c r="U7" s="82">
        <f>DATEVALUE(Table2[[#This Row],[Ngày]])</f>
        <v>45905</v>
      </c>
      <c r="V7" t="str">
        <f>VLOOKUP(A7,Data_NV!$A:$E,5,0)</f>
        <v>Đang làm việc</v>
      </c>
      <c r="W7" s="10">
        <f>VLOOKUP(A7,Data_NV!$A:$I,8,0)</f>
        <v>0.33333333333333331</v>
      </c>
      <c r="X7" s="10">
        <f>VLOOKUP(A7,Data_NV!$A:$I,9,0)</f>
        <v>0.70833333333333337</v>
      </c>
      <c r="Y7" s="10">
        <f>IFERROR(TIMEVALUE(Table2[[#This Row],[Vào]]),0)</f>
        <v>0</v>
      </c>
      <c r="Z7" s="10">
        <f>IFERROR(TIMEVALUE(Table2[[#This Row],[Ra]]),0)</f>
        <v>0</v>
      </c>
      <c r="AA7" t="str">
        <f t="shared" si="3"/>
        <v/>
      </c>
      <c r="AB7" s="12">
        <f t="shared" si="1"/>
        <v>0</v>
      </c>
      <c r="AC7" s="12" t="str">
        <f>IF(VLOOKUP(A7,Data_NV!$A:$I,7,0)="Không","",IF(OR(AND(Y7=0,Z7=0),AND(Y7&lt;&gt;0,Z7&lt;&gt;0)),"","Quên chấm công"))</f>
        <v/>
      </c>
      <c r="AD7" s="12">
        <f>IF(VLOOKUP(A7,Data_NV!$A:$I,7,0)="Không",0,IF(AND(Y7=0,Z7=0),0,IF(X7&lt;=Z7,0,ROUNDDOWN((X7-Z7)*24*60,0))))</f>
        <v>0</v>
      </c>
      <c r="AE7" s="12">
        <f>IF(VLOOKUP(A7,Data_NV!$A:$I,6,0)="Không",0,IF(Z7&lt;=X7,0,ROUNDDOWN((Z7-X7)*24*60,0)))</f>
        <v>0</v>
      </c>
      <c r="AF7" s="26">
        <f t="shared" si="2"/>
        <v>0</v>
      </c>
      <c r="AG7" s="27" t="str">
        <f>IF(AC7="","",IF(COUNTIFS($AC$3:AC7,"Quên chấm công",$S$3:S7,S7)&gt;3,"Không chấm công do vi phạm quá 3 lần",IF(COUNTIFS($AC$3:AC7,"Quên chấm công",$S$3:S7,S7)&gt;2,"Trừ toàn bộ chuyên cần tháng do vi phạm lần 3",IF(COUNTIFS($AC$3:AC7,"Quên chấm công",$S$3:S7,S7)&gt;1,"Trừ 1/2 ngày lương",50000))))</f>
        <v/>
      </c>
      <c r="AH7" s="12" t="str">
        <f>IF(AF7=0,"",IF(COUNTIFS($AF$3:AF7,"&gt;0",$S$3:S7,S7)&gt;3,"Trừ toàn bộ chuyên cần tháng",""))</f>
        <v/>
      </c>
      <c r="AI7" s="12"/>
    </row>
    <row r="8" spans="1:35" x14ac:dyDescent="0.25">
      <c r="A8" s="4" t="s">
        <v>151</v>
      </c>
      <c r="B8" s="1" t="s">
        <v>152</v>
      </c>
      <c r="C8" s="1" t="s">
        <v>19</v>
      </c>
      <c r="D8" s="1" t="s">
        <v>30</v>
      </c>
      <c r="E8" s="1" t="s">
        <v>21</v>
      </c>
      <c r="F8" s="1" t="s">
        <v>22</v>
      </c>
      <c r="G8" s="1" t="s">
        <v>12</v>
      </c>
      <c r="H8" s="1" t="s">
        <v>23</v>
      </c>
      <c r="I8" s="1" t="s">
        <v>23</v>
      </c>
      <c r="J8" s="1" t="s">
        <v>24</v>
      </c>
      <c r="K8" s="1" t="s">
        <v>24</v>
      </c>
      <c r="L8" s="1" t="s">
        <v>25</v>
      </c>
      <c r="M8" s="1" t="s">
        <v>24</v>
      </c>
      <c r="N8" s="1" t="s">
        <v>24</v>
      </c>
      <c r="O8" s="1" t="s">
        <v>24</v>
      </c>
      <c r="P8" s="1" t="s">
        <v>24</v>
      </c>
      <c r="Q8" s="1" t="s">
        <v>24</v>
      </c>
      <c r="R8" s="85" t="str">
        <f t="shared" si="0"/>
        <v>6545906</v>
      </c>
      <c r="S8" t="str">
        <f>VLOOKUP(A8,Data_NV!$A:$C,3,0)</f>
        <v>Lý Kim Hồ</v>
      </c>
      <c r="T8" t="str">
        <f>VLOOKUP(A8,Data_NV!$A:$E,4,0)</f>
        <v>Kế toán - Văn phòng</v>
      </c>
      <c r="U8" s="82">
        <f>DATEVALUE(Table2[[#This Row],[Ngày]])</f>
        <v>45906</v>
      </c>
      <c r="V8" t="str">
        <f>VLOOKUP(A8,Data_NV!$A:$E,5,0)</f>
        <v>Đang làm việc</v>
      </c>
      <c r="W8" s="10">
        <f>VLOOKUP(A8,Data_NV!$A:$I,8,0)</f>
        <v>0.33333333333333331</v>
      </c>
      <c r="X8" s="10">
        <f>VLOOKUP(A8,Data_NV!$A:$I,9,0)</f>
        <v>0.70833333333333337</v>
      </c>
      <c r="Y8" s="10">
        <f>IFERROR(TIMEVALUE(Table2[[#This Row],[Vào]]),0)</f>
        <v>0</v>
      </c>
      <c r="Z8" s="10">
        <f>IFERROR(TIMEVALUE(Table2[[#This Row],[Ra]]),0)</f>
        <v>0</v>
      </c>
      <c r="AA8" t="str">
        <f t="shared" si="3"/>
        <v/>
      </c>
      <c r="AB8" s="12">
        <f t="shared" si="1"/>
        <v>0</v>
      </c>
      <c r="AC8" s="12" t="str">
        <f>IF(VLOOKUP(A8,Data_NV!$A:$I,7,0)="Không","",IF(OR(AND(Y8=0,Z8=0),AND(Y8&lt;&gt;0,Z8&lt;&gt;0)),"","Quên chấm công"))</f>
        <v/>
      </c>
      <c r="AD8" s="12">
        <f>IF(VLOOKUP(A8,Data_NV!$A:$I,7,0)="Không",0,IF(AND(Y8=0,Z8=0),0,IF(X8&lt;=Z8,0,ROUNDDOWN((X8-Z8)*24*60,0))))</f>
        <v>0</v>
      </c>
      <c r="AE8" s="12">
        <f>IF(VLOOKUP(A8,Data_NV!$A:$I,6,0)="Không",0,IF(Z8&lt;=X8,0,ROUNDDOWN((Z8-X8)*24*60,0)))</f>
        <v>0</v>
      </c>
      <c r="AF8" s="26">
        <f t="shared" si="2"/>
        <v>0</v>
      </c>
      <c r="AG8" s="27" t="str">
        <f>IF(AC8="","",IF(COUNTIFS($AC$3:AC8,"Quên chấm công",$S$3:S8,S8)&gt;3,"Không chấm công do vi phạm quá 3 lần",IF(COUNTIFS($AC$3:AC8,"Quên chấm công",$S$3:S8,S8)&gt;2,"Trừ toàn bộ chuyên cần tháng do vi phạm lần 3",IF(COUNTIFS($AC$3:AC8,"Quên chấm công",$S$3:S8,S8)&gt;1,"Trừ 1/2 ngày lương",50000))))</f>
        <v/>
      </c>
      <c r="AH8" s="12" t="str">
        <f>IF(AF8=0,"",IF(COUNTIFS($AF$3:AF8,"&gt;0",$S$3:S8,S8)&gt;3,"Trừ toàn bộ chuyên cần tháng",""))</f>
        <v/>
      </c>
      <c r="AI8" s="12"/>
    </row>
    <row r="9" spans="1:35" x14ac:dyDescent="0.25">
      <c r="A9" s="4" t="s">
        <v>151</v>
      </c>
      <c r="B9" s="1" t="s">
        <v>152</v>
      </c>
      <c r="C9" s="1" t="s">
        <v>19</v>
      </c>
      <c r="D9" s="1" t="s">
        <v>31</v>
      </c>
      <c r="E9" s="1" t="s">
        <v>21</v>
      </c>
      <c r="F9" s="1" t="s">
        <v>22</v>
      </c>
      <c r="G9" s="1" t="s">
        <v>12</v>
      </c>
      <c r="H9" s="1" t="s">
        <v>23</v>
      </c>
      <c r="I9" s="1" t="s">
        <v>23</v>
      </c>
      <c r="J9" s="1" t="s">
        <v>24</v>
      </c>
      <c r="K9" s="1" t="s">
        <v>24</v>
      </c>
      <c r="L9" s="1" t="s">
        <v>25</v>
      </c>
      <c r="M9" s="1" t="s">
        <v>24</v>
      </c>
      <c r="N9" s="1" t="s">
        <v>24</v>
      </c>
      <c r="O9" s="1" t="s">
        <v>24</v>
      </c>
      <c r="P9" s="1" t="s">
        <v>24</v>
      </c>
      <c r="Q9" s="1" t="s">
        <v>24</v>
      </c>
      <c r="R9" s="85" t="str">
        <f t="shared" si="0"/>
        <v>6545907</v>
      </c>
      <c r="S9" t="str">
        <f>VLOOKUP(A9,Data_NV!$A:$C,3,0)</f>
        <v>Lý Kim Hồ</v>
      </c>
      <c r="T9" t="str">
        <f>VLOOKUP(A9,Data_NV!$A:$E,4,0)</f>
        <v>Kế toán - Văn phòng</v>
      </c>
      <c r="U9" s="82">
        <f>DATEVALUE(Table2[[#This Row],[Ngày]])</f>
        <v>45907</v>
      </c>
      <c r="V9" t="str">
        <f>VLOOKUP(A9,Data_NV!$A:$E,5,0)</f>
        <v>Đang làm việc</v>
      </c>
      <c r="W9" s="10">
        <f>VLOOKUP(A9,Data_NV!$A:$I,8,0)</f>
        <v>0.33333333333333331</v>
      </c>
      <c r="X9" s="10">
        <f>VLOOKUP(A9,Data_NV!$A:$I,9,0)</f>
        <v>0.70833333333333337</v>
      </c>
      <c r="Y9" s="10">
        <f>IFERROR(TIMEVALUE(Table2[[#This Row],[Vào]]),0)</f>
        <v>0</v>
      </c>
      <c r="Z9" s="10">
        <f>IFERROR(TIMEVALUE(Table2[[#This Row],[Ra]]),0)</f>
        <v>0</v>
      </c>
      <c r="AA9" t="str">
        <f t="shared" si="3"/>
        <v>Chủ nhật</v>
      </c>
      <c r="AB9" s="12">
        <f t="shared" si="1"/>
        <v>0</v>
      </c>
      <c r="AC9" s="12" t="str">
        <f>IF(VLOOKUP(A9,Data_NV!$A:$I,7,0)="Không","",IF(OR(AND(Y9=0,Z9=0),AND(Y9&lt;&gt;0,Z9&lt;&gt;0)),"","Quên chấm công"))</f>
        <v/>
      </c>
      <c r="AD9" s="12">
        <f>IF(VLOOKUP(A9,Data_NV!$A:$I,7,0)="Không",0,IF(AND(Y9=0,Z9=0),0,IF(X9&lt;=Z9,0,ROUNDDOWN((X9-Z9)*24*60,0))))</f>
        <v>0</v>
      </c>
      <c r="AE9" s="12">
        <f>IF(VLOOKUP(A9,Data_NV!$A:$I,6,0)="Không",0,IF(Z9&lt;=X9,0,ROUNDDOWN((Z9-X9)*24*60,0)))</f>
        <v>0</v>
      </c>
      <c r="AF9" s="26">
        <f t="shared" si="2"/>
        <v>0</v>
      </c>
      <c r="AG9" s="27" t="str">
        <f>IF(AC9="","",IF(COUNTIFS($AC$3:AC9,"Quên chấm công",$S$3:S9,S9)&gt;3,"Không chấm công do vi phạm quá 3 lần",IF(COUNTIFS($AC$3:AC9,"Quên chấm công",$S$3:S9,S9)&gt;2,"Trừ toàn bộ chuyên cần tháng do vi phạm lần 3",IF(COUNTIFS($AC$3:AC9,"Quên chấm công",$S$3:S9,S9)&gt;1,"Trừ 1/2 ngày lương",50000))))</f>
        <v/>
      </c>
      <c r="AH9" s="12" t="str">
        <f>IF(AF9=0,"",IF(COUNTIFS($AF$3:AF9,"&gt;0",$S$3:S9,S9)&gt;3,"Trừ toàn bộ chuyên cần tháng",""))</f>
        <v/>
      </c>
      <c r="AI9" s="12"/>
    </row>
    <row r="10" spans="1:35" x14ac:dyDescent="0.25">
      <c r="A10" s="4" t="s">
        <v>151</v>
      </c>
      <c r="B10" s="1" t="s">
        <v>152</v>
      </c>
      <c r="C10" s="1" t="s">
        <v>19</v>
      </c>
      <c r="D10" s="1" t="s">
        <v>32</v>
      </c>
      <c r="E10" s="1" t="s">
        <v>21</v>
      </c>
      <c r="F10" s="1" t="s">
        <v>22</v>
      </c>
      <c r="G10" s="1" t="s">
        <v>12</v>
      </c>
      <c r="H10" s="1" t="s">
        <v>23</v>
      </c>
      <c r="I10" s="1" t="s">
        <v>23</v>
      </c>
      <c r="J10" s="1" t="s">
        <v>24</v>
      </c>
      <c r="K10" s="1" t="s">
        <v>24</v>
      </c>
      <c r="L10" s="1" t="s">
        <v>25</v>
      </c>
      <c r="M10" s="1" t="s">
        <v>24</v>
      </c>
      <c r="N10" s="1" t="s">
        <v>24</v>
      </c>
      <c r="O10" s="1" t="s">
        <v>24</v>
      </c>
      <c r="P10" s="1" t="s">
        <v>24</v>
      </c>
      <c r="Q10" s="1" t="s">
        <v>24</v>
      </c>
      <c r="R10" s="85" t="str">
        <f t="shared" si="0"/>
        <v>6545908</v>
      </c>
      <c r="S10" t="str">
        <f>VLOOKUP(A10,Data_NV!$A:$C,3,0)</f>
        <v>Lý Kim Hồ</v>
      </c>
      <c r="T10" t="str">
        <f>VLOOKUP(A10,Data_NV!$A:$E,4,0)</f>
        <v>Kế toán - Văn phòng</v>
      </c>
      <c r="U10" s="82">
        <f>DATEVALUE(Table2[[#This Row],[Ngày]])</f>
        <v>45908</v>
      </c>
      <c r="V10" t="str">
        <f>VLOOKUP(A10,Data_NV!$A:$E,5,0)</f>
        <v>Đang làm việc</v>
      </c>
      <c r="W10" s="10">
        <f>VLOOKUP(A10,Data_NV!$A:$I,8,0)</f>
        <v>0.33333333333333331</v>
      </c>
      <c r="X10" s="10">
        <f>VLOOKUP(A10,Data_NV!$A:$I,9,0)</f>
        <v>0.70833333333333337</v>
      </c>
      <c r="Y10" s="10">
        <f>IFERROR(TIMEVALUE(Table2[[#This Row],[Vào]]),0)</f>
        <v>0</v>
      </c>
      <c r="Z10" s="10">
        <f>IFERROR(TIMEVALUE(Table2[[#This Row],[Ra]]),0)</f>
        <v>0</v>
      </c>
      <c r="AA10" t="str">
        <f t="shared" si="3"/>
        <v/>
      </c>
      <c r="AB10" s="12">
        <f t="shared" si="1"/>
        <v>0</v>
      </c>
      <c r="AC10" s="12" t="str">
        <f>IF(VLOOKUP(A10,Data_NV!$A:$I,7,0)="Không","",IF(OR(AND(Y10=0,Z10=0),AND(Y10&lt;&gt;0,Z10&lt;&gt;0)),"","Quên chấm công"))</f>
        <v/>
      </c>
      <c r="AD10" s="12">
        <f>IF(VLOOKUP(A10,Data_NV!$A:$I,7,0)="Không",0,IF(AND(Y10=0,Z10=0),0,IF(X10&lt;=Z10,0,ROUNDDOWN((X10-Z10)*24*60,0))))</f>
        <v>0</v>
      </c>
      <c r="AE10" s="12">
        <f>IF(VLOOKUP(A10,Data_NV!$A:$I,6,0)="Không",0,IF(Z10&lt;=X10,0,ROUNDDOWN((Z10-X10)*24*60,0)))</f>
        <v>0</v>
      </c>
      <c r="AF10" s="26">
        <f t="shared" si="2"/>
        <v>0</v>
      </c>
      <c r="AG10" s="27" t="str">
        <f>IF(AC10="","",IF(COUNTIFS($AC$3:AC10,"Quên chấm công",$S$3:S10,S10)&gt;3,"Không chấm công do vi phạm quá 3 lần",IF(COUNTIFS($AC$3:AC10,"Quên chấm công",$S$3:S10,S10)&gt;2,"Trừ toàn bộ chuyên cần tháng do vi phạm lần 3",IF(COUNTIFS($AC$3:AC10,"Quên chấm công",$S$3:S10,S10)&gt;1,"Trừ 1/2 ngày lương",50000))))</f>
        <v/>
      </c>
      <c r="AH10" s="12" t="str">
        <f>IF(AF10=0,"",IF(COUNTIFS($AF$3:AF10,"&gt;0",$S$3:S10,S10)&gt;3,"Trừ toàn bộ chuyên cần tháng",""))</f>
        <v/>
      </c>
      <c r="AI10" s="12"/>
    </row>
    <row r="11" spans="1:35" x14ac:dyDescent="0.25">
      <c r="A11" s="4" t="s">
        <v>151</v>
      </c>
      <c r="B11" s="1" t="s">
        <v>152</v>
      </c>
      <c r="C11" s="1" t="s">
        <v>19</v>
      </c>
      <c r="D11" s="1" t="s">
        <v>33</v>
      </c>
      <c r="E11" s="1" t="s">
        <v>21</v>
      </c>
      <c r="F11" s="1" t="s">
        <v>22</v>
      </c>
      <c r="G11" s="1" t="s">
        <v>12</v>
      </c>
      <c r="H11" s="1" t="s">
        <v>23</v>
      </c>
      <c r="I11" s="1" t="s">
        <v>23</v>
      </c>
      <c r="J11" s="1" t="s">
        <v>24</v>
      </c>
      <c r="K11" s="1" t="s">
        <v>24</v>
      </c>
      <c r="L11" s="1" t="s">
        <v>25</v>
      </c>
      <c r="M11" s="1" t="s">
        <v>24</v>
      </c>
      <c r="N11" s="1" t="s">
        <v>24</v>
      </c>
      <c r="O11" s="1" t="s">
        <v>24</v>
      </c>
      <c r="P11" s="1" t="s">
        <v>24</v>
      </c>
      <c r="Q11" s="1" t="s">
        <v>24</v>
      </c>
      <c r="R11" s="85" t="str">
        <f t="shared" si="0"/>
        <v>6545909</v>
      </c>
      <c r="S11" t="str">
        <f>VLOOKUP(A11,Data_NV!$A:$C,3,0)</f>
        <v>Lý Kim Hồ</v>
      </c>
      <c r="T11" t="str">
        <f>VLOOKUP(A11,Data_NV!$A:$E,4,0)</f>
        <v>Kế toán - Văn phòng</v>
      </c>
      <c r="U11" s="82">
        <f>DATEVALUE(Table2[[#This Row],[Ngày]])</f>
        <v>45909</v>
      </c>
      <c r="V11" t="str">
        <f>VLOOKUP(A11,Data_NV!$A:$E,5,0)</f>
        <v>Đang làm việc</v>
      </c>
      <c r="W11" s="10">
        <f>VLOOKUP(A11,Data_NV!$A:$I,8,0)</f>
        <v>0.33333333333333331</v>
      </c>
      <c r="X11" s="10">
        <f>VLOOKUP(A11,Data_NV!$A:$I,9,0)</f>
        <v>0.70833333333333337</v>
      </c>
      <c r="Y11" s="10">
        <f>IFERROR(TIMEVALUE(Table2[[#This Row],[Vào]]),0)</f>
        <v>0</v>
      </c>
      <c r="Z11" s="10">
        <f>IFERROR(TIMEVALUE(Table2[[#This Row],[Ra]]),0)</f>
        <v>0</v>
      </c>
      <c r="AA11" t="str">
        <f t="shared" si="3"/>
        <v/>
      </c>
      <c r="AB11" s="12">
        <f t="shared" si="1"/>
        <v>0</v>
      </c>
      <c r="AC11" s="12" t="str">
        <f>IF(VLOOKUP(A11,Data_NV!$A:$I,7,0)="Không","",IF(OR(AND(Y11=0,Z11=0),AND(Y11&lt;&gt;0,Z11&lt;&gt;0)),"","Quên chấm công"))</f>
        <v/>
      </c>
      <c r="AD11" s="12">
        <f>IF(VLOOKUP(A11,Data_NV!$A:$I,7,0)="Không",0,IF(AND(Y11=0,Z11=0),0,IF(X11&lt;=Z11,0,ROUNDDOWN((X11-Z11)*24*60,0))))</f>
        <v>0</v>
      </c>
      <c r="AE11" s="12">
        <f>IF(VLOOKUP(A11,Data_NV!$A:$I,6,0)="Không",0,IF(Z11&lt;=X11,0,ROUNDDOWN((Z11-X11)*24*60,0)))</f>
        <v>0</v>
      </c>
      <c r="AF11" s="26">
        <f t="shared" si="2"/>
        <v>0</v>
      </c>
      <c r="AG11" s="27" t="str">
        <f>IF(AC11="","",IF(COUNTIFS($AC$3:AC11,"Quên chấm công",$S$3:S11,S11)&gt;3,"Không chấm công do vi phạm quá 3 lần",IF(COUNTIFS($AC$3:AC11,"Quên chấm công",$S$3:S11,S11)&gt;2,"Trừ toàn bộ chuyên cần tháng do vi phạm lần 3",IF(COUNTIFS($AC$3:AC11,"Quên chấm công",$S$3:S11,S11)&gt;1,"Trừ 1/2 ngày lương",50000))))</f>
        <v/>
      </c>
      <c r="AH11" s="12" t="str">
        <f>IF(AF11=0,"",IF(COUNTIFS($AF$3:AF11,"&gt;0",$S$3:S11,S11)&gt;3,"Trừ toàn bộ chuyên cần tháng",""))</f>
        <v/>
      </c>
      <c r="AI11" s="12"/>
    </row>
    <row r="12" spans="1:35" x14ac:dyDescent="0.25">
      <c r="A12" s="4" t="s">
        <v>151</v>
      </c>
      <c r="B12" s="1" t="s">
        <v>152</v>
      </c>
      <c r="C12" s="1" t="s">
        <v>19</v>
      </c>
      <c r="D12" s="1" t="s">
        <v>34</v>
      </c>
      <c r="E12" s="1" t="s">
        <v>21</v>
      </c>
      <c r="F12" s="1" t="s">
        <v>22</v>
      </c>
      <c r="G12" s="1" t="s">
        <v>12</v>
      </c>
      <c r="H12" s="1" t="s">
        <v>161</v>
      </c>
      <c r="I12" s="1" t="s">
        <v>282</v>
      </c>
      <c r="J12" s="1" t="s">
        <v>24</v>
      </c>
      <c r="K12" s="1" t="s">
        <v>24</v>
      </c>
      <c r="L12" s="1" t="s">
        <v>25</v>
      </c>
      <c r="M12" s="1" t="s">
        <v>24</v>
      </c>
      <c r="N12" s="1" t="s">
        <v>24</v>
      </c>
      <c r="O12" s="1" t="s">
        <v>24</v>
      </c>
      <c r="P12" s="1" t="s">
        <v>24</v>
      </c>
      <c r="Q12" s="1" t="s">
        <v>24</v>
      </c>
      <c r="R12" s="85" t="str">
        <f t="shared" si="0"/>
        <v>6545910</v>
      </c>
      <c r="S12" t="str">
        <f>VLOOKUP(A12,Data_NV!$A:$C,3,0)</f>
        <v>Lý Kim Hồ</v>
      </c>
      <c r="T12" t="str">
        <f>VLOOKUP(A12,Data_NV!$A:$E,4,0)</f>
        <v>Kế toán - Văn phòng</v>
      </c>
      <c r="U12" s="82">
        <f>DATEVALUE(Table2[[#This Row],[Ngày]])</f>
        <v>45910</v>
      </c>
      <c r="V12" t="str">
        <f>VLOOKUP(A12,Data_NV!$A:$E,5,0)</f>
        <v>Đang làm việc</v>
      </c>
      <c r="W12" s="10">
        <f>VLOOKUP(A12,Data_NV!$A:$I,8,0)</f>
        <v>0.33333333333333331</v>
      </c>
      <c r="X12" s="10">
        <f>VLOOKUP(A12,Data_NV!$A:$I,9,0)</f>
        <v>0.70833333333333337</v>
      </c>
      <c r="Y12" s="10">
        <f>IFERROR(TIMEVALUE(Table2[[#This Row],[Vào]]),0)</f>
        <v>0.33333333333333331</v>
      </c>
      <c r="Z12" s="10">
        <f>IFERROR(TIMEVALUE(Table2[[#This Row],[Ra]]),0)</f>
        <v>0.70833333333333337</v>
      </c>
      <c r="AA12" t="str">
        <f t="shared" si="3"/>
        <v>x</v>
      </c>
      <c r="AB12" s="12">
        <f t="shared" si="1"/>
        <v>0</v>
      </c>
      <c r="AC12" s="12" t="str">
        <f>IF(VLOOKUP(A12,Data_NV!$A:$I,7,0)="Không","",IF(OR(AND(Y12=0,Z12=0),AND(Y12&lt;&gt;0,Z12&lt;&gt;0)),"","Quên chấm công"))</f>
        <v/>
      </c>
      <c r="AD12" s="12">
        <f>IF(VLOOKUP(A12,Data_NV!$A:$I,7,0)="Không",0,IF(AND(Y12=0,Z12=0),0,IF(X12&lt;=Z12,0,ROUNDDOWN((X12-Z12)*24*60,0))))</f>
        <v>0</v>
      </c>
      <c r="AE12" s="12">
        <f>IF(VLOOKUP(A12,Data_NV!$A:$I,6,0)="Không",0,IF(Z12&lt;=X12,0,ROUNDDOWN((Z12-X12)*24*60,0)))</f>
        <v>0</v>
      </c>
      <c r="AF12" s="26">
        <f t="shared" si="2"/>
        <v>0</v>
      </c>
      <c r="AG12" s="27" t="str">
        <f>IF(AC12="","",IF(COUNTIFS($AC$3:AC12,"Quên chấm công",$S$3:S12,S12)&gt;3,"Không chấm công do vi phạm quá 3 lần",IF(COUNTIFS($AC$3:AC12,"Quên chấm công",$S$3:S12,S12)&gt;2,"Trừ toàn bộ chuyên cần tháng do vi phạm lần 3",IF(COUNTIFS($AC$3:AC12,"Quên chấm công",$S$3:S12,S12)&gt;1,"Trừ 1/2 ngày lương",50000))))</f>
        <v/>
      </c>
      <c r="AH12" s="12" t="str">
        <f>IF(AF12=0,"",IF(COUNTIFS($AF$3:AF12,"&gt;0",$S$3:S12,S12)&gt;3,"Trừ toàn bộ chuyên cần tháng",""))</f>
        <v/>
      </c>
      <c r="AI12" s="92" t="s">
        <v>285</v>
      </c>
    </row>
    <row r="13" spans="1:35" x14ac:dyDescent="0.25">
      <c r="A13" s="4" t="s">
        <v>151</v>
      </c>
      <c r="B13" s="1" t="s">
        <v>152</v>
      </c>
      <c r="C13" s="1" t="s">
        <v>19</v>
      </c>
      <c r="D13" s="1" t="s">
        <v>35</v>
      </c>
      <c r="E13" s="1" t="s">
        <v>21</v>
      </c>
      <c r="F13" s="1" t="s">
        <v>22</v>
      </c>
      <c r="G13" s="1" t="s">
        <v>12</v>
      </c>
      <c r="H13" s="1" t="s">
        <v>161</v>
      </c>
      <c r="I13" s="1" t="s">
        <v>282</v>
      </c>
      <c r="J13" s="1" t="s">
        <v>24</v>
      </c>
      <c r="K13" s="1" t="s">
        <v>24</v>
      </c>
      <c r="L13" s="1" t="s">
        <v>25</v>
      </c>
      <c r="M13" s="1" t="s">
        <v>24</v>
      </c>
      <c r="N13" s="1" t="s">
        <v>24</v>
      </c>
      <c r="O13" s="1" t="s">
        <v>24</v>
      </c>
      <c r="P13" s="1" t="s">
        <v>24</v>
      </c>
      <c r="Q13" s="1" t="s">
        <v>24</v>
      </c>
      <c r="R13" s="85" t="str">
        <f t="shared" si="0"/>
        <v>6545911</v>
      </c>
      <c r="S13" t="str">
        <f>VLOOKUP(A13,Data_NV!$A:$C,3,0)</f>
        <v>Lý Kim Hồ</v>
      </c>
      <c r="T13" t="str">
        <f>VLOOKUP(A13,Data_NV!$A:$E,4,0)</f>
        <v>Kế toán - Văn phòng</v>
      </c>
      <c r="U13" s="82">
        <f>DATEVALUE(Table2[[#This Row],[Ngày]])</f>
        <v>45911</v>
      </c>
      <c r="V13" t="str">
        <f>VLOOKUP(A13,Data_NV!$A:$E,5,0)</f>
        <v>Đang làm việc</v>
      </c>
      <c r="W13" s="10">
        <f>VLOOKUP(A13,Data_NV!$A:$I,8,0)</f>
        <v>0.33333333333333331</v>
      </c>
      <c r="X13" s="10">
        <f>VLOOKUP(A13,Data_NV!$A:$I,9,0)</f>
        <v>0.70833333333333337</v>
      </c>
      <c r="Y13" s="10">
        <f>IFERROR(TIMEVALUE(Table2[[#This Row],[Vào]]),0)</f>
        <v>0.33333333333333331</v>
      </c>
      <c r="Z13" s="10">
        <f>IFERROR(TIMEVALUE(Table2[[#This Row],[Ra]]),0)</f>
        <v>0.70833333333333337</v>
      </c>
      <c r="AA13" t="str">
        <f t="shared" si="3"/>
        <v>x</v>
      </c>
      <c r="AB13" s="12">
        <f t="shared" si="1"/>
        <v>0</v>
      </c>
      <c r="AC13" s="12" t="str">
        <f>IF(VLOOKUP(A13,Data_NV!$A:$I,7,0)="Không","",IF(OR(AND(Y13=0,Z13=0),AND(Y13&lt;&gt;0,Z13&lt;&gt;0)),"","Quên chấm công"))</f>
        <v/>
      </c>
      <c r="AD13" s="12">
        <f>IF(VLOOKUP(A13,Data_NV!$A:$I,7,0)="Không",0,IF(AND(Y13=0,Z13=0),0,IF(X13&lt;=Z13,0,ROUNDDOWN((X13-Z13)*24*60,0))))</f>
        <v>0</v>
      </c>
      <c r="AE13" s="12">
        <f>IF(VLOOKUP(A13,Data_NV!$A:$I,6,0)="Không",0,IF(Z13&lt;=X13,0,ROUNDDOWN((Z13-X13)*24*60,0)))</f>
        <v>0</v>
      </c>
      <c r="AF13" s="26">
        <f t="shared" si="2"/>
        <v>0</v>
      </c>
      <c r="AG13" s="27" t="str">
        <f>IF(AC13="","",IF(COUNTIFS($AC$3:AC13,"Quên chấm công",$S$3:S13,S13)&gt;3,"Không chấm công do vi phạm quá 3 lần",IF(COUNTIFS($AC$3:AC13,"Quên chấm công",$S$3:S13,S13)&gt;2,"Trừ toàn bộ chuyên cần tháng do vi phạm lần 3",IF(COUNTIFS($AC$3:AC13,"Quên chấm công",$S$3:S13,S13)&gt;1,"Trừ 1/2 ngày lương",50000))))</f>
        <v/>
      </c>
      <c r="AH13" s="12" t="str">
        <f>IF(AF13=0,"",IF(COUNTIFS($AF$3:AF13,"&gt;0",$S$3:S13,S13)&gt;3,"Trừ toàn bộ chuyên cần tháng",""))</f>
        <v/>
      </c>
      <c r="AI13" s="89" t="s">
        <v>284</v>
      </c>
    </row>
    <row r="14" spans="1:35" x14ac:dyDescent="0.25">
      <c r="A14" s="4" t="s">
        <v>151</v>
      </c>
      <c r="B14" s="1" t="s">
        <v>152</v>
      </c>
      <c r="C14" s="1" t="s">
        <v>19</v>
      </c>
      <c r="D14" s="1" t="s">
        <v>36</v>
      </c>
      <c r="E14" s="1" t="s">
        <v>21</v>
      </c>
      <c r="F14" s="1" t="s">
        <v>22</v>
      </c>
      <c r="G14" s="1" t="s">
        <v>12</v>
      </c>
      <c r="H14" s="1" t="s">
        <v>161</v>
      </c>
      <c r="I14" s="1" t="s">
        <v>282</v>
      </c>
      <c r="J14" s="1" t="s">
        <v>24</v>
      </c>
      <c r="K14" s="1" t="s">
        <v>24</v>
      </c>
      <c r="L14" s="1" t="s">
        <v>25</v>
      </c>
      <c r="M14" s="1" t="s">
        <v>24</v>
      </c>
      <c r="N14" s="1" t="s">
        <v>24</v>
      </c>
      <c r="O14" s="1" t="s">
        <v>24</v>
      </c>
      <c r="P14" s="1" t="s">
        <v>24</v>
      </c>
      <c r="Q14" s="1" t="s">
        <v>24</v>
      </c>
      <c r="R14" s="85" t="str">
        <f t="shared" si="0"/>
        <v>6545912</v>
      </c>
      <c r="S14" t="str">
        <f>VLOOKUP(A14,Data_NV!$A:$C,3,0)</f>
        <v>Lý Kim Hồ</v>
      </c>
      <c r="T14" t="str">
        <f>VLOOKUP(A14,Data_NV!$A:$E,4,0)</f>
        <v>Kế toán - Văn phòng</v>
      </c>
      <c r="U14" s="82">
        <f>DATEVALUE(Table2[[#This Row],[Ngày]])</f>
        <v>45912</v>
      </c>
      <c r="V14" t="str">
        <f>VLOOKUP(A14,Data_NV!$A:$E,5,0)</f>
        <v>Đang làm việc</v>
      </c>
      <c r="W14" s="10">
        <f>VLOOKUP(A14,Data_NV!$A:$I,8,0)</f>
        <v>0.33333333333333331</v>
      </c>
      <c r="X14" s="10">
        <f>VLOOKUP(A14,Data_NV!$A:$I,9,0)</f>
        <v>0.70833333333333337</v>
      </c>
      <c r="Y14" s="10">
        <f>IFERROR(TIMEVALUE(Table2[[#This Row],[Vào]]),0)</f>
        <v>0.33333333333333331</v>
      </c>
      <c r="Z14" s="10">
        <f>IFERROR(TIMEVALUE(Table2[[#This Row],[Ra]]),0)</f>
        <v>0.70833333333333337</v>
      </c>
      <c r="AA14" t="str">
        <f t="shared" si="3"/>
        <v>x</v>
      </c>
      <c r="AB14" s="12">
        <f t="shared" si="1"/>
        <v>0</v>
      </c>
      <c r="AC14" s="12" t="str">
        <f>IF(VLOOKUP(A14,Data_NV!$A:$I,7,0)="Không","",IF(OR(AND(Y14=0,Z14=0),AND(Y14&lt;&gt;0,Z14&lt;&gt;0)),"","Quên chấm công"))</f>
        <v/>
      </c>
      <c r="AD14" s="12">
        <f>IF(VLOOKUP(A14,Data_NV!$A:$I,7,0)="Không",0,IF(AND(Y14=0,Z14=0),0,IF(X14&lt;=Z14,0,ROUNDDOWN((X14-Z14)*24*60,0))))</f>
        <v>0</v>
      </c>
      <c r="AE14" s="12">
        <f>IF(VLOOKUP(A14,Data_NV!$A:$I,6,0)="Không",0,IF(Z14&lt;=X14,0,ROUNDDOWN((Z14-X14)*24*60,0)))</f>
        <v>0</v>
      </c>
      <c r="AF14" s="26">
        <f t="shared" si="2"/>
        <v>0</v>
      </c>
      <c r="AG14" s="27" t="str">
        <f>IF(AC14="","",IF(COUNTIFS($AC$3:AC14,"Quên chấm công",$S$3:S14,S14)&gt;3,"Không chấm công do vi phạm quá 3 lần",IF(COUNTIFS($AC$3:AC14,"Quên chấm công",$S$3:S14,S14)&gt;2,"Trừ toàn bộ chuyên cần tháng do vi phạm lần 3",IF(COUNTIFS($AC$3:AC14,"Quên chấm công",$S$3:S14,S14)&gt;1,"Trừ 1/2 ngày lương",50000))))</f>
        <v/>
      </c>
      <c r="AH14" s="12" t="str">
        <f>IF(AF14=0,"",IF(COUNTIFS($AF$3:AF14,"&gt;0",$S$3:S14,S14)&gt;3,"Trừ toàn bộ chuyên cần tháng",""))</f>
        <v/>
      </c>
      <c r="AI14" s="89" t="s">
        <v>284</v>
      </c>
    </row>
    <row r="15" spans="1:35" x14ac:dyDescent="0.25">
      <c r="A15" s="4" t="s">
        <v>151</v>
      </c>
      <c r="B15" s="1" t="s">
        <v>152</v>
      </c>
      <c r="C15" s="1" t="s">
        <v>19</v>
      </c>
      <c r="D15" s="1" t="s">
        <v>37</v>
      </c>
      <c r="E15" s="1" t="s">
        <v>21</v>
      </c>
      <c r="F15" s="1" t="s">
        <v>22</v>
      </c>
      <c r="G15" s="1" t="s">
        <v>12</v>
      </c>
      <c r="H15" s="1" t="s">
        <v>161</v>
      </c>
      <c r="I15" s="1" t="s">
        <v>282</v>
      </c>
      <c r="J15" s="1" t="s">
        <v>24</v>
      </c>
      <c r="K15" s="1" t="s">
        <v>24</v>
      </c>
      <c r="L15" s="1" t="s">
        <v>25</v>
      </c>
      <c r="M15" s="1" t="s">
        <v>24</v>
      </c>
      <c r="N15" s="1" t="s">
        <v>24</v>
      </c>
      <c r="O15" s="1" t="s">
        <v>24</v>
      </c>
      <c r="P15" s="1" t="s">
        <v>24</v>
      </c>
      <c r="Q15" s="1" t="s">
        <v>24</v>
      </c>
      <c r="R15" s="85" t="str">
        <f t="shared" si="0"/>
        <v>6545913</v>
      </c>
      <c r="S15" t="str">
        <f>VLOOKUP(A15,Data_NV!$A:$C,3,0)</f>
        <v>Lý Kim Hồ</v>
      </c>
      <c r="T15" t="str">
        <f>VLOOKUP(A15,Data_NV!$A:$E,4,0)</f>
        <v>Kế toán - Văn phòng</v>
      </c>
      <c r="U15" s="82">
        <f>DATEVALUE(Table2[[#This Row],[Ngày]])</f>
        <v>45913</v>
      </c>
      <c r="V15" t="str">
        <f>VLOOKUP(A15,Data_NV!$A:$E,5,0)</f>
        <v>Đang làm việc</v>
      </c>
      <c r="W15" s="10">
        <f>VLOOKUP(A15,Data_NV!$A:$I,8,0)</f>
        <v>0.33333333333333331</v>
      </c>
      <c r="X15" s="10">
        <f>VLOOKUP(A15,Data_NV!$A:$I,9,0)</f>
        <v>0.70833333333333337</v>
      </c>
      <c r="Y15" s="10">
        <f>IFERROR(TIMEVALUE(Table2[[#This Row],[Vào]]),0)</f>
        <v>0.33333333333333331</v>
      </c>
      <c r="Z15" s="10">
        <f>IFERROR(TIMEVALUE(Table2[[#This Row],[Ra]]),0)</f>
        <v>0.70833333333333337</v>
      </c>
      <c r="AA15" t="str">
        <f t="shared" si="3"/>
        <v>x</v>
      </c>
      <c r="AB15" s="12">
        <f t="shared" si="1"/>
        <v>0</v>
      </c>
      <c r="AC15" s="12" t="str">
        <f>IF(VLOOKUP(A15,Data_NV!$A:$I,7,0)="Không","",IF(OR(AND(Y15=0,Z15=0),AND(Y15&lt;&gt;0,Z15&lt;&gt;0)),"","Quên chấm công"))</f>
        <v/>
      </c>
      <c r="AD15" s="12">
        <f>IF(VLOOKUP(A15,Data_NV!$A:$I,7,0)="Không",0,IF(AND(Y15=0,Z15=0),0,IF(X15&lt;=Z15,0,ROUNDDOWN((X15-Z15)*24*60,0))))</f>
        <v>0</v>
      </c>
      <c r="AE15" s="12">
        <f>IF(VLOOKUP(A15,Data_NV!$A:$I,6,0)="Không",0,IF(Z15&lt;=X15,0,ROUNDDOWN((Z15-X15)*24*60,0)))</f>
        <v>0</v>
      </c>
      <c r="AF15" s="26">
        <f t="shared" si="2"/>
        <v>0</v>
      </c>
      <c r="AG15" s="27" t="str">
        <f>IF(AC15="","",IF(COUNTIFS($AC$3:AC15,"Quên chấm công",$S$3:S15,S15)&gt;3,"Không chấm công do vi phạm quá 3 lần",IF(COUNTIFS($AC$3:AC15,"Quên chấm công",$S$3:S15,S15)&gt;2,"Trừ toàn bộ chuyên cần tháng do vi phạm lần 3",IF(COUNTIFS($AC$3:AC15,"Quên chấm công",$S$3:S15,S15)&gt;1,"Trừ 1/2 ngày lương",50000))))</f>
        <v/>
      </c>
      <c r="AH15" s="12" t="str">
        <f>IF(AF15=0,"",IF(COUNTIFS($AF$3:AF15,"&gt;0",$S$3:S15,S15)&gt;3,"Trừ toàn bộ chuyên cần tháng",""))</f>
        <v/>
      </c>
      <c r="AI15" s="89" t="s">
        <v>284</v>
      </c>
    </row>
    <row r="16" spans="1:35" x14ac:dyDescent="0.25">
      <c r="A16" s="4" t="s">
        <v>151</v>
      </c>
      <c r="B16" s="1" t="s">
        <v>152</v>
      </c>
      <c r="C16" s="1" t="s">
        <v>19</v>
      </c>
      <c r="D16" s="1" t="s">
        <v>38</v>
      </c>
      <c r="E16" s="1" t="s">
        <v>21</v>
      </c>
      <c r="F16" s="1" t="s">
        <v>22</v>
      </c>
      <c r="G16" s="1" t="s">
        <v>12</v>
      </c>
      <c r="H16" s="1" t="s">
        <v>161</v>
      </c>
      <c r="I16" s="1" t="s">
        <v>282</v>
      </c>
      <c r="J16" s="1" t="s">
        <v>24</v>
      </c>
      <c r="K16" s="1" t="s">
        <v>24</v>
      </c>
      <c r="L16" s="1" t="s">
        <v>25</v>
      </c>
      <c r="M16" s="1" t="s">
        <v>24</v>
      </c>
      <c r="N16" s="1" t="s">
        <v>24</v>
      </c>
      <c r="O16" s="1" t="s">
        <v>24</v>
      </c>
      <c r="P16" s="1" t="s">
        <v>24</v>
      </c>
      <c r="Q16" s="1" t="s">
        <v>24</v>
      </c>
      <c r="R16" s="85" t="str">
        <f t="shared" si="0"/>
        <v>6545914</v>
      </c>
      <c r="S16" t="str">
        <f>VLOOKUP(A16,Data_NV!$A:$C,3,0)</f>
        <v>Lý Kim Hồ</v>
      </c>
      <c r="T16" t="str">
        <f>VLOOKUP(A16,Data_NV!$A:$E,4,0)</f>
        <v>Kế toán - Văn phòng</v>
      </c>
      <c r="U16" s="82">
        <f>DATEVALUE(Table2[[#This Row],[Ngày]])</f>
        <v>45914</v>
      </c>
      <c r="V16" t="str">
        <f>VLOOKUP(A16,Data_NV!$A:$E,5,0)</f>
        <v>Đang làm việc</v>
      </c>
      <c r="W16" s="10">
        <f>VLOOKUP(A16,Data_NV!$A:$I,8,0)</f>
        <v>0.33333333333333331</v>
      </c>
      <c r="X16" s="10">
        <f>VLOOKUP(A16,Data_NV!$A:$I,9,0)</f>
        <v>0.70833333333333337</v>
      </c>
      <c r="Y16" s="10">
        <f>IFERROR(TIMEVALUE(Table2[[#This Row],[Vào]]),0)</f>
        <v>0.33333333333333331</v>
      </c>
      <c r="Z16" s="10">
        <f>IFERROR(TIMEVALUE(Table2[[#This Row],[Ra]]),0)</f>
        <v>0.70833333333333337</v>
      </c>
      <c r="AA16" t="str">
        <f t="shared" si="3"/>
        <v>Chủ nhật</v>
      </c>
      <c r="AB16" s="12">
        <f t="shared" si="1"/>
        <v>0</v>
      </c>
      <c r="AC16" s="12" t="str">
        <f>IF(VLOOKUP(A16,Data_NV!$A:$I,7,0)="Không","",IF(OR(AND(Y16=0,Z16=0),AND(Y16&lt;&gt;0,Z16&lt;&gt;0)),"","Quên chấm công"))</f>
        <v/>
      </c>
      <c r="AD16" s="12">
        <f>IF(VLOOKUP(A16,Data_NV!$A:$I,7,0)="Không",0,IF(AND(Y16=0,Z16=0),0,IF(X16&lt;=Z16,0,ROUNDDOWN((X16-Z16)*24*60,0))))</f>
        <v>0</v>
      </c>
      <c r="AE16" s="12">
        <f>IF(VLOOKUP(A16,Data_NV!$A:$I,6,0)="Không",0,IF(Z16&lt;=X16,0,ROUNDDOWN((Z16-X16)*24*60,0)))</f>
        <v>0</v>
      </c>
      <c r="AF16" s="26">
        <f t="shared" si="2"/>
        <v>0</v>
      </c>
      <c r="AG16" s="27" t="str">
        <f>IF(AC16="","",IF(COUNTIFS($AC$3:AC16,"Quên chấm công",$S$3:S16,S16)&gt;3,"Không chấm công do vi phạm quá 3 lần",IF(COUNTIFS($AC$3:AC16,"Quên chấm công",$S$3:S16,S16)&gt;2,"Trừ toàn bộ chuyên cần tháng do vi phạm lần 3",IF(COUNTIFS($AC$3:AC16,"Quên chấm công",$S$3:S16,S16)&gt;1,"Trừ 1/2 ngày lương",50000))))</f>
        <v/>
      </c>
      <c r="AH16" s="12" t="str">
        <f>IF(AF16=0,"",IF(COUNTIFS($AF$3:AF16,"&gt;0",$S$3:S16,S16)&gt;3,"Trừ toàn bộ chuyên cần tháng",""))</f>
        <v/>
      </c>
      <c r="AI16" s="89" t="s">
        <v>284</v>
      </c>
    </row>
    <row r="17" spans="1:35" x14ac:dyDescent="0.25">
      <c r="A17" s="4" t="s">
        <v>151</v>
      </c>
      <c r="B17" s="1" t="s">
        <v>152</v>
      </c>
      <c r="C17" s="1" t="s">
        <v>19</v>
      </c>
      <c r="D17" s="1" t="s">
        <v>39</v>
      </c>
      <c r="E17" s="1" t="s">
        <v>21</v>
      </c>
      <c r="F17" s="1" t="s">
        <v>22</v>
      </c>
      <c r="G17" s="1" t="s">
        <v>12</v>
      </c>
      <c r="H17" s="1" t="s">
        <v>161</v>
      </c>
      <c r="I17" s="1" t="s">
        <v>282</v>
      </c>
      <c r="J17" s="1" t="s">
        <v>24</v>
      </c>
      <c r="K17" s="1" t="s">
        <v>24</v>
      </c>
      <c r="L17" s="1" t="s">
        <v>25</v>
      </c>
      <c r="M17" s="1" t="s">
        <v>24</v>
      </c>
      <c r="N17" s="1" t="s">
        <v>24</v>
      </c>
      <c r="O17" s="1" t="s">
        <v>24</v>
      </c>
      <c r="P17" s="1" t="s">
        <v>24</v>
      </c>
      <c r="Q17" s="1" t="s">
        <v>24</v>
      </c>
      <c r="R17" s="85" t="str">
        <f t="shared" si="0"/>
        <v>6545915</v>
      </c>
      <c r="S17" t="str">
        <f>VLOOKUP(A17,Data_NV!$A:$C,3,0)</f>
        <v>Lý Kim Hồ</v>
      </c>
      <c r="T17" t="str">
        <f>VLOOKUP(A17,Data_NV!$A:$E,4,0)</f>
        <v>Kế toán - Văn phòng</v>
      </c>
      <c r="U17" s="82">
        <f>DATEVALUE(Table2[[#This Row],[Ngày]])</f>
        <v>45915</v>
      </c>
      <c r="V17" t="str">
        <f>VLOOKUP(A17,Data_NV!$A:$E,5,0)</f>
        <v>Đang làm việc</v>
      </c>
      <c r="W17" s="10">
        <f>VLOOKUP(A17,Data_NV!$A:$I,8,0)</f>
        <v>0.33333333333333331</v>
      </c>
      <c r="X17" s="10">
        <f>VLOOKUP(A17,Data_NV!$A:$I,9,0)</f>
        <v>0.70833333333333337</v>
      </c>
      <c r="Y17" s="10">
        <f>IFERROR(TIMEVALUE(Table2[[#This Row],[Vào]]),0)</f>
        <v>0.33333333333333331</v>
      </c>
      <c r="Z17" s="10">
        <f>IFERROR(TIMEVALUE(Table2[[#This Row],[Ra]]),0)</f>
        <v>0.70833333333333337</v>
      </c>
      <c r="AA17" t="str">
        <f t="shared" si="3"/>
        <v>x</v>
      </c>
      <c r="AB17" s="12">
        <f t="shared" si="1"/>
        <v>0</v>
      </c>
      <c r="AC17" s="12" t="str">
        <f>IF(VLOOKUP(A17,Data_NV!$A:$I,7,0)="Không","",IF(OR(AND(Y17=0,Z17=0),AND(Y17&lt;&gt;0,Z17&lt;&gt;0)),"","Quên chấm công"))</f>
        <v/>
      </c>
      <c r="AD17" s="12">
        <f>IF(VLOOKUP(A17,Data_NV!$A:$I,7,0)="Không",0,IF(AND(Y17=0,Z17=0),0,IF(X17&lt;=Z17,0,ROUNDDOWN((X17-Z17)*24*60,0))))</f>
        <v>0</v>
      </c>
      <c r="AE17" s="12">
        <f>IF(VLOOKUP(A17,Data_NV!$A:$I,6,0)="Không",0,IF(Z17&lt;=X17,0,ROUNDDOWN((Z17-X17)*24*60,0)))</f>
        <v>0</v>
      </c>
      <c r="AF17" s="26">
        <f t="shared" si="2"/>
        <v>0</v>
      </c>
      <c r="AG17" s="27" t="str">
        <f>IF(AC17="","",IF(COUNTIFS($AC$3:AC17,"Quên chấm công",$S$3:S17,S17)&gt;3,"Không chấm công do vi phạm quá 3 lần",IF(COUNTIFS($AC$3:AC17,"Quên chấm công",$S$3:S17,S17)&gt;2,"Trừ toàn bộ chuyên cần tháng do vi phạm lần 3",IF(COUNTIFS($AC$3:AC17,"Quên chấm công",$S$3:S17,S17)&gt;1,"Trừ 1/2 ngày lương",50000))))</f>
        <v/>
      </c>
      <c r="AH17" s="12" t="str">
        <f>IF(AF17=0,"",IF(COUNTIFS($AF$3:AF17,"&gt;0",$S$3:S17,S17)&gt;3,"Trừ toàn bộ chuyên cần tháng",""))</f>
        <v/>
      </c>
      <c r="AI17" s="89" t="s">
        <v>284</v>
      </c>
    </row>
    <row r="18" spans="1:35" x14ac:dyDescent="0.25">
      <c r="A18" s="4" t="s">
        <v>151</v>
      </c>
      <c r="B18" s="1" t="s">
        <v>152</v>
      </c>
      <c r="C18" s="1" t="s">
        <v>19</v>
      </c>
      <c r="D18" s="1" t="s">
        <v>40</v>
      </c>
      <c r="E18" s="1" t="s">
        <v>21</v>
      </c>
      <c r="F18" s="1" t="s">
        <v>22</v>
      </c>
      <c r="G18" s="1" t="s">
        <v>12</v>
      </c>
      <c r="H18" s="1" t="s">
        <v>161</v>
      </c>
      <c r="I18" s="1" t="s">
        <v>282</v>
      </c>
      <c r="J18" s="1" t="s">
        <v>24</v>
      </c>
      <c r="K18" s="1" t="s">
        <v>24</v>
      </c>
      <c r="L18" s="1" t="s">
        <v>25</v>
      </c>
      <c r="M18" s="1" t="s">
        <v>24</v>
      </c>
      <c r="N18" s="1" t="s">
        <v>24</v>
      </c>
      <c r="O18" s="1" t="s">
        <v>24</v>
      </c>
      <c r="P18" s="1" t="s">
        <v>24</v>
      </c>
      <c r="Q18" s="1" t="s">
        <v>24</v>
      </c>
      <c r="R18" s="85" t="str">
        <f t="shared" si="0"/>
        <v>6545916</v>
      </c>
      <c r="S18" t="str">
        <f>VLOOKUP(A18,Data_NV!$A:$C,3,0)</f>
        <v>Lý Kim Hồ</v>
      </c>
      <c r="T18" t="str">
        <f>VLOOKUP(A18,Data_NV!$A:$E,4,0)</f>
        <v>Kế toán - Văn phòng</v>
      </c>
      <c r="U18" s="82">
        <f>DATEVALUE(Table2[[#This Row],[Ngày]])</f>
        <v>45916</v>
      </c>
      <c r="V18" t="str">
        <f>VLOOKUP(A18,Data_NV!$A:$E,5,0)</f>
        <v>Đang làm việc</v>
      </c>
      <c r="W18" s="10">
        <f>VLOOKUP(A18,Data_NV!$A:$I,8,0)</f>
        <v>0.33333333333333331</v>
      </c>
      <c r="X18" s="10">
        <f>VLOOKUP(A18,Data_NV!$A:$I,9,0)</f>
        <v>0.70833333333333337</v>
      </c>
      <c r="Y18" s="10">
        <f>IFERROR(TIMEVALUE(Table2[[#This Row],[Vào]]),0)</f>
        <v>0.33333333333333331</v>
      </c>
      <c r="Z18" s="10">
        <f>IFERROR(TIMEVALUE(Table2[[#This Row],[Ra]]),0)</f>
        <v>0.70833333333333337</v>
      </c>
      <c r="AA18" t="str">
        <f t="shared" si="3"/>
        <v>x</v>
      </c>
      <c r="AB18" s="12">
        <f t="shared" si="1"/>
        <v>0</v>
      </c>
      <c r="AC18" s="12" t="str">
        <f>IF(VLOOKUP(A18,Data_NV!$A:$I,7,0)="Không","",IF(OR(AND(Y18=0,Z18=0),AND(Y18&lt;&gt;0,Z18&lt;&gt;0)),"","Quên chấm công"))</f>
        <v/>
      </c>
      <c r="AD18" s="12">
        <f>IF(VLOOKUP(A18,Data_NV!$A:$I,7,0)="Không",0,IF(AND(Y18=0,Z18=0),0,IF(X18&lt;=Z18,0,ROUNDDOWN((X18-Z18)*24*60,0))))</f>
        <v>0</v>
      </c>
      <c r="AE18" s="12">
        <f>IF(VLOOKUP(A18,Data_NV!$A:$I,6,0)="Không",0,IF(Z18&lt;=X18,0,ROUNDDOWN((Z18-X18)*24*60,0)))</f>
        <v>0</v>
      </c>
      <c r="AF18" s="26">
        <f t="shared" si="2"/>
        <v>0</v>
      </c>
      <c r="AG18" s="27" t="str">
        <f>IF(AC18="","",IF(COUNTIFS($AC$3:AC18,"Quên chấm công",$S$3:S18,S18)&gt;3,"Không chấm công do vi phạm quá 3 lần",IF(COUNTIFS($AC$3:AC18,"Quên chấm công",$S$3:S18,S18)&gt;2,"Trừ toàn bộ chuyên cần tháng do vi phạm lần 3",IF(COUNTIFS($AC$3:AC18,"Quên chấm công",$S$3:S18,S18)&gt;1,"Trừ 1/2 ngày lương",50000))))</f>
        <v/>
      </c>
      <c r="AH18" s="12" t="str">
        <f>IF(AF18=0,"",IF(COUNTIFS($AF$3:AF18,"&gt;0",$S$3:S18,S18)&gt;3,"Trừ toàn bộ chuyên cần tháng",""))</f>
        <v/>
      </c>
      <c r="AI18" s="92" t="s">
        <v>285</v>
      </c>
    </row>
    <row r="19" spans="1:35" x14ac:dyDescent="0.25">
      <c r="A19" s="4" t="s">
        <v>151</v>
      </c>
      <c r="B19" s="1" t="s">
        <v>152</v>
      </c>
      <c r="C19" s="1" t="s">
        <v>19</v>
      </c>
      <c r="D19" s="1" t="s">
        <v>41</v>
      </c>
      <c r="E19" s="1" t="s">
        <v>21</v>
      </c>
      <c r="F19" s="1" t="s">
        <v>22</v>
      </c>
      <c r="G19" s="1" t="s">
        <v>12</v>
      </c>
      <c r="H19" s="1" t="s">
        <v>161</v>
      </c>
      <c r="I19" s="1" t="s">
        <v>282</v>
      </c>
      <c r="J19" s="1" t="s">
        <v>24</v>
      </c>
      <c r="K19" s="1" t="s">
        <v>24</v>
      </c>
      <c r="L19" s="1" t="s">
        <v>25</v>
      </c>
      <c r="M19" s="1" t="s">
        <v>24</v>
      </c>
      <c r="N19" s="1" t="s">
        <v>24</v>
      </c>
      <c r="O19" s="1" t="s">
        <v>24</v>
      </c>
      <c r="P19" s="1" t="s">
        <v>24</v>
      </c>
      <c r="Q19" s="1" t="s">
        <v>24</v>
      </c>
      <c r="R19" s="85" t="str">
        <f t="shared" si="0"/>
        <v>6545917</v>
      </c>
      <c r="S19" t="str">
        <f>VLOOKUP(A19,Data_NV!$A:$C,3,0)</f>
        <v>Lý Kim Hồ</v>
      </c>
      <c r="T19" t="str">
        <f>VLOOKUP(A19,Data_NV!$A:$E,4,0)</f>
        <v>Kế toán - Văn phòng</v>
      </c>
      <c r="U19" s="82">
        <f>DATEVALUE(Table2[[#This Row],[Ngày]])</f>
        <v>45917</v>
      </c>
      <c r="V19" t="str">
        <f>VLOOKUP(A19,Data_NV!$A:$E,5,0)</f>
        <v>Đang làm việc</v>
      </c>
      <c r="W19" s="10">
        <f>VLOOKUP(A19,Data_NV!$A:$I,8,0)</f>
        <v>0.33333333333333331</v>
      </c>
      <c r="X19" s="10">
        <f>VLOOKUP(A19,Data_NV!$A:$I,9,0)</f>
        <v>0.70833333333333337</v>
      </c>
      <c r="Y19" s="10">
        <f>IFERROR(TIMEVALUE(Table2[[#This Row],[Vào]]),0)</f>
        <v>0.33333333333333331</v>
      </c>
      <c r="Z19" s="10">
        <f>IFERROR(TIMEVALUE(Table2[[#This Row],[Ra]]),0)</f>
        <v>0.70833333333333337</v>
      </c>
      <c r="AA19" t="str">
        <f t="shared" si="3"/>
        <v>x</v>
      </c>
      <c r="AB19" s="12">
        <f t="shared" si="1"/>
        <v>0</v>
      </c>
      <c r="AC19" s="12" t="str">
        <f>IF(VLOOKUP(A19,Data_NV!$A:$I,7,0)="Không","",IF(OR(AND(Y19=0,Z19=0),AND(Y19&lt;&gt;0,Z19&lt;&gt;0)),"","Quên chấm công"))</f>
        <v/>
      </c>
      <c r="AD19" s="12">
        <f>IF(VLOOKUP(A19,Data_NV!$A:$I,7,0)="Không",0,IF(AND(Y19=0,Z19=0),0,IF(X19&lt;=Z19,0,ROUNDDOWN((X19-Z19)*24*60,0))))</f>
        <v>0</v>
      </c>
      <c r="AE19" s="12">
        <f>IF(VLOOKUP(A19,Data_NV!$A:$I,6,0)="Không",0,IF(Z19&lt;=X19,0,ROUNDDOWN((Z19-X19)*24*60,0)))</f>
        <v>0</v>
      </c>
      <c r="AF19" s="26">
        <f t="shared" si="2"/>
        <v>0</v>
      </c>
      <c r="AG19" s="27" t="str">
        <f>IF(AC19="","",IF(COUNTIFS($AC$3:AC19,"Quên chấm công",$S$3:S19,S19)&gt;3,"Không chấm công do vi phạm quá 3 lần",IF(COUNTIFS($AC$3:AC19,"Quên chấm công",$S$3:S19,S19)&gt;2,"Trừ toàn bộ chuyên cần tháng do vi phạm lần 3",IF(COUNTIFS($AC$3:AC19,"Quên chấm công",$S$3:S19,S19)&gt;1,"Trừ 1/2 ngày lương",50000))))</f>
        <v/>
      </c>
      <c r="AH19" s="12" t="str">
        <f>IF(AF19=0,"",IF(COUNTIFS($AF$3:AF19,"&gt;0",$S$3:S19,S19)&gt;3,"Trừ toàn bộ chuyên cần tháng",""))</f>
        <v/>
      </c>
      <c r="AI19" s="92" t="s">
        <v>285</v>
      </c>
    </row>
    <row r="20" spans="1:35" x14ac:dyDescent="0.25">
      <c r="A20" s="4" t="s">
        <v>151</v>
      </c>
      <c r="B20" s="1" t="s">
        <v>152</v>
      </c>
      <c r="C20" s="1" t="s">
        <v>19</v>
      </c>
      <c r="D20" s="1" t="s">
        <v>42</v>
      </c>
      <c r="E20" s="1" t="s">
        <v>21</v>
      </c>
      <c r="F20" s="1" t="s">
        <v>22</v>
      </c>
      <c r="G20" s="1" t="s">
        <v>12</v>
      </c>
      <c r="H20" s="1" t="s">
        <v>161</v>
      </c>
      <c r="I20" s="1" t="s">
        <v>282</v>
      </c>
      <c r="J20" s="1" t="s">
        <v>24</v>
      </c>
      <c r="K20" s="1" t="s">
        <v>24</v>
      </c>
      <c r="L20" s="1" t="s">
        <v>25</v>
      </c>
      <c r="M20" s="1" t="s">
        <v>24</v>
      </c>
      <c r="N20" s="1" t="s">
        <v>24</v>
      </c>
      <c r="O20" s="1" t="s">
        <v>24</v>
      </c>
      <c r="P20" s="1" t="s">
        <v>24</v>
      </c>
      <c r="Q20" s="1" t="s">
        <v>24</v>
      </c>
      <c r="R20" s="85" t="str">
        <f t="shared" si="0"/>
        <v>6545918</v>
      </c>
      <c r="S20" t="str">
        <f>VLOOKUP(A20,Data_NV!$A:$C,3,0)</f>
        <v>Lý Kim Hồ</v>
      </c>
      <c r="T20" t="str">
        <f>VLOOKUP(A20,Data_NV!$A:$E,4,0)</f>
        <v>Kế toán - Văn phòng</v>
      </c>
      <c r="U20" s="82">
        <f>DATEVALUE(Table2[[#This Row],[Ngày]])</f>
        <v>45918</v>
      </c>
      <c r="V20" t="str">
        <f>VLOOKUP(A20,Data_NV!$A:$E,5,0)</f>
        <v>Đang làm việc</v>
      </c>
      <c r="W20" s="10">
        <f>VLOOKUP(A20,Data_NV!$A:$I,8,0)</f>
        <v>0.33333333333333331</v>
      </c>
      <c r="X20" s="10">
        <f>VLOOKUP(A20,Data_NV!$A:$I,9,0)</f>
        <v>0.70833333333333337</v>
      </c>
      <c r="Y20" s="10">
        <f>IFERROR(TIMEVALUE(Table2[[#This Row],[Vào]]),0)</f>
        <v>0.33333333333333331</v>
      </c>
      <c r="Z20" s="10">
        <f>IFERROR(TIMEVALUE(Table2[[#This Row],[Ra]]),0)</f>
        <v>0.70833333333333337</v>
      </c>
      <c r="AA20" t="str">
        <f t="shared" si="3"/>
        <v>x</v>
      </c>
      <c r="AB20" s="12">
        <f t="shared" si="1"/>
        <v>0</v>
      </c>
      <c r="AC20" s="12" t="str">
        <f>IF(VLOOKUP(A20,Data_NV!$A:$I,7,0)="Không","",IF(OR(AND(Y20=0,Z20=0),AND(Y20&lt;&gt;0,Z20&lt;&gt;0)),"","Quên chấm công"))</f>
        <v/>
      </c>
      <c r="AD20" s="12">
        <f>IF(VLOOKUP(A20,Data_NV!$A:$I,7,0)="Không",0,IF(AND(Y20=0,Z20=0),0,IF(X20&lt;=Z20,0,ROUNDDOWN((X20-Z20)*24*60,0))))</f>
        <v>0</v>
      </c>
      <c r="AE20" s="12">
        <f>IF(VLOOKUP(A20,Data_NV!$A:$I,6,0)="Không",0,IF(Z20&lt;=X20,0,ROUNDDOWN((Z20-X20)*24*60,0)))</f>
        <v>0</v>
      </c>
      <c r="AF20" s="26">
        <f t="shared" si="2"/>
        <v>0</v>
      </c>
      <c r="AG20" s="27" t="str">
        <f>IF(AC20="","",IF(COUNTIFS($AC$3:AC20,"Quên chấm công",$S$3:S20,S20)&gt;3,"Không chấm công do vi phạm quá 3 lần",IF(COUNTIFS($AC$3:AC20,"Quên chấm công",$S$3:S20,S20)&gt;2,"Trừ toàn bộ chuyên cần tháng do vi phạm lần 3",IF(COUNTIFS($AC$3:AC20,"Quên chấm công",$S$3:S20,S20)&gt;1,"Trừ 1/2 ngày lương",50000))))</f>
        <v/>
      </c>
      <c r="AH20" s="12" t="str">
        <f>IF(AF20=0,"",IF(COUNTIFS($AF$3:AF20,"&gt;0",$S$3:S20,S20)&gt;3,"Trừ toàn bộ chuyên cần tháng",""))</f>
        <v/>
      </c>
      <c r="AI20" s="92" t="s">
        <v>285</v>
      </c>
    </row>
    <row r="21" spans="1:35" x14ac:dyDescent="0.25">
      <c r="A21" s="4" t="s">
        <v>151</v>
      </c>
      <c r="B21" s="1" t="s">
        <v>152</v>
      </c>
      <c r="C21" s="1" t="s">
        <v>19</v>
      </c>
      <c r="D21" s="1" t="s">
        <v>43</v>
      </c>
      <c r="E21" s="1" t="s">
        <v>21</v>
      </c>
      <c r="F21" s="1" t="s">
        <v>22</v>
      </c>
      <c r="G21" s="1" t="s">
        <v>12</v>
      </c>
      <c r="H21" s="1" t="s">
        <v>161</v>
      </c>
      <c r="I21" s="1" t="s">
        <v>282</v>
      </c>
      <c r="J21" s="1" t="s">
        <v>24</v>
      </c>
      <c r="K21" s="1" t="s">
        <v>24</v>
      </c>
      <c r="L21" s="1" t="s">
        <v>25</v>
      </c>
      <c r="M21" s="1" t="s">
        <v>24</v>
      </c>
      <c r="N21" s="1" t="s">
        <v>24</v>
      </c>
      <c r="O21" s="1" t="s">
        <v>24</v>
      </c>
      <c r="P21" s="1" t="s">
        <v>24</v>
      </c>
      <c r="Q21" s="1" t="s">
        <v>24</v>
      </c>
      <c r="R21" s="85" t="str">
        <f t="shared" si="0"/>
        <v>6545919</v>
      </c>
      <c r="S21" t="str">
        <f>VLOOKUP(A21,Data_NV!$A:$C,3,0)</f>
        <v>Lý Kim Hồ</v>
      </c>
      <c r="T21" t="str">
        <f>VLOOKUP(A21,Data_NV!$A:$E,4,0)</f>
        <v>Kế toán - Văn phòng</v>
      </c>
      <c r="U21" s="82">
        <f>DATEVALUE(Table2[[#This Row],[Ngày]])</f>
        <v>45919</v>
      </c>
      <c r="V21" t="str">
        <f>VLOOKUP(A21,Data_NV!$A:$E,5,0)</f>
        <v>Đang làm việc</v>
      </c>
      <c r="W21" s="10">
        <f>VLOOKUP(A21,Data_NV!$A:$I,8,0)</f>
        <v>0.33333333333333331</v>
      </c>
      <c r="X21" s="10">
        <f>VLOOKUP(A21,Data_NV!$A:$I,9,0)</f>
        <v>0.70833333333333337</v>
      </c>
      <c r="Y21" s="10">
        <f>IFERROR(TIMEVALUE(Table2[[#This Row],[Vào]]),0)</f>
        <v>0.33333333333333331</v>
      </c>
      <c r="Z21" s="10">
        <f>IFERROR(TIMEVALUE(Table2[[#This Row],[Ra]]),0)</f>
        <v>0.70833333333333337</v>
      </c>
      <c r="AA21" t="str">
        <f t="shared" si="3"/>
        <v>x</v>
      </c>
      <c r="AB21" s="12">
        <f t="shared" si="1"/>
        <v>0</v>
      </c>
      <c r="AC21" s="12" t="str">
        <f>IF(VLOOKUP(A21,Data_NV!$A:$I,7,0)="Không","",IF(OR(AND(Y21=0,Z21=0),AND(Y21&lt;&gt;0,Z21&lt;&gt;0)),"","Quên chấm công"))</f>
        <v/>
      </c>
      <c r="AD21" s="12">
        <f>IF(VLOOKUP(A21,Data_NV!$A:$I,7,0)="Không",0,IF(AND(Y21=0,Z21=0),0,IF(X21&lt;=Z21,0,ROUNDDOWN((X21-Z21)*24*60,0))))</f>
        <v>0</v>
      </c>
      <c r="AE21" s="12">
        <f>IF(VLOOKUP(A21,Data_NV!$A:$I,6,0)="Không",0,IF(Z21&lt;=X21,0,ROUNDDOWN((Z21-X21)*24*60,0)))</f>
        <v>0</v>
      </c>
      <c r="AF21" s="26">
        <f t="shared" si="2"/>
        <v>0</v>
      </c>
      <c r="AG21" s="27" t="str">
        <f>IF(AC21="","",IF(COUNTIFS($AC$3:AC21,"Quên chấm công",$S$3:S21,S21)&gt;3,"Không chấm công do vi phạm quá 3 lần",IF(COUNTIFS($AC$3:AC21,"Quên chấm công",$S$3:S21,S21)&gt;2,"Trừ toàn bộ chuyên cần tháng do vi phạm lần 3",IF(COUNTIFS($AC$3:AC21,"Quên chấm công",$S$3:S21,S21)&gt;1,"Trừ 1/2 ngày lương",50000))))</f>
        <v/>
      </c>
      <c r="AH21" s="12" t="str">
        <f>IF(AF21=0,"",IF(COUNTIFS($AF$3:AF21,"&gt;0",$S$3:S21,S21)&gt;3,"Trừ toàn bộ chuyên cần tháng",""))</f>
        <v/>
      </c>
      <c r="AI21" s="92" t="s">
        <v>285</v>
      </c>
    </row>
    <row r="22" spans="1:35" x14ac:dyDescent="0.25">
      <c r="A22" s="4" t="s">
        <v>151</v>
      </c>
      <c r="B22" s="1" t="s">
        <v>152</v>
      </c>
      <c r="C22" s="1" t="s">
        <v>19</v>
      </c>
      <c r="D22" s="1" t="s">
        <v>44</v>
      </c>
      <c r="E22" s="1" t="s">
        <v>21</v>
      </c>
      <c r="F22" s="1" t="s">
        <v>22</v>
      </c>
      <c r="G22" s="1" t="s">
        <v>12</v>
      </c>
      <c r="H22" s="1" t="s">
        <v>161</v>
      </c>
      <c r="I22" s="1" t="s">
        <v>282</v>
      </c>
      <c r="J22" s="1" t="s">
        <v>24</v>
      </c>
      <c r="K22" s="1" t="s">
        <v>24</v>
      </c>
      <c r="L22" s="1" t="s">
        <v>25</v>
      </c>
      <c r="M22" s="1" t="s">
        <v>24</v>
      </c>
      <c r="N22" s="1" t="s">
        <v>24</v>
      </c>
      <c r="O22" s="1" t="s">
        <v>24</v>
      </c>
      <c r="P22" s="1" t="s">
        <v>24</v>
      </c>
      <c r="Q22" s="1" t="s">
        <v>24</v>
      </c>
      <c r="R22" s="85" t="str">
        <f t="shared" si="0"/>
        <v>6545920</v>
      </c>
      <c r="S22" t="str">
        <f>VLOOKUP(A22,Data_NV!$A:$C,3,0)</f>
        <v>Lý Kim Hồ</v>
      </c>
      <c r="T22" t="str">
        <f>VLOOKUP(A22,Data_NV!$A:$E,4,0)</f>
        <v>Kế toán - Văn phòng</v>
      </c>
      <c r="U22" s="82">
        <f>DATEVALUE(Table2[[#This Row],[Ngày]])</f>
        <v>45920</v>
      </c>
      <c r="V22" t="str">
        <f>VLOOKUP(A22,Data_NV!$A:$E,5,0)</f>
        <v>Đang làm việc</v>
      </c>
      <c r="W22" s="10">
        <f>VLOOKUP(A22,Data_NV!$A:$I,8,0)</f>
        <v>0.33333333333333331</v>
      </c>
      <c r="X22" s="10">
        <f>VLOOKUP(A22,Data_NV!$A:$I,9,0)</f>
        <v>0.70833333333333337</v>
      </c>
      <c r="Y22" s="10">
        <f>IFERROR(TIMEVALUE(Table2[[#This Row],[Vào]]),0)</f>
        <v>0.33333333333333331</v>
      </c>
      <c r="Z22" s="10">
        <f>IFERROR(TIMEVALUE(Table2[[#This Row],[Ra]]),0)</f>
        <v>0.70833333333333337</v>
      </c>
      <c r="AA22" t="str">
        <f t="shared" si="3"/>
        <v>x</v>
      </c>
      <c r="AB22" s="12">
        <f t="shared" si="1"/>
        <v>0</v>
      </c>
      <c r="AC22" s="12" t="str">
        <f>IF(VLOOKUP(A22,Data_NV!$A:$I,7,0)="Không","",IF(OR(AND(Y22=0,Z22=0),AND(Y22&lt;&gt;0,Z22&lt;&gt;0)),"","Quên chấm công"))</f>
        <v/>
      </c>
      <c r="AD22" s="12">
        <f>IF(VLOOKUP(A22,Data_NV!$A:$I,7,0)="Không",0,IF(AND(Y22=0,Z22=0),0,IF(X22&lt;=Z22,0,ROUNDDOWN((X22-Z22)*24*60,0))))</f>
        <v>0</v>
      </c>
      <c r="AE22" s="12">
        <f>IF(VLOOKUP(A22,Data_NV!$A:$I,6,0)="Không",0,IF(Z22&lt;=X22,0,ROUNDDOWN((Z22-X22)*24*60,0)))</f>
        <v>0</v>
      </c>
      <c r="AF22" s="26">
        <f t="shared" si="2"/>
        <v>0</v>
      </c>
      <c r="AG22" s="27" t="str">
        <f>IF(AC22="","",IF(COUNTIFS($AC$3:AC22,"Quên chấm công",$S$3:S22,S22)&gt;3,"Không chấm công do vi phạm quá 3 lần",IF(COUNTIFS($AC$3:AC22,"Quên chấm công",$S$3:S22,S22)&gt;2,"Trừ toàn bộ chuyên cần tháng do vi phạm lần 3",IF(COUNTIFS($AC$3:AC22,"Quên chấm công",$S$3:S22,S22)&gt;1,"Trừ 1/2 ngày lương",50000))))</f>
        <v/>
      </c>
      <c r="AH22" s="12" t="str">
        <f>IF(AF22=0,"",IF(COUNTIFS($AF$3:AF22,"&gt;0",$S$3:S22,S22)&gt;3,"Trừ toàn bộ chuyên cần tháng",""))</f>
        <v/>
      </c>
      <c r="AI22" s="92" t="s">
        <v>285</v>
      </c>
    </row>
    <row r="23" spans="1:35" x14ac:dyDescent="0.25">
      <c r="A23" s="4" t="s">
        <v>151</v>
      </c>
      <c r="B23" s="1" t="s">
        <v>152</v>
      </c>
      <c r="C23" s="1" t="s">
        <v>19</v>
      </c>
      <c r="D23" s="1" t="s">
        <v>45</v>
      </c>
      <c r="E23" s="1" t="s">
        <v>21</v>
      </c>
      <c r="F23" s="1" t="s">
        <v>22</v>
      </c>
      <c r="G23" s="1" t="s">
        <v>12</v>
      </c>
      <c r="H23" s="1" t="s">
        <v>161</v>
      </c>
      <c r="I23" s="1" t="s">
        <v>282</v>
      </c>
      <c r="J23" s="1" t="s">
        <v>24</v>
      </c>
      <c r="K23" s="1" t="s">
        <v>24</v>
      </c>
      <c r="L23" s="1" t="s">
        <v>25</v>
      </c>
      <c r="M23" s="1" t="s">
        <v>24</v>
      </c>
      <c r="N23" s="1" t="s">
        <v>24</v>
      </c>
      <c r="O23" s="1" t="s">
        <v>24</v>
      </c>
      <c r="P23" s="1" t="s">
        <v>24</v>
      </c>
      <c r="Q23" s="1" t="s">
        <v>24</v>
      </c>
      <c r="R23" s="85" t="str">
        <f t="shared" si="0"/>
        <v>6545921</v>
      </c>
      <c r="S23" t="str">
        <f>VLOOKUP(A23,Data_NV!$A:$C,3,0)</f>
        <v>Lý Kim Hồ</v>
      </c>
      <c r="T23" t="str">
        <f>VLOOKUP(A23,Data_NV!$A:$E,4,0)</f>
        <v>Kế toán - Văn phòng</v>
      </c>
      <c r="U23" s="82">
        <f>DATEVALUE(Table2[[#This Row],[Ngày]])</f>
        <v>45921</v>
      </c>
      <c r="V23" t="str">
        <f>VLOOKUP(A23,Data_NV!$A:$E,5,0)</f>
        <v>Đang làm việc</v>
      </c>
      <c r="W23" s="10">
        <f>VLOOKUP(A23,Data_NV!$A:$I,8,0)</f>
        <v>0.33333333333333331</v>
      </c>
      <c r="X23" s="10">
        <f>VLOOKUP(A23,Data_NV!$A:$I,9,0)</f>
        <v>0.70833333333333337</v>
      </c>
      <c r="Y23" s="10">
        <f>IFERROR(TIMEVALUE(Table2[[#This Row],[Vào]]),0)</f>
        <v>0.33333333333333331</v>
      </c>
      <c r="Z23" s="10">
        <f>IFERROR(TIMEVALUE(Table2[[#This Row],[Ra]]),0)</f>
        <v>0.70833333333333337</v>
      </c>
      <c r="AA23" t="str">
        <f t="shared" si="3"/>
        <v>Chủ nhật</v>
      </c>
      <c r="AB23" s="12">
        <f t="shared" si="1"/>
        <v>0</v>
      </c>
      <c r="AC23" s="12" t="str">
        <f>IF(VLOOKUP(A23,Data_NV!$A:$I,7,0)="Không","",IF(OR(AND(Y23=0,Z23=0),AND(Y23&lt;&gt;0,Z23&lt;&gt;0)),"","Quên chấm công"))</f>
        <v/>
      </c>
      <c r="AD23" s="12">
        <f>IF(VLOOKUP(A23,Data_NV!$A:$I,7,0)="Không",0,IF(AND(Y23=0,Z23=0),0,IF(X23&lt;=Z23,0,ROUNDDOWN((X23-Z23)*24*60,0))))</f>
        <v>0</v>
      </c>
      <c r="AE23" s="12">
        <f>IF(VLOOKUP(A23,Data_NV!$A:$I,6,0)="Không",0,IF(Z23&lt;=X23,0,ROUNDDOWN((Z23-X23)*24*60,0)))</f>
        <v>0</v>
      </c>
      <c r="AF23" s="26">
        <f t="shared" si="2"/>
        <v>0</v>
      </c>
      <c r="AG23" s="27" t="str">
        <f>IF(AC23="","",IF(COUNTIFS($AC$3:AC23,"Quên chấm công",$S$3:S23,S23)&gt;3,"Không chấm công do vi phạm quá 3 lần",IF(COUNTIFS($AC$3:AC23,"Quên chấm công",$S$3:S23,S23)&gt;2,"Trừ toàn bộ chuyên cần tháng do vi phạm lần 3",IF(COUNTIFS($AC$3:AC23,"Quên chấm công",$S$3:S23,S23)&gt;1,"Trừ 1/2 ngày lương",50000))))</f>
        <v/>
      </c>
      <c r="AH23" s="12" t="str">
        <f>IF(AF23=0,"",IF(COUNTIFS($AF$3:AF23,"&gt;0",$S$3:S23,S23)&gt;3,"Trừ toàn bộ chuyên cần tháng",""))</f>
        <v/>
      </c>
      <c r="AI23" s="89" t="s">
        <v>284</v>
      </c>
    </row>
    <row r="24" spans="1:35" x14ac:dyDescent="0.25">
      <c r="A24" s="4" t="s">
        <v>151</v>
      </c>
      <c r="B24" s="1" t="s">
        <v>152</v>
      </c>
      <c r="C24" s="1" t="s">
        <v>19</v>
      </c>
      <c r="D24" s="1" t="s">
        <v>46</v>
      </c>
      <c r="E24" s="1" t="s">
        <v>21</v>
      </c>
      <c r="F24" s="1" t="s">
        <v>22</v>
      </c>
      <c r="G24" s="1" t="s">
        <v>12</v>
      </c>
      <c r="H24" s="1" t="s">
        <v>161</v>
      </c>
      <c r="I24" s="1" t="s">
        <v>282</v>
      </c>
      <c r="J24" s="1" t="s">
        <v>24</v>
      </c>
      <c r="K24" s="1" t="s">
        <v>24</v>
      </c>
      <c r="L24" s="1" t="s">
        <v>25</v>
      </c>
      <c r="M24" s="1" t="s">
        <v>24</v>
      </c>
      <c r="N24" s="1" t="s">
        <v>24</v>
      </c>
      <c r="O24" s="1" t="s">
        <v>24</v>
      </c>
      <c r="P24" s="1" t="s">
        <v>24</v>
      </c>
      <c r="Q24" s="1" t="s">
        <v>24</v>
      </c>
      <c r="R24" s="85" t="str">
        <f t="shared" si="0"/>
        <v>6545922</v>
      </c>
      <c r="S24" t="str">
        <f>VLOOKUP(A24,Data_NV!$A:$C,3,0)</f>
        <v>Lý Kim Hồ</v>
      </c>
      <c r="T24" t="str">
        <f>VLOOKUP(A24,Data_NV!$A:$E,4,0)</f>
        <v>Kế toán - Văn phòng</v>
      </c>
      <c r="U24" s="82">
        <f>DATEVALUE(Table2[[#This Row],[Ngày]])</f>
        <v>45922</v>
      </c>
      <c r="V24" t="str">
        <f>VLOOKUP(A24,Data_NV!$A:$E,5,0)</f>
        <v>Đang làm việc</v>
      </c>
      <c r="W24" s="10">
        <f>VLOOKUP(A24,Data_NV!$A:$I,8,0)</f>
        <v>0.33333333333333331</v>
      </c>
      <c r="X24" s="10">
        <f>VLOOKUP(A24,Data_NV!$A:$I,9,0)</f>
        <v>0.70833333333333337</v>
      </c>
      <c r="Y24" s="10">
        <f>IFERROR(TIMEVALUE(Table2[[#This Row],[Vào]]),0)</f>
        <v>0.33333333333333331</v>
      </c>
      <c r="Z24" s="10">
        <f>IFERROR(TIMEVALUE(Table2[[#This Row],[Ra]]),0)</f>
        <v>0.70833333333333337</v>
      </c>
      <c r="AA24" t="str">
        <f t="shared" si="3"/>
        <v>x</v>
      </c>
      <c r="AB24" s="12">
        <f t="shared" si="1"/>
        <v>0</v>
      </c>
      <c r="AC24" s="12" t="str">
        <f>IF(VLOOKUP(A24,Data_NV!$A:$I,7,0)="Không","",IF(OR(AND(Y24=0,Z24=0),AND(Y24&lt;&gt;0,Z24&lt;&gt;0)),"","Quên chấm công"))</f>
        <v/>
      </c>
      <c r="AD24" s="12">
        <f>IF(VLOOKUP(A24,Data_NV!$A:$I,7,0)="Không",0,IF(AND(Y24=0,Z24=0),0,IF(X24&lt;=Z24,0,ROUNDDOWN((X24-Z24)*24*60,0))))</f>
        <v>0</v>
      </c>
      <c r="AE24" s="12">
        <f>IF(VLOOKUP(A24,Data_NV!$A:$I,6,0)="Không",0,IF(Z24&lt;=X24,0,ROUNDDOWN((Z24-X24)*24*60,0)))</f>
        <v>0</v>
      </c>
      <c r="AF24" s="26">
        <f t="shared" si="2"/>
        <v>0</v>
      </c>
      <c r="AG24" s="27" t="str">
        <f>IF(AC24="","",IF(COUNTIFS($AC$3:AC24,"Quên chấm công",$S$3:S24,S24)&gt;3,"Không chấm công do vi phạm quá 3 lần",IF(COUNTIFS($AC$3:AC24,"Quên chấm công",$S$3:S24,S24)&gt;2,"Trừ toàn bộ chuyên cần tháng do vi phạm lần 3",IF(COUNTIFS($AC$3:AC24,"Quên chấm công",$S$3:S24,S24)&gt;1,"Trừ 1/2 ngày lương",50000))))</f>
        <v/>
      </c>
      <c r="AH24" s="12" t="str">
        <f>IF(AF24=0,"",IF(COUNTIFS($AF$3:AF24,"&gt;0",$S$3:S24,S24)&gt;3,"Trừ toàn bộ chuyên cần tháng",""))</f>
        <v/>
      </c>
      <c r="AI24" s="89" t="s">
        <v>284</v>
      </c>
    </row>
    <row r="25" spans="1:35" x14ac:dyDescent="0.25">
      <c r="A25" s="4" t="s">
        <v>151</v>
      </c>
      <c r="B25" s="1" t="s">
        <v>152</v>
      </c>
      <c r="C25" s="1" t="s">
        <v>19</v>
      </c>
      <c r="D25" s="1" t="s">
        <v>47</v>
      </c>
      <c r="E25" s="1" t="s">
        <v>21</v>
      </c>
      <c r="F25" s="1" t="s">
        <v>22</v>
      </c>
      <c r="G25" s="1" t="s">
        <v>12</v>
      </c>
      <c r="H25" s="1" t="s">
        <v>161</v>
      </c>
      <c r="I25" s="1" t="s">
        <v>282</v>
      </c>
      <c r="J25" s="1" t="s">
        <v>24</v>
      </c>
      <c r="K25" s="1" t="s">
        <v>24</v>
      </c>
      <c r="L25" s="1" t="s">
        <v>25</v>
      </c>
      <c r="M25" s="1" t="s">
        <v>24</v>
      </c>
      <c r="N25" s="1" t="s">
        <v>24</v>
      </c>
      <c r="O25" s="1" t="s">
        <v>24</v>
      </c>
      <c r="P25" s="1" t="s">
        <v>24</v>
      </c>
      <c r="Q25" s="1" t="s">
        <v>24</v>
      </c>
      <c r="R25" s="85" t="str">
        <f t="shared" si="0"/>
        <v>6545923</v>
      </c>
      <c r="S25" t="str">
        <f>VLOOKUP(A25,Data_NV!$A:$C,3,0)</f>
        <v>Lý Kim Hồ</v>
      </c>
      <c r="T25" t="str">
        <f>VLOOKUP(A25,Data_NV!$A:$E,4,0)</f>
        <v>Kế toán - Văn phòng</v>
      </c>
      <c r="U25" s="82">
        <f>DATEVALUE(Table2[[#This Row],[Ngày]])</f>
        <v>45923</v>
      </c>
      <c r="V25" t="str">
        <f>VLOOKUP(A25,Data_NV!$A:$E,5,0)</f>
        <v>Đang làm việc</v>
      </c>
      <c r="W25" s="10">
        <f>VLOOKUP(A25,Data_NV!$A:$I,8,0)</f>
        <v>0.33333333333333331</v>
      </c>
      <c r="X25" s="10">
        <f>VLOOKUP(A25,Data_NV!$A:$I,9,0)</f>
        <v>0.70833333333333337</v>
      </c>
      <c r="Y25" s="10">
        <f>IFERROR(TIMEVALUE(Table2[[#This Row],[Vào]]),0)</f>
        <v>0.33333333333333331</v>
      </c>
      <c r="Z25" s="10">
        <f>IFERROR(TIMEVALUE(Table2[[#This Row],[Ra]]),0)</f>
        <v>0.70833333333333337</v>
      </c>
      <c r="AA25" t="str">
        <f t="shared" si="3"/>
        <v>x</v>
      </c>
      <c r="AB25" s="12">
        <f t="shared" si="1"/>
        <v>0</v>
      </c>
      <c r="AC25" s="12" t="str">
        <f>IF(VLOOKUP(A25,Data_NV!$A:$I,7,0)="Không","",IF(OR(AND(Y25=0,Z25=0),AND(Y25&lt;&gt;0,Z25&lt;&gt;0)),"","Quên chấm công"))</f>
        <v/>
      </c>
      <c r="AD25" s="12">
        <f>IF(VLOOKUP(A25,Data_NV!$A:$I,7,0)="Không",0,IF(AND(Y25=0,Z25=0),0,IF(X25&lt;=Z25,0,ROUNDDOWN((X25-Z25)*24*60,0))))</f>
        <v>0</v>
      </c>
      <c r="AE25" s="12">
        <f>IF(VLOOKUP(A25,Data_NV!$A:$I,6,0)="Không",0,IF(Z25&lt;=X25,0,ROUNDDOWN((Z25-X25)*24*60,0)))</f>
        <v>0</v>
      </c>
      <c r="AF25" s="26">
        <f t="shared" si="2"/>
        <v>0</v>
      </c>
      <c r="AG25" s="27" t="str">
        <f>IF(AC25="","",IF(COUNTIFS($AC$3:AC25,"Quên chấm công",$S$3:S25,S25)&gt;3,"Không chấm công do vi phạm quá 3 lần",IF(COUNTIFS($AC$3:AC25,"Quên chấm công",$S$3:S25,S25)&gt;2,"Trừ toàn bộ chuyên cần tháng do vi phạm lần 3",IF(COUNTIFS($AC$3:AC25,"Quên chấm công",$S$3:S25,S25)&gt;1,"Trừ 1/2 ngày lương",50000))))</f>
        <v/>
      </c>
      <c r="AH25" s="12" t="str">
        <f>IF(AF25=0,"",IF(COUNTIFS($AF$3:AF25,"&gt;0",$S$3:S25,S25)&gt;3,"Trừ toàn bộ chuyên cần tháng",""))</f>
        <v/>
      </c>
      <c r="AI25" s="89" t="s">
        <v>284</v>
      </c>
    </row>
    <row r="26" spans="1:35" x14ac:dyDescent="0.25">
      <c r="A26" s="4" t="s">
        <v>151</v>
      </c>
      <c r="B26" s="1" t="s">
        <v>152</v>
      </c>
      <c r="C26" s="1" t="s">
        <v>19</v>
      </c>
      <c r="D26" s="1" t="s">
        <v>48</v>
      </c>
      <c r="E26" s="1" t="s">
        <v>21</v>
      </c>
      <c r="F26" s="1" t="s">
        <v>22</v>
      </c>
      <c r="G26" s="1" t="s">
        <v>12</v>
      </c>
      <c r="H26" s="1" t="s">
        <v>161</v>
      </c>
      <c r="I26" s="1" t="s">
        <v>282</v>
      </c>
      <c r="J26" s="1" t="s">
        <v>24</v>
      </c>
      <c r="K26" s="1" t="s">
        <v>24</v>
      </c>
      <c r="L26" s="1" t="s">
        <v>25</v>
      </c>
      <c r="M26" s="1" t="s">
        <v>24</v>
      </c>
      <c r="N26" s="1" t="s">
        <v>24</v>
      </c>
      <c r="O26" s="1" t="s">
        <v>24</v>
      </c>
      <c r="P26" s="1" t="s">
        <v>24</v>
      </c>
      <c r="Q26" s="1" t="s">
        <v>24</v>
      </c>
      <c r="R26" s="85" t="str">
        <f t="shared" si="0"/>
        <v>6545924</v>
      </c>
      <c r="S26" t="str">
        <f>VLOOKUP(A26,Data_NV!$A:$C,3,0)</f>
        <v>Lý Kim Hồ</v>
      </c>
      <c r="T26" t="str">
        <f>VLOOKUP(A26,Data_NV!$A:$E,4,0)</f>
        <v>Kế toán - Văn phòng</v>
      </c>
      <c r="U26" s="82">
        <f>DATEVALUE(Table2[[#This Row],[Ngày]])</f>
        <v>45924</v>
      </c>
      <c r="V26" t="str">
        <f>VLOOKUP(A26,Data_NV!$A:$E,5,0)</f>
        <v>Đang làm việc</v>
      </c>
      <c r="W26" s="10">
        <f>VLOOKUP(A26,Data_NV!$A:$I,8,0)</f>
        <v>0.33333333333333331</v>
      </c>
      <c r="X26" s="10">
        <f>VLOOKUP(A26,Data_NV!$A:$I,9,0)</f>
        <v>0.70833333333333337</v>
      </c>
      <c r="Y26" s="10">
        <f>IFERROR(TIMEVALUE(Table2[[#This Row],[Vào]]),0)</f>
        <v>0.33333333333333331</v>
      </c>
      <c r="Z26" s="10">
        <f>IFERROR(TIMEVALUE(Table2[[#This Row],[Ra]]),0)</f>
        <v>0.70833333333333337</v>
      </c>
      <c r="AA26" t="str">
        <f t="shared" si="3"/>
        <v>x</v>
      </c>
      <c r="AB26" s="12">
        <f t="shared" si="1"/>
        <v>0</v>
      </c>
      <c r="AC26" s="12" t="str">
        <f>IF(VLOOKUP(A26,Data_NV!$A:$I,7,0)="Không","",IF(OR(AND(Y26=0,Z26=0),AND(Y26&lt;&gt;0,Z26&lt;&gt;0)),"","Quên chấm công"))</f>
        <v/>
      </c>
      <c r="AD26" s="12">
        <f>IF(VLOOKUP(A26,Data_NV!$A:$I,7,0)="Không",0,IF(AND(Y26=0,Z26=0),0,IF(X26&lt;=Z26,0,ROUNDDOWN((X26-Z26)*24*60,0))))</f>
        <v>0</v>
      </c>
      <c r="AE26" s="12">
        <f>IF(VLOOKUP(A26,Data_NV!$A:$I,6,0)="Không",0,IF(Z26&lt;=X26,0,ROUNDDOWN((Z26-X26)*24*60,0)))</f>
        <v>0</v>
      </c>
      <c r="AF26" s="26">
        <f t="shared" si="2"/>
        <v>0</v>
      </c>
      <c r="AG26" s="27" t="str">
        <f>IF(AC26="","",IF(COUNTIFS($AC$3:AC26,"Quên chấm công",$S$3:S26,S26)&gt;3,"Không chấm công do vi phạm quá 3 lần",IF(COUNTIFS($AC$3:AC26,"Quên chấm công",$S$3:S26,S26)&gt;2,"Trừ toàn bộ chuyên cần tháng do vi phạm lần 3",IF(COUNTIFS($AC$3:AC26,"Quên chấm công",$S$3:S26,S26)&gt;1,"Trừ 1/2 ngày lương",50000))))</f>
        <v/>
      </c>
      <c r="AH26" s="12" t="str">
        <f>IF(AF26=0,"",IF(COUNTIFS($AF$3:AF26,"&gt;0",$S$3:S26,S26)&gt;3,"Trừ toàn bộ chuyên cần tháng",""))</f>
        <v/>
      </c>
      <c r="AI26" s="89" t="s">
        <v>284</v>
      </c>
    </row>
    <row r="27" spans="1:35" x14ac:dyDescent="0.25">
      <c r="A27" s="4" t="s">
        <v>151</v>
      </c>
      <c r="B27" s="1" t="s">
        <v>152</v>
      </c>
      <c r="C27" s="1" t="s">
        <v>19</v>
      </c>
      <c r="D27" s="1" t="s">
        <v>49</v>
      </c>
      <c r="E27" s="1" t="s">
        <v>21</v>
      </c>
      <c r="F27" s="1" t="s">
        <v>22</v>
      </c>
      <c r="G27" s="1" t="s">
        <v>12</v>
      </c>
      <c r="H27" s="1" t="s">
        <v>161</v>
      </c>
      <c r="I27" s="1" t="s">
        <v>282</v>
      </c>
      <c r="J27" s="1" t="s">
        <v>24</v>
      </c>
      <c r="K27" s="1" t="s">
        <v>24</v>
      </c>
      <c r="L27" s="1" t="s">
        <v>25</v>
      </c>
      <c r="M27" s="1" t="s">
        <v>24</v>
      </c>
      <c r="N27" s="1" t="s">
        <v>24</v>
      </c>
      <c r="O27" s="1" t="s">
        <v>24</v>
      </c>
      <c r="P27" s="1" t="s">
        <v>24</v>
      </c>
      <c r="Q27" s="1" t="s">
        <v>24</v>
      </c>
      <c r="R27" s="85" t="str">
        <f t="shared" si="0"/>
        <v>6545925</v>
      </c>
      <c r="S27" t="str">
        <f>VLOOKUP(A27,Data_NV!$A:$C,3,0)</f>
        <v>Lý Kim Hồ</v>
      </c>
      <c r="T27" t="str">
        <f>VLOOKUP(A27,Data_NV!$A:$E,4,0)</f>
        <v>Kế toán - Văn phòng</v>
      </c>
      <c r="U27" s="82">
        <f>DATEVALUE(Table2[[#This Row],[Ngày]])</f>
        <v>45925</v>
      </c>
      <c r="V27" t="str">
        <f>VLOOKUP(A27,Data_NV!$A:$E,5,0)</f>
        <v>Đang làm việc</v>
      </c>
      <c r="W27" s="10">
        <f>VLOOKUP(A27,Data_NV!$A:$I,8,0)</f>
        <v>0.33333333333333331</v>
      </c>
      <c r="X27" s="10">
        <f>VLOOKUP(A27,Data_NV!$A:$I,9,0)</f>
        <v>0.70833333333333337</v>
      </c>
      <c r="Y27" s="10">
        <f>IFERROR(TIMEVALUE(Table2[[#This Row],[Vào]]),0)</f>
        <v>0.33333333333333331</v>
      </c>
      <c r="Z27" s="10">
        <f>IFERROR(TIMEVALUE(Table2[[#This Row],[Ra]]),0)</f>
        <v>0.70833333333333337</v>
      </c>
      <c r="AA27" t="str">
        <f t="shared" si="3"/>
        <v>x</v>
      </c>
      <c r="AB27" s="12">
        <f t="shared" si="1"/>
        <v>0</v>
      </c>
      <c r="AC27" s="12" t="str">
        <f>IF(VLOOKUP(A27,Data_NV!$A:$I,7,0)="Không","",IF(OR(AND(Y27=0,Z27=0),AND(Y27&lt;&gt;0,Z27&lt;&gt;0)),"","Quên chấm công"))</f>
        <v/>
      </c>
      <c r="AD27" s="12">
        <f>IF(VLOOKUP(A27,Data_NV!$A:$I,7,0)="Không",0,IF(AND(Y27=0,Z27=0),0,IF(X27&lt;=Z27,0,ROUNDDOWN((X27-Z27)*24*60,0))))</f>
        <v>0</v>
      </c>
      <c r="AE27" s="12">
        <f>IF(VLOOKUP(A27,Data_NV!$A:$I,6,0)="Không",0,IF(Z27&lt;=X27,0,ROUNDDOWN((Z27-X27)*24*60,0)))</f>
        <v>0</v>
      </c>
      <c r="AF27" s="26">
        <f t="shared" si="2"/>
        <v>0</v>
      </c>
      <c r="AG27" s="27" t="str">
        <f>IF(AC27="","",IF(COUNTIFS($AC$3:AC27,"Quên chấm công",$S$3:S27,S27)&gt;3,"Không chấm công do vi phạm quá 3 lần",IF(COUNTIFS($AC$3:AC27,"Quên chấm công",$S$3:S27,S27)&gt;2,"Trừ toàn bộ chuyên cần tháng do vi phạm lần 3",IF(COUNTIFS($AC$3:AC27,"Quên chấm công",$S$3:S27,S27)&gt;1,"Trừ 1/2 ngày lương",50000))))</f>
        <v/>
      </c>
      <c r="AH27" s="12" t="str">
        <f>IF(AF27=0,"",IF(COUNTIFS($AF$3:AF27,"&gt;0",$S$3:S27,S27)&gt;3,"Trừ toàn bộ chuyên cần tháng",""))</f>
        <v/>
      </c>
      <c r="AI27" s="89" t="s">
        <v>284</v>
      </c>
    </row>
    <row r="28" spans="1:35" x14ac:dyDescent="0.25">
      <c r="A28" s="4" t="s">
        <v>151</v>
      </c>
      <c r="B28" s="1" t="s">
        <v>152</v>
      </c>
      <c r="C28" s="1" t="s">
        <v>19</v>
      </c>
      <c r="D28" s="1" t="s">
        <v>50</v>
      </c>
      <c r="E28" s="1" t="s">
        <v>21</v>
      </c>
      <c r="F28" s="1" t="s">
        <v>22</v>
      </c>
      <c r="G28" s="1" t="s">
        <v>12</v>
      </c>
      <c r="H28" s="1" t="s">
        <v>161</v>
      </c>
      <c r="I28" s="1" t="s">
        <v>282</v>
      </c>
      <c r="J28" s="1" t="s">
        <v>24</v>
      </c>
      <c r="K28" s="1" t="s">
        <v>24</v>
      </c>
      <c r="L28" s="1" t="s">
        <v>25</v>
      </c>
      <c r="M28" s="1" t="s">
        <v>24</v>
      </c>
      <c r="N28" s="1" t="s">
        <v>24</v>
      </c>
      <c r="O28" s="1" t="s">
        <v>24</v>
      </c>
      <c r="P28" s="1" t="s">
        <v>24</v>
      </c>
      <c r="Q28" s="1" t="s">
        <v>24</v>
      </c>
      <c r="R28" s="85" t="str">
        <f t="shared" si="0"/>
        <v>6545926</v>
      </c>
      <c r="S28" t="str">
        <f>VLOOKUP(A28,Data_NV!$A:$C,3,0)</f>
        <v>Lý Kim Hồ</v>
      </c>
      <c r="T28" t="str">
        <f>VLOOKUP(A28,Data_NV!$A:$E,4,0)</f>
        <v>Kế toán - Văn phòng</v>
      </c>
      <c r="U28" s="82">
        <f>DATEVALUE(Table2[[#This Row],[Ngày]])</f>
        <v>45926</v>
      </c>
      <c r="V28" t="str">
        <f>VLOOKUP(A28,Data_NV!$A:$E,5,0)</f>
        <v>Đang làm việc</v>
      </c>
      <c r="W28" s="10">
        <f>VLOOKUP(A28,Data_NV!$A:$I,8,0)</f>
        <v>0.33333333333333331</v>
      </c>
      <c r="X28" s="10">
        <f>VLOOKUP(A28,Data_NV!$A:$I,9,0)</f>
        <v>0.70833333333333337</v>
      </c>
      <c r="Y28" s="10">
        <f>IFERROR(TIMEVALUE(Table2[[#This Row],[Vào]]),0)</f>
        <v>0.33333333333333331</v>
      </c>
      <c r="Z28" s="10">
        <f>IFERROR(TIMEVALUE(Table2[[#This Row],[Ra]]),0)</f>
        <v>0.70833333333333337</v>
      </c>
      <c r="AA28" t="str">
        <f t="shared" si="3"/>
        <v>x</v>
      </c>
      <c r="AB28" s="12">
        <f t="shared" si="1"/>
        <v>0</v>
      </c>
      <c r="AC28" s="12" t="str">
        <f>IF(VLOOKUP(A28,Data_NV!$A:$I,7,0)="Không","",IF(OR(AND(Y28=0,Z28=0),AND(Y28&lt;&gt;0,Z28&lt;&gt;0)),"","Quên chấm công"))</f>
        <v/>
      </c>
      <c r="AD28" s="12">
        <f>IF(VLOOKUP(A28,Data_NV!$A:$I,7,0)="Không",0,IF(AND(Y28=0,Z28=0),0,IF(X28&lt;=Z28,0,ROUNDDOWN((X28-Z28)*24*60,0))))</f>
        <v>0</v>
      </c>
      <c r="AE28" s="12">
        <f>IF(VLOOKUP(A28,Data_NV!$A:$I,6,0)="Không",0,IF(Z28&lt;=X28,0,ROUNDDOWN((Z28-X28)*24*60,0)))</f>
        <v>0</v>
      </c>
      <c r="AF28" s="26">
        <f t="shared" si="2"/>
        <v>0</v>
      </c>
      <c r="AG28" s="27" t="str">
        <f>IF(AC28="","",IF(COUNTIFS($AC$3:AC28,"Quên chấm công",$S$3:S28,S28)&gt;3,"Không chấm công do vi phạm quá 3 lần",IF(COUNTIFS($AC$3:AC28,"Quên chấm công",$S$3:S28,S28)&gt;2,"Trừ toàn bộ chuyên cần tháng do vi phạm lần 3",IF(COUNTIFS($AC$3:AC28,"Quên chấm công",$S$3:S28,S28)&gt;1,"Trừ 1/2 ngày lương",50000))))</f>
        <v/>
      </c>
      <c r="AH28" s="12" t="str">
        <f>IF(AF28=0,"",IF(COUNTIFS($AF$3:AF28,"&gt;0",$S$3:S28,S28)&gt;3,"Trừ toàn bộ chuyên cần tháng",""))</f>
        <v/>
      </c>
      <c r="AI28" s="89" t="s">
        <v>284</v>
      </c>
    </row>
    <row r="29" spans="1:35" x14ac:dyDescent="0.25">
      <c r="A29" s="4" t="s">
        <v>151</v>
      </c>
      <c r="B29" s="1" t="s">
        <v>152</v>
      </c>
      <c r="C29" s="1" t="s">
        <v>19</v>
      </c>
      <c r="D29" s="1" t="s">
        <v>51</v>
      </c>
      <c r="E29" s="1" t="s">
        <v>21</v>
      </c>
      <c r="F29" s="1" t="s">
        <v>22</v>
      </c>
      <c r="G29" s="1" t="s">
        <v>12</v>
      </c>
      <c r="H29" s="1" t="s">
        <v>161</v>
      </c>
      <c r="I29" s="1" t="s">
        <v>282</v>
      </c>
      <c r="J29" s="1" t="s">
        <v>24</v>
      </c>
      <c r="K29" s="1" t="s">
        <v>24</v>
      </c>
      <c r="L29" s="1" t="s">
        <v>25</v>
      </c>
      <c r="M29" s="1" t="s">
        <v>24</v>
      </c>
      <c r="N29" s="1" t="s">
        <v>24</v>
      </c>
      <c r="O29" s="1" t="s">
        <v>24</v>
      </c>
      <c r="P29" s="1" t="s">
        <v>24</v>
      </c>
      <c r="Q29" s="1" t="s">
        <v>24</v>
      </c>
      <c r="R29" s="85" t="str">
        <f t="shared" si="0"/>
        <v>6545927</v>
      </c>
      <c r="S29" t="str">
        <f>VLOOKUP(A29,Data_NV!$A:$C,3,0)</f>
        <v>Lý Kim Hồ</v>
      </c>
      <c r="T29" t="str">
        <f>VLOOKUP(A29,Data_NV!$A:$E,4,0)</f>
        <v>Kế toán - Văn phòng</v>
      </c>
      <c r="U29" s="82">
        <f>DATEVALUE(Table2[[#This Row],[Ngày]])</f>
        <v>45927</v>
      </c>
      <c r="V29" t="str">
        <f>VLOOKUP(A29,Data_NV!$A:$E,5,0)</f>
        <v>Đang làm việc</v>
      </c>
      <c r="W29" s="10">
        <f>VLOOKUP(A29,Data_NV!$A:$I,8,0)</f>
        <v>0.33333333333333331</v>
      </c>
      <c r="X29" s="10">
        <f>VLOOKUP(A29,Data_NV!$A:$I,9,0)</f>
        <v>0.70833333333333337</v>
      </c>
      <c r="Y29" s="10">
        <f>IFERROR(TIMEVALUE(Table2[[#This Row],[Vào]]),0)</f>
        <v>0.33333333333333331</v>
      </c>
      <c r="Z29" s="10">
        <f>IFERROR(TIMEVALUE(Table2[[#This Row],[Ra]]),0)</f>
        <v>0.70833333333333337</v>
      </c>
      <c r="AA29" t="str">
        <f t="shared" si="3"/>
        <v>x</v>
      </c>
      <c r="AB29" s="12">
        <f t="shared" ref="AB29:AB32" si="4">IF(Y29&lt;=W29,0,ROUNDDOWN((Y29-W29)*24*60,0))</f>
        <v>0</v>
      </c>
      <c r="AC29" s="12" t="str">
        <f>IF(VLOOKUP(A29,Data_NV!$A:$I,7,0)="Không","",IF(OR(AND(Y29=0,Z29=0),AND(Y29&lt;&gt;0,Z29&lt;&gt;0)),"","Quên chấm công"))</f>
        <v/>
      </c>
      <c r="AD29" s="12">
        <f>IF(VLOOKUP(A29,Data_NV!$A:$I,7,0)="Không",0,IF(AND(Y29=0,Z29=0),0,IF(X29&lt;=Z29,0,ROUNDDOWN((X29-Z29)*24*60,0))))</f>
        <v>0</v>
      </c>
      <c r="AE29" s="12">
        <f>IF(VLOOKUP(A29,Data_NV!$A:$I,6,0)="Không",0,IF(Z29&lt;=X29,0,ROUNDDOWN((Z29-X29)*24*60,0)))</f>
        <v>0</v>
      </c>
      <c r="AF29" s="26">
        <f t="shared" si="2"/>
        <v>0</v>
      </c>
      <c r="AG29" s="27" t="str">
        <f>IF(AC29="","",IF(COUNTIFS($AC$3:AC29,"Quên chấm công",$S$3:S29,S29)&gt;3,"Không chấm công do vi phạm quá 3 lần",IF(COUNTIFS($AC$3:AC29,"Quên chấm công",$S$3:S29,S29)&gt;2,"Trừ toàn bộ chuyên cần tháng do vi phạm lần 3",IF(COUNTIFS($AC$3:AC29,"Quên chấm công",$S$3:S29,S29)&gt;1,"Trừ 1/2 ngày lương",50000))))</f>
        <v/>
      </c>
      <c r="AH29" s="12" t="str">
        <f>IF(AF29=0,"",IF(COUNTIFS($AF$3:AF29,"&gt;0",$S$3:S29,S29)&gt;3,"Trừ toàn bộ chuyên cần tháng",""))</f>
        <v/>
      </c>
      <c r="AI29" s="89" t="s">
        <v>284</v>
      </c>
    </row>
    <row r="30" spans="1:35" x14ac:dyDescent="0.25">
      <c r="A30" s="4" t="s">
        <v>151</v>
      </c>
      <c r="B30" s="1" t="s">
        <v>152</v>
      </c>
      <c r="C30" s="1" t="s">
        <v>19</v>
      </c>
      <c r="D30" s="1" t="s">
        <v>52</v>
      </c>
      <c r="E30" s="1" t="s">
        <v>21</v>
      </c>
      <c r="F30" s="1" t="s">
        <v>22</v>
      </c>
      <c r="G30" s="1" t="s">
        <v>12</v>
      </c>
      <c r="H30" s="1" t="s">
        <v>161</v>
      </c>
      <c r="I30" s="1" t="s">
        <v>282</v>
      </c>
      <c r="J30" s="1" t="s">
        <v>24</v>
      </c>
      <c r="K30" s="1" t="s">
        <v>24</v>
      </c>
      <c r="L30" s="1" t="s">
        <v>25</v>
      </c>
      <c r="M30" s="1" t="s">
        <v>24</v>
      </c>
      <c r="N30" s="1" t="s">
        <v>24</v>
      </c>
      <c r="O30" s="1" t="s">
        <v>24</v>
      </c>
      <c r="P30" s="1" t="s">
        <v>24</v>
      </c>
      <c r="Q30" s="1" t="s">
        <v>24</v>
      </c>
      <c r="R30" s="85" t="str">
        <f t="shared" si="0"/>
        <v>6545928</v>
      </c>
      <c r="S30" t="str">
        <f>VLOOKUP(A30,Data_NV!$A:$C,3,0)</f>
        <v>Lý Kim Hồ</v>
      </c>
      <c r="T30" t="str">
        <f>VLOOKUP(A30,Data_NV!$A:$E,4,0)</f>
        <v>Kế toán - Văn phòng</v>
      </c>
      <c r="U30" s="82">
        <f>DATEVALUE(Table2[[#This Row],[Ngày]])</f>
        <v>45928</v>
      </c>
      <c r="V30" t="str">
        <f>VLOOKUP(A30,Data_NV!$A:$E,5,0)</f>
        <v>Đang làm việc</v>
      </c>
      <c r="W30" s="10">
        <f>VLOOKUP(A30,Data_NV!$A:$I,8,0)</f>
        <v>0.33333333333333331</v>
      </c>
      <c r="X30" s="10">
        <f>VLOOKUP(A30,Data_NV!$A:$I,9,0)</f>
        <v>0.70833333333333337</v>
      </c>
      <c r="Y30" s="10">
        <f>IFERROR(TIMEVALUE(Table2[[#This Row],[Vào]]),0)</f>
        <v>0.33333333333333331</v>
      </c>
      <c r="Z30" s="10">
        <f>IFERROR(TIMEVALUE(Table2[[#This Row],[Ra]]),0)</f>
        <v>0.70833333333333337</v>
      </c>
      <c r="AA30" t="str">
        <f t="shared" si="3"/>
        <v>Chủ nhật</v>
      </c>
      <c r="AB30" s="12">
        <f t="shared" si="4"/>
        <v>0</v>
      </c>
      <c r="AC30" s="12" t="str">
        <f>IF(VLOOKUP(A30,Data_NV!$A:$I,7,0)="Không","",IF(OR(AND(Y30=0,Z30=0),AND(Y30&lt;&gt;0,Z30&lt;&gt;0)),"","Quên chấm công"))</f>
        <v/>
      </c>
      <c r="AD30" s="12">
        <f>IF(VLOOKUP(A30,Data_NV!$A:$I,7,0)="Không",0,IF(AND(Y30=0,Z30=0),0,IF(X30&lt;=Z30,0,ROUNDDOWN((X30-Z30)*24*60,0))))</f>
        <v>0</v>
      </c>
      <c r="AE30" s="12">
        <f>IF(VLOOKUP(A30,Data_NV!$A:$I,6,0)="Không",0,IF(Z30&lt;=X30,0,ROUNDDOWN((Z30-X30)*24*60,0)))</f>
        <v>0</v>
      </c>
      <c r="AF30" s="26">
        <f t="shared" si="2"/>
        <v>0</v>
      </c>
      <c r="AG30" s="27" t="str">
        <f>IF(AC30="","",IF(COUNTIFS($AC$3:AC30,"Quên chấm công",$S$3:S30,S30)&gt;3,"Không chấm công do vi phạm quá 3 lần",IF(COUNTIFS($AC$3:AC30,"Quên chấm công",$S$3:S30,S30)&gt;2,"Trừ toàn bộ chuyên cần tháng do vi phạm lần 3",IF(COUNTIFS($AC$3:AC30,"Quên chấm công",$S$3:S30,S30)&gt;1,"Trừ 1/2 ngày lương",50000))))</f>
        <v/>
      </c>
      <c r="AH30" s="12" t="str">
        <f>IF(AF30=0,"",IF(COUNTIFS($AF$3:AF30,"&gt;0",$S$3:S30,S30)&gt;3,"Trừ toàn bộ chuyên cần tháng",""))</f>
        <v/>
      </c>
      <c r="AI30" s="89" t="s">
        <v>284</v>
      </c>
    </row>
    <row r="31" spans="1:35" x14ac:dyDescent="0.25">
      <c r="A31" s="4" t="s">
        <v>151</v>
      </c>
      <c r="B31" s="1" t="s">
        <v>152</v>
      </c>
      <c r="C31" s="1" t="s">
        <v>19</v>
      </c>
      <c r="D31" s="1" t="s">
        <v>53</v>
      </c>
      <c r="E31" s="1" t="s">
        <v>21</v>
      </c>
      <c r="F31" s="1" t="s">
        <v>137</v>
      </c>
      <c r="G31" s="1" t="s">
        <v>12</v>
      </c>
      <c r="H31" s="1" t="s">
        <v>161</v>
      </c>
      <c r="I31" s="1" t="s">
        <v>153</v>
      </c>
      <c r="J31" s="1" t="s">
        <v>24</v>
      </c>
      <c r="K31" s="1" t="s">
        <v>24</v>
      </c>
      <c r="L31" s="1" t="s">
        <v>138</v>
      </c>
      <c r="M31" s="1" t="s">
        <v>24</v>
      </c>
      <c r="N31" s="1" t="s">
        <v>24</v>
      </c>
      <c r="O31" s="1" t="s">
        <v>24</v>
      </c>
      <c r="P31" s="1" t="s">
        <v>24</v>
      </c>
      <c r="Q31" s="1" t="s">
        <v>24</v>
      </c>
      <c r="R31" s="85" t="str">
        <f t="shared" si="0"/>
        <v>6545929</v>
      </c>
      <c r="S31" t="str">
        <f>VLOOKUP(A31,Data_NV!$A:$C,3,0)</f>
        <v>Lý Kim Hồ</v>
      </c>
      <c r="T31" t="str">
        <f>VLOOKUP(A31,Data_NV!$A:$E,4,0)</f>
        <v>Kế toán - Văn phòng</v>
      </c>
      <c r="U31" s="82">
        <f>DATEVALUE(Table2[[#This Row],[Ngày]])</f>
        <v>45929</v>
      </c>
      <c r="V31" t="str">
        <f>VLOOKUP(A31,Data_NV!$A:$E,5,0)</f>
        <v>Đang làm việc</v>
      </c>
      <c r="W31" s="10">
        <f>VLOOKUP(A31,Data_NV!$A:$I,8,0)</f>
        <v>0.33333333333333331</v>
      </c>
      <c r="X31" s="10">
        <f>VLOOKUP(A31,Data_NV!$A:$I,9,0)</f>
        <v>0.70833333333333337</v>
      </c>
      <c r="Y31" s="10">
        <f>IFERROR(TIMEVALUE(Table2[[#This Row],[Vào]]),0)</f>
        <v>0.33333333333333331</v>
      </c>
      <c r="Z31" s="10">
        <f>IFERROR(TIMEVALUE(Table2[[#This Row],[Ra]]),0)</f>
        <v>0.42280092592592594</v>
      </c>
      <c r="AA31" t="str">
        <f t="shared" si="3"/>
        <v>x</v>
      </c>
      <c r="AB31" s="12">
        <f t="shared" si="4"/>
        <v>0</v>
      </c>
      <c r="AC31" s="12" t="str">
        <f>IF(VLOOKUP(A31,Data_NV!$A:$I,7,0)="Không","",IF(OR(AND(Y31=0,Z31=0),AND(Y31&lt;&gt;0,Z31&lt;&gt;0)),"","Quên chấm công"))</f>
        <v/>
      </c>
      <c r="AD31" s="12">
        <f>IF(VLOOKUP(A31,Data_NV!$A:$I,7,0)="Không",0,IF(AND(Y31=0,Z31=0),0,IF(X31&lt;=Z31,0,ROUNDDOWN((X31-Z31)*24*60,0))))</f>
        <v>411</v>
      </c>
      <c r="AE31" s="12">
        <f>IF(VLOOKUP(A31,Data_NV!$A:$I,6,0)="Không",0,IF(Z31&lt;=X31,0,ROUNDDOWN((Z31-X31)*24*60,0)))</f>
        <v>0</v>
      </c>
      <c r="AF31" s="26">
        <f t="shared" si="2"/>
        <v>0</v>
      </c>
      <c r="AG31" s="27" t="str">
        <f>IF(AC31="","",IF(COUNTIFS($AC$3:AC31,"Quên chấm công",$S$3:S31,S31)&gt;3,"Không chấm công do vi phạm quá 3 lần",IF(COUNTIFS($AC$3:AC31,"Quên chấm công",$S$3:S31,S31)&gt;2,"Trừ toàn bộ chuyên cần tháng do vi phạm lần 3",IF(COUNTIFS($AC$3:AC31,"Quên chấm công",$S$3:S31,S31)&gt;1,"Trừ 1/2 ngày lương",50000))))</f>
        <v/>
      </c>
      <c r="AH31" s="12" t="str">
        <f>IF(AF31=0,"",IF(COUNTIFS($AF$3:AF31,"&gt;0",$S$3:S31,S31)&gt;3,"Trừ toàn bộ chuyên cần tháng",""))</f>
        <v/>
      </c>
      <c r="AI31" s="89" t="s">
        <v>283</v>
      </c>
    </row>
    <row r="32" spans="1:35" x14ac:dyDescent="0.25">
      <c r="A32" s="4" t="s">
        <v>151</v>
      </c>
      <c r="B32" s="1" t="s">
        <v>152</v>
      </c>
      <c r="C32" s="1" t="s">
        <v>19</v>
      </c>
      <c r="D32" s="1" t="s">
        <v>54</v>
      </c>
      <c r="E32" s="1" t="s">
        <v>21</v>
      </c>
      <c r="F32" s="1" t="s">
        <v>22</v>
      </c>
      <c r="G32" s="1" t="s">
        <v>71</v>
      </c>
      <c r="H32" s="1" t="s">
        <v>154</v>
      </c>
      <c r="I32" s="1" t="s">
        <v>155</v>
      </c>
      <c r="J32" s="1" t="s">
        <v>24</v>
      </c>
      <c r="K32" s="1" t="s">
        <v>156</v>
      </c>
      <c r="L32" s="1" t="s">
        <v>74</v>
      </c>
      <c r="M32" s="1" t="s">
        <v>156</v>
      </c>
      <c r="N32" s="1" t="s">
        <v>24</v>
      </c>
      <c r="O32" s="1" t="s">
        <v>24</v>
      </c>
      <c r="P32" s="1" t="s">
        <v>24</v>
      </c>
      <c r="Q32" s="1" t="s">
        <v>24</v>
      </c>
      <c r="R32" s="85" t="str">
        <f t="shared" si="0"/>
        <v>6545930</v>
      </c>
      <c r="S32" t="str">
        <f>VLOOKUP(A32,Data_NV!$A:$C,3,0)</f>
        <v>Lý Kim Hồ</v>
      </c>
      <c r="T32" t="str">
        <f>VLOOKUP(A32,Data_NV!$A:$E,4,0)</f>
        <v>Kế toán - Văn phòng</v>
      </c>
      <c r="U32" s="82">
        <f>DATEVALUE(Table2[[#This Row],[Ngày]])</f>
        <v>45930</v>
      </c>
      <c r="V32" t="str">
        <f>VLOOKUP(A32,Data_NV!$A:$E,5,0)</f>
        <v>Đang làm việc</v>
      </c>
      <c r="W32" s="10">
        <f>VLOOKUP(A32,Data_NV!$A:$I,8,0)</f>
        <v>0.33333333333333331</v>
      </c>
      <c r="X32" s="10">
        <f>VLOOKUP(A32,Data_NV!$A:$I,9,0)</f>
        <v>0.70833333333333337</v>
      </c>
      <c r="Y32" s="10">
        <f>IFERROR(TIMEVALUE(Table2[[#This Row],[Vào]]),0)</f>
        <v>0.32077546296296294</v>
      </c>
      <c r="Z32" s="10">
        <f>IFERROR(TIMEVALUE(Table2[[#This Row],[Ra]]),0)</f>
        <v>0.70747685185185183</v>
      </c>
      <c r="AA32" t="str">
        <f t="shared" si="3"/>
        <v>x</v>
      </c>
      <c r="AB32" s="12">
        <f t="shared" si="4"/>
        <v>0</v>
      </c>
      <c r="AC32" s="12" t="str">
        <f>IF(VLOOKUP(A32,Data_NV!$A:$I,7,0)="Không","",IF(OR(AND(Y32=0,Z32=0),AND(Y32&lt;&gt;0,Z32&lt;&gt;0)),"","Quên chấm công"))</f>
        <v/>
      </c>
      <c r="AD32" s="12">
        <f>IF(VLOOKUP(A32,Data_NV!$A:$I,7,0)="Không",0,IF(AND(Y32=0,Z32=0),0,IF(X32&lt;=Z32,0,ROUNDDOWN((X32-Z32)*24*60,0))))</f>
        <v>1</v>
      </c>
      <c r="AE32" s="12">
        <f>IF(VLOOKUP(A32,Data_NV!$A:$I,6,0)="Không",0,IF(Z32&lt;=X32,0,ROUNDDOWN((Z32-X32)*24*60,0)))</f>
        <v>0</v>
      </c>
      <c r="AF32" s="26">
        <f t="shared" si="2"/>
        <v>0</v>
      </c>
      <c r="AG32" s="27" t="str">
        <f>IF(AC32="","",IF(COUNTIFS($AC$3:AC32,"Quên chấm công",$S$3:S32,S32)&gt;3,"Không chấm công do vi phạm quá 3 lần",IF(COUNTIFS($AC$3:AC32,"Quên chấm công",$S$3:S32,S32)&gt;2,"Trừ toàn bộ chuyên cần tháng do vi phạm lần 3",IF(COUNTIFS($AC$3:AC32,"Quên chấm công",$S$3:S32,S32)&gt;1,"Trừ 1/2 ngày lương",50000))))</f>
        <v/>
      </c>
      <c r="AH32" s="12" t="str">
        <f>IF(AF32=0,"",IF(COUNTIFS($AF$3:AF32,"&gt;0",$S$3:S32,S32)&gt;3,"Trừ toàn bộ chuyên cần tháng",""))</f>
        <v/>
      </c>
      <c r="AI32" s="12"/>
    </row>
  </sheetData>
  <phoneticPr fontId="44" type="noConversion"/>
  <conditionalFormatting sqref="A2:AI32">
    <cfRule type="expression" dxfId="3" priority="1">
      <formula>$AG2="Không chấm công do vi phạm quá 3 lần"</formula>
    </cfRule>
    <cfRule type="expression" dxfId="2" priority="2">
      <formula>$AC2="Quên Chấm Công"</formula>
    </cfRule>
    <cfRule type="expression" dxfId="1" priority="3">
      <formula>$AH2="Trừ toàn bộ chuyên cần tháng"</formula>
    </cfRule>
  </conditionalFormatting>
  <conditionalFormatting sqref="AA2:AA32">
    <cfRule type="expression" dxfId="0" priority="4">
      <formula>$AA2="Chủ Nhật"</formula>
    </cfRule>
  </conditionalFormatting>
  <pageMargins left="0.75" right="0.75" top="1" bottom="1" header="0.5" footer="0.5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3E85-38C0-41F9-B1C6-79FC7B9134AC}">
  <dimension ref="A1:J66"/>
  <sheetViews>
    <sheetView topLeftCell="A16" workbookViewId="0">
      <selection activeCell="J25" sqref="J25"/>
    </sheetView>
  </sheetViews>
  <sheetFormatPr defaultRowHeight="15" x14ac:dyDescent="0.25"/>
  <cols>
    <col min="1" max="1" width="5" customWidth="1"/>
    <col min="2" max="2" width="6.5703125" customWidth="1"/>
    <col min="3" max="3" width="23.28515625" bestFit="1" customWidth="1"/>
    <col min="4" max="4" width="20.85546875" bestFit="1" customWidth="1"/>
    <col min="5" max="5" width="14.85546875" customWidth="1"/>
    <col min="7" max="7" width="9.28515625" customWidth="1"/>
    <col min="8" max="8" width="17" style="10" bestFit="1" customWidth="1"/>
    <col min="9" max="9" width="12.42578125" style="10" bestFit="1" customWidth="1"/>
    <col min="10" max="10" width="10.42578125" style="82" bestFit="1" customWidth="1"/>
  </cols>
  <sheetData>
    <row r="1" spans="1:10" ht="47.25" x14ac:dyDescent="0.25">
      <c r="A1" s="5" t="s">
        <v>164</v>
      </c>
      <c r="B1" s="6" t="s">
        <v>162</v>
      </c>
      <c r="C1" s="7" t="s">
        <v>163</v>
      </c>
      <c r="D1" s="7" t="s">
        <v>3</v>
      </c>
      <c r="E1" s="7" t="s">
        <v>201</v>
      </c>
      <c r="F1" s="8" t="s">
        <v>203</v>
      </c>
      <c r="G1" s="9" t="s">
        <v>206</v>
      </c>
      <c r="H1" s="11" t="s">
        <v>209</v>
      </c>
      <c r="I1" s="11" t="s">
        <v>211</v>
      </c>
      <c r="J1" s="90" t="s">
        <v>281</v>
      </c>
    </row>
    <row r="2" spans="1:10" ht="15.75" x14ac:dyDescent="0.25">
      <c r="A2" s="3" t="s">
        <v>131</v>
      </c>
      <c r="B2" s="3">
        <v>1</v>
      </c>
      <c r="C2" s="2" t="s">
        <v>166</v>
      </c>
      <c r="D2" s="2" t="s">
        <v>165</v>
      </c>
      <c r="E2" t="s">
        <v>199</v>
      </c>
      <c r="F2" t="s">
        <v>204</v>
      </c>
      <c r="G2" t="s">
        <v>204</v>
      </c>
      <c r="H2" s="10">
        <v>0.33333333333333331</v>
      </c>
      <c r="I2" s="10">
        <v>0.70833333333333337</v>
      </c>
      <c r="J2" s="82">
        <v>32109</v>
      </c>
    </row>
    <row r="3" spans="1:10" ht="15.75" x14ac:dyDescent="0.25">
      <c r="A3" s="3" t="s">
        <v>108</v>
      </c>
      <c r="B3" s="3">
        <v>2</v>
      </c>
      <c r="C3" s="2" t="s">
        <v>167</v>
      </c>
      <c r="D3" s="2" t="s">
        <v>165</v>
      </c>
      <c r="E3" t="s">
        <v>199</v>
      </c>
      <c r="F3" t="s">
        <v>204</v>
      </c>
      <c r="G3" t="s">
        <v>204</v>
      </c>
      <c r="H3" s="10">
        <v>0.33333333333333331</v>
      </c>
      <c r="I3" s="10">
        <v>0.70833333333333337</v>
      </c>
      <c r="J3" s="82">
        <v>35418</v>
      </c>
    </row>
    <row r="4" spans="1:10" ht="15.75" x14ac:dyDescent="0.25">
      <c r="A4" s="3" t="s">
        <v>72</v>
      </c>
      <c r="B4" s="3">
        <v>3</v>
      </c>
      <c r="C4" s="2" t="s">
        <v>168</v>
      </c>
      <c r="D4" s="2" t="s">
        <v>165</v>
      </c>
      <c r="E4" t="s">
        <v>199</v>
      </c>
      <c r="F4" t="s">
        <v>204</v>
      </c>
      <c r="G4" t="s">
        <v>204</v>
      </c>
      <c r="H4" s="10">
        <v>0.33333333333333331</v>
      </c>
      <c r="I4" s="10">
        <v>0.70833333333333337</v>
      </c>
      <c r="J4" s="82">
        <v>30993</v>
      </c>
    </row>
    <row r="5" spans="1:10" ht="15.75" x14ac:dyDescent="0.25">
      <c r="A5" s="3" t="s">
        <v>69</v>
      </c>
      <c r="B5" s="3">
        <v>4</v>
      </c>
      <c r="C5" s="2" t="s">
        <v>169</v>
      </c>
      <c r="D5" s="2" t="s">
        <v>165</v>
      </c>
      <c r="E5" t="s">
        <v>199</v>
      </c>
      <c r="F5" t="s">
        <v>204</v>
      </c>
      <c r="G5" t="s">
        <v>204</v>
      </c>
      <c r="H5" s="10">
        <v>0.33333333333333331</v>
      </c>
      <c r="I5" s="10">
        <v>0.70833333333333337</v>
      </c>
      <c r="J5" s="82">
        <v>34596</v>
      </c>
    </row>
    <row r="6" spans="1:10" ht="15.75" x14ac:dyDescent="0.25">
      <c r="A6" s="3" t="s">
        <v>104</v>
      </c>
      <c r="B6" s="3">
        <v>5</v>
      </c>
      <c r="C6" s="2" t="s">
        <v>170</v>
      </c>
      <c r="D6" s="2" t="s">
        <v>165</v>
      </c>
      <c r="E6" t="s">
        <v>199</v>
      </c>
      <c r="F6" t="s">
        <v>204</v>
      </c>
      <c r="G6" t="s">
        <v>204</v>
      </c>
      <c r="H6" s="10">
        <v>0.33333333333333331</v>
      </c>
      <c r="I6" s="10">
        <v>0.70833333333333337</v>
      </c>
      <c r="J6" s="82">
        <v>34500</v>
      </c>
    </row>
    <row r="7" spans="1:10" ht="15.75" x14ac:dyDescent="0.25">
      <c r="A7" s="3" t="s">
        <v>116</v>
      </c>
      <c r="B7" s="3">
        <v>6</v>
      </c>
      <c r="C7" s="2" t="s">
        <v>171</v>
      </c>
      <c r="D7" s="2" t="s">
        <v>165</v>
      </c>
      <c r="E7" t="s">
        <v>199</v>
      </c>
      <c r="F7" t="s">
        <v>204</v>
      </c>
      <c r="G7" t="s">
        <v>204</v>
      </c>
      <c r="H7" s="10">
        <v>0.33333333333333331</v>
      </c>
      <c r="I7" s="10">
        <v>0.70833333333333337</v>
      </c>
      <c r="J7" s="82">
        <v>34729</v>
      </c>
    </row>
    <row r="8" spans="1:10" ht="15.75" x14ac:dyDescent="0.25">
      <c r="A8" s="3" t="s">
        <v>127</v>
      </c>
      <c r="B8" s="3">
        <v>7</v>
      </c>
      <c r="C8" s="2" t="s">
        <v>172</v>
      </c>
      <c r="D8" s="2" t="s">
        <v>165</v>
      </c>
      <c r="E8" t="s">
        <v>199</v>
      </c>
      <c r="F8" t="s">
        <v>204</v>
      </c>
      <c r="G8" t="s">
        <v>204</v>
      </c>
      <c r="H8" s="10">
        <v>0.33333333333333331</v>
      </c>
      <c r="I8" s="10">
        <v>0.70833333333333337</v>
      </c>
      <c r="J8" s="82">
        <v>30760</v>
      </c>
    </row>
    <row r="9" spans="1:10" ht="15.75" x14ac:dyDescent="0.25">
      <c r="A9" s="3" t="s">
        <v>103</v>
      </c>
      <c r="B9" s="3">
        <v>8</v>
      </c>
      <c r="C9" s="2" t="s">
        <v>173</v>
      </c>
      <c r="D9" s="2" t="s">
        <v>165</v>
      </c>
      <c r="E9" t="s">
        <v>199</v>
      </c>
      <c r="F9" t="s">
        <v>205</v>
      </c>
      <c r="G9" t="s">
        <v>205</v>
      </c>
      <c r="H9" s="10">
        <v>0.33333333333333331</v>
      </c>
      <c r="I9" s="10">
        <v>0.70833333333333337</v>
      </c>
      <c r="J9" s="82">
        <v>37236</v>
      </c>
    </row>
    <row r="10" spans="1:10" ht="15.75" x14ac:dyDescent="0.25">
      <c r="A10" s="3" t="s">
        <v>18</v>
      </c>
      <c r="B10" s="3">
        <v>9</v>
      </c>
      <c r="C10" s="2" t="s">
        <v>174</v>
      </c>
      <c r="D10" s="2" t="s">
        <v>200</v>
      </c>
      <c r="E10" t="s">
        <v>199</v>
      </c>
      <c r="F10" t="s">
        <v>204</v>
      </c>
      <c r="G10" t="s">
        <v>205</v>
      </c>
      <c r="H10" s="10">
        <v>0.3125</v>
      </c>
      <c r="I10" s="10">
        <v>0.6875</v>
      </c>
      <c r="J10" s="82">
        <v>31312</v>
      </c>
    </row>
    <row r="11" spans="1:10" ht="15.75" x14ac:dyDescent="0.25">
      <c r="A11" s="3" t="s">
        <v>57</v>
      </c>
      <c r="B11" s="3">
        <v>10</v>
      </c>
      <c r="C11" s="2" t="s">
        <v>175</v>
      </c>
      <c r="D11" s="2" t="s">
        <v>200</v>
      </c>
      <c r="E11" t="s">
        <v>199</v>
      </c>
      <c r="F11" t="s">
        <v>204</v>
      </c>
      <c r="G11" t="s">
        <v>204</v>
      </c>
      <c r="H11" s="10">
        <v>0.3125</v>
      </c>
      <c r="I11" s="10">
        <v>0.6875</v>
      </c>
      <c r="J11" s="82">
        <v>29481</v>
      </c>
    </row>
    <row r="12" spans="1:10" ht="15.75" x14ac:dyDescent="0.25">
      <c r="A12" s="3" t="s">
        <v>58</v>
      </c>
      <c r="B12" s="3">
        <v>11</v>
      </c>
      <c r="C12" s="2" t="s">
        <v>176</v>
      </c>
      <c r="D12" s="2" t="s">
        <v>200</v>
      </c>
      <c r="E12" t="s">
        <v>199</v>
      </c>
      <c r="F12" t="s">
        <v>204</v>
      </c>
      <c r="G12" t="s">
        <v>204</v>
      </c>
      <c r="H12" s="10">
        <v>0.3125</v>
      </c>
      <c r="I12" s="10">
        <v>0.6875</v>
      </c>
      <c r="J12" s="82">
        <v>35744</v>
      </c>
    </row>
    <row r="13" spans="1:10" ht="15.75" x14ac:dyDescent="0.25">
      <c r="A13" s="3" t="s">
        <v>79</v>
      </c>
      <c r="B13" s="3">
        <v>12</v>
      </c>
      <c r="C13" s="2" t="s">
        <v>177</v>
      </c>
      <c r="D13" s="2" t="s">
        <v>200</v>
      </c>
      <c r="E13" t="s">
        <v>199</v>
      </c>
      <c r="F13" t="s">
        <v>204</v>
      </c>
      <c r="G13" t="s">
        <v>204</v>
      </c>
      <c r="H13" s="10">
        <v>0.3125</v>
      </c>
      <c r="I13" s="10">
        <v>0.6875</v>
      </c>
      <c r="J13" s="82">
        <v>29537</v>
      </c>
    </row>
    <row r="14" spans="1:10" ht="15.75" x14ac:dyDescent="0.25">
      <c r="A14" s="3" t="s">
        <v>56</v>
      </c>
      <c r="B14" s="3">
        <v>13</v>
      </c>
      <c r="C14" s="2" t="s">
        <v>178</v>
      </c>
      <c r="D14" s="2" t="s">
        <v>200</v>
      </c>
      <c r="E14" t="s">
        <v>199</v>
      </c>
      <c r="F14" t="s">
        <v>204</v>
      </c>
      <c r="G14" t="s">
        <v>204</v>
      </c>
      <c r="H14" s="10">
        <v>0.3125</v>
      </c>
      <c r="I14" s="10">
        <v>0.6875</v>
      </c>
      <c r="J14" s="82">
        <v>36069</v>
      </c>
    </row>
    <row r="15" spans="1:10" ht="15.75" x14ac:dyDescent="0.25">
      <c r="A15" s="3" t="s">
        <v>55</v>
      </c>
      <c r="B15" s="3">
        <v>14</v>
      </c>
      <c r="C15" s="2" t="s">
        <v>179</v>
      </c>
      <c r="D15" s="2" t="s">
        <v>200</v>
      </c>
      <c r="E15" t="s">
        <v>199</v>
      </c>
      <c r="F15" t="s">
        <v>204</v>
      </c>
      <c r="G15" t="s">
        <v>204</v>
      </c>
      <c r="H15" s="10">
        <v>0.3125</v>
      </c>
      <c r="I15" s="10">
        <v>0.6875</v>
      </c>
      <c r="J15" s="82">
        <v>28529</v>
      </c>
    </row>
    <row r="16" spans="1:10" ht="15.75" x14ac:dyDescent="0.25">
      <c r="A16" s="3" t="s">
        <v>78</v>
      </c>
      <c r="B16" s="3">
        <v>15</v>
      </c>
      <c r="C16" s="2" t="s">
        <v>180</v>
      </c>
      <c r="D16" s="2" t="s">
        <v>200</v>
      </c>
      <c r="E16" t="s">
        <v>199</v>
      </c>
      <c r="F16" t="s">
        <v>205</v>
      </c>
      <c r="G16" t="s">
        <v>205</v>
      </c>
      <c r="H16" s="10">
        <v>0.33333333333333331</v>
      </c>
      <c r="I16" s="10">
        <v>0.70833333333333337</v>
      </c>
      <c r="J16" s="82">
        <v>36357</v>
      </c>
    </row>
    <row r="17" spans="1:10" ht="15.75" x14ac:dyDescent="0.25">
      <c r="A17" s="3" t="s">
        <v>77</v>
      </c>
      <c r="B17" s="3">
        <v>16</v>
      </c>
      <c r="C17" s="2" t="s">
        <v>181</v>
      </c>
      <c r="D17" s="2" t="s">
        <v>200</v>
      </c>
      <c r="E17" t="s">
        <v>199</v>
      </c>
      <c r="F17" t="s">
        <v>205</v>
      </c>
      <c r="G17" t="s">
        <v>205</v>
      </c>
      <c r="H17" s="10">
        <v>0.33333333333333331</v>
      </c>
      <c r="I17" s="10">
        <v>0.70833333333333337</v>
      </c>
      <c r="J17" s="82">
        <v>37177</v>
      </c>
    </row>
    <row r="18" spans="1:10" ht="15.75" x14ac:dyDescent="0.25">
      <c r="A18" s="3" t="s">
        <v>94</v>
      </c>
      <c r="B18" s="3">
        <v>17</v>
      </c>
      <c r="C18" s="2" t="s">
        <v>182</v>
      </c>
      <c r="D18" s="2" t="s">
        <v>200</v>
      </c>
      <c r="E18" t="s">
        <v>199</v>
      </c>
      <c r="F18" t="s">
        <v>205</v>
      </c>
      <c r="G18" t="s">
        <v>205</v>
      </c>
      <c r="H18" s="10">
        <v>0.3125</v>
      </c>
      <c r="I18" s="10">
        <v>0.6875</v>
      </c>
      <c r="J18" s="82">
        <v>36170</v>
      </c>
    </row>
    <row r="19" spans="1:10" ht="15.75" x14ac:dyDescent="0.25">
      <c r="A19" s="3" t="s">
        <v>126</v>
      </c>
      <c r="B19" s="3">
        <v>18</v>
      </c>
      <c r="C19" s="2" t="s">
        <v>183</v>
      </c>
      <c r="D19" s="2" t="s">
        <v>200</v>
      </c>
      <c r="E19" t="s">
        <v>199</v>
      </c>
      <c r="F19" t="s">
        <v>204</v>
      </c>
      <c r="G19" t="s">
        <v>204</v>
      </c>
      <c r="H19" s="10">
        <v>0.3125</v>
      </c>
      <c r="I19" s="10">
        <v>0.6875</v>
      </c>
      <c r="J19" s="82">
        <v>34055</v>
      </c>
    </row>
    <row r="20" spans="1:10" ht="15.75" x14ac:dyDescent="0.25">
      <c r="A20" s="3" t="s">
        <v>142</v>
      </c>
      <c r="B20" s="3">
        <v>19</v>
      </c>
      <c r="C20" s="2" t="s">
        <v>184</v>
      </c>
      <c r="D20" s="2" t="s">
        <v>200</v>
      </c>
      <c r="E20" t="s">
        <v>199</v>
      </c>
      <c r="F20" t="s">
        <v>204</v>
      </c>
      <c r="G20" t="s">
        <v>204</v>
      </c>
      <c r="H20" s="10">
        <v>0.3125</v>
      </c>
      <c r="I20" s="10">
        <v>0.6875</v>
      </c>
      <c r="J20" s="82">
        <v>35733</v>
      </c>
    </row>
    <row r="21" spans="1:10" ht="15.75" x14ac:dyDescent="0.25">
      <c r="A21" s="3" t="s">
        <v>70</v>
      </c>
      <c r="B21" s="3">
        <v>20</v>
      </c>
      <c r="C21" s="2" t="s">
        <v>185</v>
      </c>
      <c r="D21" s="2" t="s">
        <v>200</v>
      </c>
      <c r="E21" t="s">
        <v>199</v>
      </c>
      <c r="F21" t="s">
        <v>205</v>
      </c>
      <c r="G21" t="s">
        <v>205</v>
      </c>
      <c r="H21" s="10">
        <v>0.33333333333333331</v>
      </c>
      <c r="I21" s="10">
        <v>0.70833333333333337</v>
      </c>
      <c r="J21" s="82">
        <v>34736</v>
      </c>
    </row>
    <row r="22" spans="1:10" ht="15.75" x14ac:dyDescent="0.25">
      <c r="A22" s="3" t="s">
        <v>149</v>
      </c>
      <c r="B22" s="3">
        <v>21</v>
      </c>
      <c r="C22" s="2" t="s">
        <v>187</v>
      </c>
      <c r="D22" s="2" t="s">
        <v>186</v>
      </c>
      <c r="E22" t="s">
        <v>199</v>
      </c>
      <c r="F22" t="s">
        <v>204</v>
      </c>
      <c r="G22" t="s">
        <v>205</v>
      </c>
      <c r="H22" s="10">
        <v>0.33333333333333331</v>
      </c>
      <c r="I22" s="10">
        <v>0.70833333333333337</v>
      </c>
      <c r="J22" s="82">
        <v>31434</v>
      </c>
    </row>
    <row r="23" spans="1:10" ht="15.75" x14ac:dyDescent="0.25">
      <c r="A23" s="3" t="s">
        <v>148</v>
      </c>
      <c r="B23" s="3">
        <v>22</v>
      </c>
      <c r="C23" s="2" t="s">
        <v>188</v>
      </c>
      <c r="D23" s="2" t="s">
        <v>186</v>
      </c>
      <c r="E23" t="s">
        <v>199</v>
      </c>
      <c r="F23" t="s">
        <v>205</v>
      </c>
      <c r="G23" t="s">
        <v>205</v>
      </c>
      <c r="H23" s="10">
        <v>0.33333333333333331</v>
      </c>
      <c r="I23" s="10">
        <v>0.70833333333333337</v>
      </c>
      <c r="J23" s="82">
        <v>31066</v>
      </c>
    </row>
    <row r="24" spans="1:10" ht="15.75" x14ac:dyDescent="0.25">
      <c r="A24" s="3" t="s">
        <v>150</v>
      </c>
      <c r="B24" s="3">
        <v>23</v>
      </c>
      <c r="C24" s="2" t="s">
        <v>189</v>
      </c>
      <c r="D24" s="2" t="s">
        <v>186</v>
      </c>
      <c r="E24" t="s">
        <v>199</v>
      </c>
      <c r="F24" t="s">
        <v>205</v>
      </c>
      <c r="G24" t="s">
        <v>205</v>
      </c>
      <c r="H24" s="10">
        <v>0.33333333333333331</v>
      </c>
      <c r="I24" s="10">
        <v>0.70833333333333337</v>
      </c>
      <c r="J24" s="82">
        <v>32114</v>
      </c>
    </row>
    <row r="25" spans="1:10" ht="15.75" x14ac:dyDescent="0.25">
      <c r="A25" s="3" t="s">
        <v>160</v>
      </c>
      <c r="B25" s="3">
        <v>24</v>
      </c>
      <c r="C25" s="2" t="s">
        <v>190</v>
      </c>
      <c r="D25" s="2" t="s">
        <v>186</v>
      </c>
      <c r="E25" t="s">
        <v>199</v>
      </c>
      <c r="F25" t="s">
        <v>205</v>
      </c>
      <c r="G25" t="s">
        <v>205</v>
      </c>
      <c r="H25" s="10">
        <v>0.33333333333333331</v>
      </c>
      <c r="I25" s="10">
        <v>0.70833333333333337</v>
      </c>
      <c r="J25" s="82">
        <v>36558</v>
      </c>
    </row>
    <row r="26" spans="1:10" ht="15.75" x14ac:dyDescent="0.25">
      <c r="A26" s="3" t="s">
        <v>73</v>
      </c>
      <c r="B26" s="3">
        <v>25</v>
      </c>
      <c r="C26" s="2" t="s">
        <v>191</v>
      </c>
      <c r="D26" s="2" t="s">
        <v>186</v>
      </c>
      <c r="E26" t="s">
        <v>199</v>
      </c>
      <c r="F26" t="s">
        <v>205</v>
      </c>
      <c r="G26" t="s">
        <v>205</v>
      </c>
      <c r="H26" s="10">
        <v>0.33333333333333331</v>
      </c>
      <c r="I26" s="10">
        <v>0.70833333333333337</v>
      </c>
      <c r="J26" s="82">
        <v>33767</v>
      </c>
    </row>
    <row r="27" spans="1:10" ht="15.75" x14ac:dyDescent="0.25">
      <c r="A27" s="3" t="s">
        <v>125</v>
      </c>
      <c r="B27" s="3">
        <v>26</v>
      </c>
      <c r="C27" s="2" t="s">
        <v>192</v>
      </c>
      <c r="D27" s="2" t="s">
        <v>186</v>
      </c>
      <c r="E27" t="s">
        <v>199</v>
      </c>
      <c r="F27" t="s">
        <v>205</v>
      </c>
      <c r="G27" t="s">
        <v>205</v>
      </c>
      <c r="H27" s="10">
        <v>0.33333333333333331</v>
      </c>
      <c r="I27" s="10">
        <v>0.70833333333333337</v>
      </c>
      <c r="J27" s="82">
        <v>31828</v>
      </c>
    </row>
    <row r="28" spans="1:10" ht="15.75" x14ac:dyDescent="0.25">
      <c r="A28" s="3" t="s">
        <v>136</v>
      </c>
      <c r="B28" s="3">
        <v>27</v>
      </c>
      <c r="C28" s="2" t="s">
        <v>193</v>
      </c>
      <c r="D28" s="2" t="s">
        <v>186</v>
      </c>
      <c r="E28" t="s">
        <v>199</v>
      </c>
      <c r="F28" t="s">
        <v>205</v>
      </c>
      <c r="G28" t="s">
        <v>205</v>
      </c>
      <c r="H28" s="10">
        <v>0.33333333333333331</v>
      </c>
      <c r="I28" s="10">
        <v>0.70833333333333337</v>
      </c>
      <c r="J28" s="82">
        <v>37494</v>
      </c>
    </row>
    <row r="29" spans="1:10" ht="15.75" x14ac:dyDescent="0.25">
      <c r="A29" s="3" t="s">
        <v>141</v>
      </c>
      <c r="B29" s="3">
        <v>28</v>
      </c>
      <c r="C29" s="2" t="s">
        <v>194</v>
      </c>
      <c r="D29" s="2" t="s">
        <v>186</v>
      </c>
      <c r="E29" t="s">
        <v>198</v>
      </c>
      <c r="F29" t="s">
        <v>205</v>
      </c>
      <c r="G29" t="s">
        <v>205</v>
      </c>
      <c r="H29" s="10">
        <v>0.33333333333333331</v>
      </c>
      <c r="I29" s="10">
        <v>0.70833333333333337</v>
      </c>
    </row>
    <row r="30" spans="1:10" ht="15.75" x14ac:dyDescent="0.25">
      <c r="A30" s="3" t="s">
        <v>145</v>
      </c>
      <c r="B30" s="3">
        <v>29</v>
      </c>
      <c r="C30" s="2" t="s">
        <v>195</v>
      </c>
      <c r="D30" s="2" t="s">
        <v>186</v>
      </c>
      <c r="E30" t="s">
        <v>198</v>
      </c>
      <c r="F30" t="s">
        <v>205</v>
      </c>
      <c r="G30" t="s">
        <v>205</v>
      </c>
      <c r="H30" s="10">
        <v>0.33333333333333331</v>
      </c>
      <c r="I30" s="10">
        <v>0.70833333333333337</v>
      </c>
    </row>
    <row r="31" spans="1:10" ht="15.75" x14ac:dyDescent="0.25">
      <c r="A31" s="3" t="s">
        <v>151</v>
      </c>
      <c r="B31" s="3">
        <v>30</v>
      </c>
      <c r="C31" s="2" t="s">
        <v>197</v>
      </c>
      <c r="D31" s="2" t="s">
        <v>186</v>
      </c>
      <c r="E31" t="s">
        <v>199</v>
      </c>
      <c r="F31" t="s">
        <v>205</v>
      </c>
      <c r="G31" t="s">
        <v>205</v>
      </c>
      <c r="H31" s="10">
        <v>0.33333333333333331</v>
      </c>
      <c r="I31" s="10">
        <v>0.70833333333333337</v>
      </c>
      <c r="J31" s="82">
        <v>27340</v>
      </c>
    </row>
    <row r="32" spans="1:10" ht="15.75" x14ac:dyDescent="0.25">
      <c r="A32" s="3" t="s">
        <v>59</v>
      </c>
      <c r="B32" s="3">
        <v>31</v>
      </c>
      <c r="C32" s="2" t="s">
        <v>60</v>
      </c>
      <c r="D32" s="2"/>
      <c r="E32" t="s">
        <v>198</v>
      </c>
      <c r="H32" s="10">
        <v>0.33333333333333331</v>
      </c>
      <c r="I32" s="10">
        <v>0.70833333333333337</v>
      </c>
    </row>
    <row r="33" spans="1:9" ht="15.75" x14ac:dyDescent="0.25">
      <c r="A33" s="3" t="s">
        <v>61</v>
      </c>
      <c r="B33" s="3">
        <v>32</v>
      </c>
      <c r="C33" s="2" t="s">
        <v>62</v>
      </c>
      <c r="D33" s="2"/>
      <c r="E33" t="s">
        <v>198</v>
      </c>
      <c r="H33" s="10">
        <v>0.33333333333333331</v>
      </c>
      <c r="I33" s="10">
        <v>0.70833333333333337</v>
      </c>
    </row>
    <row r="34" spans="1:9" ht="15.75" x14ac:dyDescent="0.25">
      <c r="A34" s="3" t="s">
        <v>63</v>
      </c>
      <c r="B34" s="3">
        <v>33</v>
      </c>
      <c r="C34" s="2" t="s">
        <v>64</v>
      </c>
      <c r="D34" s="2"/>
      <c r="E34" t="s">
        <v>198</v>
      </c>
      <c r="H34" s="10">
        <v>0.33333333333333331</v>
      </c>
      <c r="I34" s="10">
        <v>0.70833333333333337</v>
      </c>
    </row>
    <row r="35" spans="1:9" ht="15.75" x14ac:dyDescent="0.25">
      <c r="A35" s="3" t="s">
        <v>65</v>
      </c>
      <c r="B35" s="3">
        <v>34</v>
      </c>
      <c r="C35" s="2" t="s">
        <v>66</v>
      </c>
      <c r="D35" s="2"/>
      <c r="E35" t="s">
        <v>198</v>
      </c>
      <c r="H35" s="10">
        <v>0.33333333333333331</v>
      </c>
      <c r="I35" s="10">
        <v>0.70833333333333337</v>
      </c>
    </row>
    <row r="36" spans="1:9" ht="15.75" x14ac:dyDescent="0.25">
      <c r="A36" s="3" t="s">
        <v>67</v>
      </c>
      <c r="B36" s="3">
        <v>35</v>
      </c>
      <c r="C36" s="2" t="s">
        <v>68</v>
      </c>
      <c r="D36" s="2"/>
      <c r="E36" t="s">
        <v>198</v>
      </c>
      <c r="H36" s="10">
        <v>0.33333333333333331</v>
      </c>
      <c r="I36" s="10">
        <v>0.70833333333333337</v>
      </c>
    </row>
    <row r="37" spans="1:9" ht="15.75" x14ac:dyDescent="0.25">
      <c r="A37" s="3" t="s">
        <v>75</v>
      </c>
      <c r="B37" s="3">
        <v>36</v>
      </c>
      <c r="C37" s="2" t="s">
        <v>76</v>
      </c>
      <c r="D37" s="2"/>
      <c r="E37" t="s">
        <v>198</v>
      </c>
      <c r="H37" s="10">
        <v>0.33333333333333331</v>
      </c>
      <c r="I37" s="10">
        <v>0.70833333333333337</v>
      </c>
    </row>
    <row r="38" spans="1:9" ht="15.75" x14ac:dyDescent="0.25">
      <c r="A38" s="3" t="s">
        <v>80</v>
      </c>
      <c r="B38" s="3">
        <v>37</v>
      </c>
      <c r="C38" s="2" t="s">
        <v>81</v>
      </c>
      <c r="D38" s="2"/>
      <c r="E38" t="s">
        <v>198</v>
      </c>
      <c r="H38" s="10">
        <v>0.33333333333333331</v>
      </c>
      <c r="I38" s="10">
        <v>0.70833333333333337</v>
      </c>
    </row>
    <row r="39" spans="1:9" ht="15.75" x14ac:dyDescent="0.25">
      <c r="A39" s="3" t="s">
        <v>82</v>
      </c>
      <c r="B39" s="3">
        <v>38</v>
      </c>
      <c r="C39" s="2" t="s">
        <v>83</v>
      </c>
      <c r="D39" s="2"/>
      <c r="E39" t="s">
        <v>198</v>
      </c>
      <c r="H39" s="10">
        <v>0.33333333333333331</v>
      </c>
      <c r="I39" s="10">
        <v>0.70833333333333337</v>
      </c>
    </row>
    <row r="40" spans="1:9" ht="15.75" x14ac:dyDescent="0.25">
      <c r="A40" s="3" t="s">
        <v>84</v>
      </c>
      <c r="B40" s="3">
        <v>39</v>
      </c>
      <c r="C40" s="2" t="s">
        <v>85</v>
      </c>
      <c r="D40" s="2"/>
      <c r="E40" t="s">
        <v>198</v>
      </c>
      <c r="H40" s="10">
        <v>0.33333333333333331</v>
      </c>
      <c r="I40" s="10">
        <v>0.70833333333333337</v>
      </c>
    </row>
    <row r="41" spans="1:9" ht="15.75" x14ac:dyDescent="0.25">
      <c r="A41" s="3" t="s">
        <v>86</v>
      </c>
      <c r="B41" s="3">
        <v>40</v>
      </c>
      <c r="C41" s="2" t="s">
        <v>87</v>
      </c>
      <c r="D41" s="2"/>
      <c r="E41" t="s">
        <v>198</v>
      </c>
      <c r="H41" s="10">
        <v>0.33333333333333331</v>
      </c>
      <c r="I41" s="10">
        <v>0.70833333333333337</v>
      </c>
    </row>
    <row r="42" spans="1:9" ht="15.75" x14ac:dyDescent="0.25">
      <c r="A42" s="3" t="s">
        <v>88</v>
      </c>
      <c r="B42" s="3">
        <v>41</v>
      </c>
      <c r="C42" s="2" t="s">
        <v>89</v>
      </c>
      <c r="D42" s="2"/>
      <c r="E42" t="s">
        <v>198</v>
      </c>
      <c r="H42" s="10">
        <v>0.33333333333333331</v>
      </c>
      <c r="I42" s="10">
        <v>0.70833333333333337</v>
      </c>
    </row>
    <row r="43" spans="1:9" ht="15.75" x14ac:dyDescent="0.25">
      <c r="A43" s="3" t="s">
        <v>90</v>
      </c>
      <c r="B43" s="3">
        <v>42</v>
      </c>
      <c r="C43" s="2" t="s">
        <v>91</v>
      </c>
      <c r="D43" s="2"/>
      <c r="E43" t="s">
        <v>198</v>
      </c>
      <c r="H43" s="10">
        <v>0.33333333333333331</v>
      </c>
      <c r="I43" s="10">
        <v>0.70833333333333337</v>
      </c>
    </row>
    <row r="44" spans="1:9" ht="15.75" x14ac:dyDescent="0.25">
      <c r="A44" s="3" t="s">
        <v>92</v>
      </c>
      <c r="B44" s="3">
        <v>43</v>
      </c>
      <c r="C44" s="2" t="s">
        <v>93</v>
      </c>
      <c r="D44" s="2"/>
      <c r="E44" t="s">
        <v>198</v>
      </c>
      <c r="H44" s="10">
        <v>0.33333333333333331</v>
      </c>
      <c r="I44" s="10">
        <v>0.70833333333333337</v>
      </c>
    </row>
    <row r="45" spans="1:9" ht="15.75" x14ac:dyDescent="0.25">
      <c r="A45" s="3" t="s">
        <v>95</v>
      </c>
      <c r="B45" s="3">
        <v>44</v>
      </c>
      <c r="C45" s="2" t="s">
        <v>96</v>
      </c>
      <c r="D45" s="2"/>
      <c r="E45" t="s">
        <v>198</v>
      </c>
      <c r="H45" s="10">
        <v>0.33333333333333331</v>
      </c>
      <c r="I45" s="10">
        <v>0.70833333333333337</v>
      </c>
    </row>
    <row r="46" spans="1:9" ht="15.75" x14ac:dyDescent="0.25">
      <c r="A46" s="3" t="s">
        <v>97</v>
      </c>
      <c r="B46" s="3">
        <v>45</v>
      </c>
      <c r="C46" s="2" t="s">
        <v>98</v>
      </c>
      <c r="D46" s="2"/>
      <c r="E46" t="s">
        <v>198</v>
      </c>
      <c r="H46" s="10">
        <v>0.33333333333333331</v>
      </c>
      <c r="I46" s="10">
        <v>0.70833333333333337</v>
      </c>
    </row>
    <row r="47" spans="1:9" ht="15.75" x14ac:dyDescent="0.25">
      <c r="A47" s="3" t="s">
        <v>99</v>
      </c>
      <c r="B47" s="3">
        <v>46</v>
      </c>
      <c r="C47" s="2" t="s">
        <v>100</v>
      </c>
      <c r="D47" s="2"/>
      <c r="E47" t="s">
        <v>198</v>
      </c>
      <c r="H47" s="10">
        <v>0.33333333333333331</v>
      </c>
      <c r="I47" s="10">
        <v>0.70833333333333337</v>
      </c>
    </row>
    <row r="48" spans="1:9" ht="15.75" x14ac:dyDescent="0.25">
      <c r="A48" s="3" t="s">
        <v>101</v>
      </c>
      <c r="B48" s="3">
        <v>47</v>
      </c>
      <c r="C48" s="2" t="s">
        <v>102</v>
      </c>
      <c r="D48" s="2"/>
      <c r="E48" t="s">
        <v>198</v>
      </c>
      <c r="H48" s="10">
        <v>0.33333333333333331</v>
      </c>
      <c r="I48" s="10">
        <v>0.70833333333333337</v>
      </c>
    </row>
    <row r="49" spans="1:9" ht="15.75" x14ac:dyDescent="0.25">
      <c r="A49" s="3" t="s">
        <v>105</v>
      </c>
      <c r="B49" s="3">
        <v>48</v>
      </c>
      <c r="C49" s="2" t="s">
        <v>87</v>
      </c>
      <c r="D49" s="2"/>
      <c r="E49" t="s">
        <v>198</v>
      </c>
      <c r="H49" s="10">
        <v>0.33333333333333331</v>
      </c>
      <c r="I49" s="10">
        <v>0.70833333333333337</v>
      </c>
    </row>
    <row r="50" spans="1:9" ht="15.75" x14ac:dyDescent="0.25">
      <c r="A50" s="3" t="s">
        <v>106</v>
      </c>
      <c r="B50" s="3">
        <v>49</v>
      </c>
      <c r="C50" s="2" t="s">
        <v>107</v>
      </c>
      <c r="D50" s="2"/>
      <c r="E50" t="s">
        <v>198</v>
      </c>
      <c r="H50" s="10">
        <v>0.33333333333333331</v>
      </c>
      <c r="I50" s="10">
        <v>0.70833333333333337</v>
      </c>
    </row>
    <row r="51" spans="1:9" ht="15.75" x14ac:dyDescent="0.25">
      <c r="A51" s="3" t="s">
        <v>109</v>
      </c>
      <c r="B51" s="3">
        <v>50</v>
      </c>
      <c r="C51" s="2" t="s">
        <v>110</v>
      </c>
      <c r="D51" s="2"/>
      <c r="E51" t="s">
        <v>198</v>
      </c>
      <c r="H51" s="10">
        <v>0.33333333333333331</v>
      </c>
      <c r="I51" s="10">
        <v>0.70833333333333337</v>
      </c>
    </row>
    <row r="52" spans="1:9" ht="15.75" x14ac:dyDescent="0.25">
      <c r="A52" s="3" t="s">
        <v>111</v>
      </c>
      <c r="B52" s="3">
        <v>51</v>
      </c>
      <c r="C52" s="2" t="s">
        <v>112</v>
      </c>
      <c r="D52" s="2"/>
      <c r="E52" t="s">
        <v>198</v>
      </c>
      <c r="H52" s="10">
        <v>0.33333333333333331</v>
      </c>
      <c r="I52" s="10">
        <v>0.70833333333333337</v>
      </c>
    </row>
    <row r="53" spans="1:9" ht="15.75" x14ac:dyDescent="0.25">
      <c r="A53" s="3" t="s">
        <v>113</v>
      </c>
      <c r="B53" s="3">
        <v>52</v>
      </c>
      <c r="C53" s="2" t="s">
        <v>107</v>
      </c>
      <c r="D53" s="2"/>
      <c r="E53" t="s">
        <v>198</v>
      </c>
      <c r="H53" s="10">
        <v>0.33333333333333331</v>
      </c>
      <c r="I53" s="10">
        <v>0.70833333333333337</v>
      </c>
    </row>
    <row r="54" spans="1:9" ht="15.75" x14ac:dyDescent="0.25">
      <c r="A54" s="3" t="s">
        <v>114</v>
      </c>
      <c r="B54" s="3">
        <v>53</v>
      </c>
      <c r="C54" s="2" t="s">
        <v>115</v>
      </c>
      <c r="D54" s="2"/>
      <c r="E54" t="s">
        <v>198</v>
      </c>
      <c r="H54" s="10">
        <v>0.33333333333333331</v>
      </c>
      <c r="I54" s="10">
        <v>0.70833333333333337</v>
      </c>
    </row>
    <row r="55" spans="1:9" ht="15.75" x14ac:dyDescent="0.25">
      <c r="A55" s="3" t="s">
        <v>117</v>
      </c>
      <c r="B55" s="3">
        <v>54</v>
      </c>
      <c r="C55" s="2" t="s">
        <v>118</v>
      </c>
      <c r="D55" s="2"/>
      <c r="E55" t="s">
        <v>198</v>
      </c>
      <c r="H55" s="10">
        <v>0.33333333333333331</v>
      </c>
      <c r="I55" s="10">
        <v>0.70833333333333337</v>
      </c>
    </row>
    <row r="56" spans="1:9" ht="15.75" x14ac:dyDescent="0.25">
      <c r="A56" s="3" t="s">
        <v>119</v>
      </c>
      <c r="B56" s="3">
        <v>55</v>
      </c>
      <c r="C56" s="2" t="s">
        <v>120</v>
      </c>
      <c r="D56" s="2"/>
      <c r="E56" t="s">
        <v>198</v>
      </c>
      <c r="H56" s="10">
        <v>0.33333333333333331</v>
      </c>
      <c r="I56" s="10">
        <v>0.70833333333333337</v>
      </c>
    </row>
    <row r="57" spans="1:9" ht="15.75" x14ac:dyDescent="0.25">
      <c r="A57" s="3" t="s">
        <v>121</v>
      </c>
      <c r="B57" s="3">
        <v>56</v>
      </c>
      <c r="C57" s="2" t="s">
        <v>122</v>
      </c>
      <c r="D57" s="2"/>
      <c r="E57" t="s">
        <v>198</v>
      </c>
      <c r="H57" s="10">
        <v>0.33333333333333331</v>
      </c>
      <c r="I57" s="10">
        <v>0.70833333333333337</v>
      </c>
    </row>
    <row r="58" spans="1:9" ht="15.75" x14ac:dyDescent="0.25">
      <c r="A58" s="3" t="s">
        <v>123</v>
      </c>
      <c r="B58" s="3">
        <v>57</v>
      </c>
      <c r="C58" s="2" t="s">
        <v>124</v>
      </c>
      <c r="D58" s="2"/>
      <c r="E58" t="s">
        <v>198</v>
      </c>
      <c r="H58" s="10">
        <v>0.33333333333333331</v>
      </c>
      <c r="I58" s="10">
        <v>0.70833333333333337</v>
      </c>
    </row>
    <row r="59" spans="1:9" ht="15.75" x14ac:dyDescent="0.25">
      <c r="A59" s="3" t="s">
        <v>129</v>
      </c>
      <c r="B59" s="3">
        <v>58</v>
      </c>
      <c r="C59" s="2" t="s">
        <v>130</v>
      </c>
      <c r="D59" s="2"/>
      <c r="E59" t="s">
        <v>198</v>
      </c>
      <c r="H59" s="10">
        <v>0.33333333333333331</v>
      </c>
      <c r="I59" s="10">
        <v>0.70833333333333337</v>
      </c>
    </row>
    <row r="60" spans="1:9" ht="15.75" x14ac:dyDescent="0.25">
      <c r="A60" s="3" t="s">
        <v>132</v>
      </c>
      <c r="B60" s="3">
        <v>59</v>
      </c>
      <c r="C60" s="2" t="s">
        <v>133</v>
      </c>
      <c r="D60" s="2"/>
      <c r="E60" t="s">
        <v>198</v>
      </c>
      <c r="H60" s="10">
        <v>0.33333333333333331</v>
      </c>
      <c r="I60" s="10">
        <v>0.70833333333333337</v>
      </c>
    </row>
    <row r="61" spans="1:9" ht="15.75" x14ac:dyDescent="0.25">
      <c r="A61" s="3" t="s">
        <v>134</v>
      </c>
      <c r="B61" s="3">
        <v>60</v>
      </c>
      <c r="C61" s="2" t="s">
        <v>135</v>
      </c>
      <c r="D61" s="2"/>
      <c r="E61" t="s">
        <v>198</v>
      </c>
      <c r="H61" s="10">
        <v>0.33333333333333331</v>
      </c>
      <c r="I61" s="10">
        <v>0.70833333333333337</v>
      </c>
    </row>
    <row r="62" spans="1:9" ht="15.75" x14ac:dyDescent="0.25">
      <c r="A62" s="3" t="s">
        <v>139</v>
      </c>
      <c r="B62" s="3">
        <v>61</v>
      </c>
      <c r="C62" s="2" t="s">
        <v>140</v>
      </c>
      <c r="D62" s="2"/>
      <c r="E62" t="s">
        <v>198</v>
      </c>
      <c r="H62" s="10">
        <v>0.33333333333333331</v>
      </c>
      <c r="I62" s="10">
        <v>0.70833333333333337</v>
      </c>
    </row>
    <row r="63" spans="1:9" ht="15.75" x14ac:dyDescent="0.25">
      <c r="A63" s="3" t="s">
        <v>143</v>
      </c>
      <c r="B63" s="3">
        <v>62</v>
      </c>
      <c r="C63" s="2" t="s">
        <v>144</v>
      </c>
      <c r="D63" s="2"/>
      <c r="E63" t="s">
        <v>198</v>
      </c>
      <c r="H63" s="10">
        <v>0.33333333333333331</v>
      </c>
      <c r="I63" s="10">
        <v>0.70833333333333337</v>
      </c>
    </row>
    <row r="64" spans="1:9" ht="15.75" x14ac:dyDescent="0.25">
      <c r="A64" s="3" t="s">
        <v>146</v>
      </c>
      <c r="B64" s="3">
        <v>63</v>
      </c>
      <c r="C64" s="2" t="s">
        <v>147</v>
      </c>
      <c r="D64" s="2"/>
      <c r="E64" t="s">
        <v>198</v>
      </c>
      <c r="H64" s="10">
        <v>0.33333333333333331</v>
      </c>
      <c r="I64" s="10">
        <v>0.70833333333333337</v>
      </c>
    </row>
    <row r="65" spans="1:9" ht="15.75" x14ac:dyDescent="0.25">
      <c r="A65" s="3" t="s">
        <v>157</v>
      </c>
      <c r="B65" s="3">
        <v>64</v>
      </c>
      <c r="C65" s="2" t="s">
        <v>158</v>
      </c>
      <c r="D65" s="2"/>
      <c r="E65" t="s">
        <v>198</v>
      </c>
      <c r="H65" s="10">
        <v>0.33333333333333331</v>
      </c>
      <c r="I65" s="10">
        <v>0.70833333333333337</v>
      </c>
    </row>
    <row r="66" spans="1:9" ht="15.75" x14ac:dyDescent="0.25">
      <c r="A66" s="3" t="s">
        <v>159</v>
      </c>
      <c r="B66" s="3">
        <v>65</v>
      </c>
      <c r="C66" s="2" t="s">
        <v>128</v>
      </c>
      <c r="D66" s="2"/>
      <c r="E66" t="s">
        <v>198</v>
      </c>
      <c r="H66" s="10">
        <v>0.33333333333333331</v>
      </c>
      <c r="I66" s="10">
        <v>0.70833333333333337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C6C6-6E44-4E46-93EB-0CAA4DA6691E}">
  <dimension ref="A1:C24"/>
  <sheetViews>
    <sheetView workbookViewId="0">
      <selection activeCell="G1" sqref="G1"/>
    </sheetView>
  </sheetViews>
  <sheetFormatPr defaultRowHeight="15" x14ac:dyDescent="0.25"/>
  <cols>
    <col min="1" max="1" width="33.140625" bestFit="1" customWidth="1"/>
    <col min="2" max="2" width="27.42578125" bestFit="1" customWidth="1"/>
  </cols>
  <sheetData>
    <row r="1" spans="1:3" x14ac:dyDescent="0.25">
      <c r="A1" s="19" t="s">
        <v>215</v>
      </c>
      <c r="B1" s="19" t="s">
        <v>216</v>
      </c>
      <c r="C1" s="19" t="s">
        <v>217</v>
      </c>
    </row>
    <row r="2" spans="1:3" x14ac:dyDescent="0.25">
      <c r="A2" t="s">
        <v>186</v>
      </c>
      <c r="B2" s="10">
        <v>0.33333333333333331</v>
      </c>
      <c r="C2" s="10">
        <v>0.70833333333333337</v>
      </c>
    </row>
    <row r="3" spans="1:3" x14ac:dyDescent="0.25">
      <c r="A3" t="s">
        <v>165</v>
      </c>
      <c r="B3" s="10">
        <v>0.33333333333333331</v>
      </c>
      <c r="C3" s="10">
        <v>0.70833333333333337</v>
      </c>
    </row>
    <row r="4" spans="1:3" x14ac:dyDescent="0.25">
      <c r="A4" t="s">
        <v>218</v>
      </c>
      <c r="B4" s="10">
        <v>0.3125</v>
      </c>
      <c r="C4" s="10">
        <v>0.6875</v>
      </c>
    </row>
    <row r="6" spans="1:3" x14ac:dyDescent="0.25">
      <c r="A6" s="23" t="s">
        <v>219</v>
      </c>
      <c r="B6" s="23"/>
      <c r="C6" s="23"/>
    </row>
    <row r="7" spans="1:3" x14ac:dyDescent="0.25">
      <c r="A7" t="s">
        <v>220</v>
      </c>
      <c r="B7" s="20">
        <v>30000</v>
      </c>
      <c r="C7" t="s">
        <v>221</v>
      </c>
    </row>
    <row r="8" spans="1:3" x14ac:dyDescent="0.25">
      <c r="A8" t="s">
        <v>222</v>
      </c>
      <c r="B8" s="20">
        <v>50000</v>
      </c>
      <c r="C8" t="s">
        <v>221</v>
      </c>
    </row>
    <row r="9" spans="1:3" x14ac:dyDescent="0.25">
      <c r="A9" t="s">
        <v>223</v>
      </c>
      <c r="B9" s="21" t="s">
        <v>224</v>
      </c>
    </row>
    <row r="10" spans="1:3" x14ac:dyDescent="0.25">
      <c r="A10" t="s">
        <v>225</v>
      </c>
      <c r="B10" s="22" t="s">
        <v>226</v>
      </c>
    </row>
    <row r="13" spans="1:3" x14ac:dyDescent="0.25">
      <c r="A13" s="23" t="s">
        <v>227</v>
      </c>
      <c r="B13" s="23"/>
      <c r="C13" s="23"/>
    </row>
    <row r="14" spans="1:3" x14ac:dyDescent="0.25">
      <c r="A14" t="s">
        <v>228</v>
      </c>
      <c r="B14" s="20">
        <v>50000</v>
      </c>
      <c r="C14" t="s">
        <v>221</v>
      </c>
    </row>
    <row r="15" spans="1:3" x14ac:dyDescent="0.25">
      <c r="A15" t="s">
        <v>230</v>
      </c>
      <c r="B15" s="21" t="s">
        <v>233</v>
      </c>
    </row>
    <row r="16" spans="1:3" x14ac:dyDescent="0.25">
      <c r="A16" t="s">
        <v>229</v>
      </c>
      <c r="B16" s="21" t="s">
        <v>232</v>
      </c>
    </row>
    <row r="17" spans="1:3" x14ac:dyDescent="0.25">
      <c r="A17" t="s">
        <v>231</v>
      </c>
      <c r="B17" s="22" t="s">
        <v>226</v>
      </c>
    </row>
    <row r="20" spans="1:3" x14ac:dyDescent="0.25">
      <c r="A20" s="23" t="s">
        <v>234</v>
      </c>
      <c r="B20" s="23"/>
      <c r="C20" s="23"/>
    </row>
    <row r="21" spans="1:3" x14ac:dyDescent="0.25">
      <c r="A21" t="s">
        <v>235</v>
      </c>
      <c r="B21" s="20" t="s">
        <v>236</v>
      </c>
    </row>
    <row r="22" spans="1:3" x14ac:dyDescent="0.25">
      <c r="A22" t="s">
        <v>230</v>
      </c>
      <c r="B22" s="21" t="s">
        <v>237</v>
      </c>
    </row>
    <row r="23" spans="1:3" x14ac:dyDescent="0.25">
      <c r="A23" t="s">
        <v>238</v>
      </c>
      <c r="B23" s="21" t="s">
        <v>239</v>
      </c>
    </row>
    <row r="24" spans="1:3" x14ac:dyDescent="0.25">
      <c r="B24" s="22"/>
    </row>
  </sheetData>
  <pageMargins left="0.7" right="0.7" top="0.75" bottom="0.75" header="0.3" footer="0.3"/>
  <pageSetup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DF" shapeId="3073" r:id="rId4">
          <objectPr defaultSize="0" autoPict="0" r:id="rId5">
            <anchor moveWithCells="1">
              <from>
                <xdr:col>7</xdr:col>
                <xdr:colOff>247650</xdr:colOff>
                <xdr:row>0</xdr:row>
                <xdr:rowOff>0</xdr:rowOff>
              </from>
              <to>
                <xdr:col>15</xdr:col>
                <xdr:colOff>161925</xdr:colOff>
                <xdr:row>35</xdr:row>
                <xdr:rowOff>114300</xdr:rowOff>
              </to>
            </anchor>
          </objectPr>
        </oleObject>
      </mc:Choice>
      <mc:Fallback>
        <oleObject progId="PDF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BANG_CHAM_CONG</vt:lpstr>
      <vt:lpstr>Data_Cong</vt:lpstr>
      <vt:lpstr>Data_NV</vt:lpstr>
      <vt:lpstr>NQ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PC</dc:creator>
  <cp:lastModifiedBy>PC</cp:lastModifiedBy>
  <dcterms:created xsi:type="dcterms:W3CDTF">2025-10-01T07:04:14Z</dcterms:created>
  <dcterms:modified xsi:type="dcterms:W3CDTF">2025-10-01T10:32:04Z</dcterms:modified>
</cp:coreProperties>
</file>